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Audits &amp; Budgets\All CIP related files\"/>
    </mc:Choice>
  </mc:AlternateContent>
  <xr:revisionPtr revIDLastSave="0" documentId="13_ncr:1_{F6E95ED7-AEC5-4AB0-8745-8AA3A9014C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 Yr CIP - Add'l Rev" sheetId="1" r:id="rId1"/>
    <sheet name="5 Yr CIP - Add'l Exp" sheetId="2" r:id="rId2"/>
    <sheet name="Budget Revised - Manual" sheetId="3" state="hidden" r:id="rId3"/>
    <sheet name="Summer '15" sheetId="7" state="hidden" r:id="rId4"/>
    <sheet name="Summer '14 REVISED" sheetId="11" state="hidden" r:id="rId5"/>
    <sheet name="Summer '16 REVISED" sheetId="16" state="hidden" r:id="rId6"/>
    <sheet name="Summer '15 (FY15_16)" sheetId="14" state="hidden" r:id="rId7"/>
    <sheet name="Summer '16 (FY16_17)" sheetId="15" state="hidden" r:id="rId8"/>
    <sheet name="Summary FFE" sheetId="10" state="hidden" r:id="rId9"/>
    <sheet name="REVISED EdTech" sheetId="12" state="hidden" r:id="rId10"/>
    <sheet name="REVISED InfrastructureTech" sheetId="13" state="hidden" r:id="rId11"/>
    <sheet name="DHS STEM EdTech" sheetId="8" state="hidden" r:id="rId12"/>
    <sheet name="DHS STEM InfrastructureTech" sheetId="9" state="hidden" r:id="rId13"/>
    <sheet name="Summer '14" sheetId="6" state="hidden" r:id="rId14"/>
    <sheet name="IT - Summer '13" sheetId="4" state="hidden" r:id="rId15"/>
    <sheet name="VOIP system" sheetId="5" state="hidden" r:id="rId16"/>
  </sheets>
  <externalReferences>
    <externalReference r:id="rId17"/>
    <externalReference r:id="rId18"/>
    <externalReference r:id="rId19"/>
    <externalReference r:id="rId20"/>
    <externalReference r:id="rId21"/>
  </externalReferences>
  <definedNames>
    <definedName name="\p" localSheetId="2">#REF!</definedName>
    <definedName name="\p">#REF!</definedName>
    <definedName name="bbbb" localSheetId="2">#REF!</definedName>
    <definedName name="bbbb">#REF!</definedName>
    <definedName name="BID">[1]Sheet1!$K$39</definedName>
    <definedName name="cccc">#REF!</definedName>
    <definedName name="CIPConc_Material">#REF!</definedName>
    <definedName name="CIPConcrete_Labor">#REF!</definedName>
    <definedName name="CIPConcrete_Sub">#REF!</definedName>
    <definedName name="cmu">#REF!</definedName>
    <definedName name="_xlnm.Criteria">[2]BUILDING!#REF!</definedName>
    <definedName name="_xlnm.Database">#REF!</definedName>
    <definedName name="DRYWALL">#REF!</definedName>
    <definedName name="Earthwork_Labor">#REF!</definedName>
    <definedName name="Earthwork_Material">#REF!</definedName>
    <definedName name="Earthwork_Sub">#REF!</definedName>
    <definedName name="ELECT">#REF!</definedName>
    <definedName name="Formwork_Labor">#REF!</definedName>
    <definedName name="Formwork_Material">#REF!</definedName>
    <definedName name="Formwork_Sub">#REF!</definedName>
    <definedName name="FRAME">#REF!</definedName>
    <definedName name="marty">#REF!</definedName>
    <definedName name="PLASTER">#REF!</definedName>
    <definedName name="Print">#REF!</definedName>
    <definedName name="_xlnm.Print_Area" localSheetId="1">'5 Yr CIP - Add''l Exp'!$A$1:$Y$231</definedName>
    <definedName name="_xlnm.Print_Area" localSheetId="0">'5 Yr CIP - Add''l Rev'!$A$1:$AL$44</definedName>
    <definedName name="_xlnm.Print_Area" localSheetId="11">'DHS STEM EdTech'!$A$1:$E$65</definedName>
    <definedName name="_xlnm.Print_Area" localSheetId="9">'REVISED EdTech'!$A$1:$M$54</definedName>
    <definedName name="_xlnm.Print_Area" localSheetId="15">'VOIP system'!$A$41:$C$60</definedName>
    <definedName name="_xlnm.Print_Area">#REF!</definedName>
    <definedName name="PRINT_AREA_MI" localSheetId="2">#REF!</definedName>
    <definedName name="PRINT_AREA_MI">#REF!</definedName>
    <definedName name="_xlnm.Print_Titles" localSheetId="1">'5 Yr CIP - Add''l Exp'!$1:$2</definedName>
    <definedName name="Reinforcing_Labor" localSheetId="2">#REF!</definedName>
    <definedName name="Reinforcing_Labor">#REF!</definedName>
    <definedName name="Reinforcing_Material" localSheetId="2">#REF!</definedName>
    <definedName name="Reinforcing_Material">#REF!</definedName>
    <definedName name="Reinforcing_Sub" localSheetId="2">#REF!</definedName>
    <definedName name="Reinforcing_Sub">#REF!</definedName>
    <definedName name="sf">#REF!</definedName>
    <definedName name="SPEC">#REF!</definedName>
    <definedName name="STEEL">#REF!</definedName>
    <definedName name="TiltUp_Labor">#REF!</definedName>
    <definedName name="TiltUp_Material">#REF!</definedName>
    <definedName name="TiltUp_Sub">#REF!</definedName>
    <definedName name="wORK">#REF!</definedName>
    <definedName name="x">#REF!</definedName>
    <definedName name="xhghghghg">#REF!</definedName>
    <definedName name="xx">#REF!</definedName>
    <definedName name="xxx">#REF!</definedName>
    <definedName name="xxxx">#REF!</definedName>
    <definedName name="xxxxx">#REF!</definedName>
  </definedNames>
  <calcPr calcId="191029"/>
  <pivotCaches>
    <pivotCache cacheId="2" r:id="rId22"/>
    <pivotCache cacheId="3" r:id="rId2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64" i="2" l="1"/>
  <c r="AL42" i="1"/>
  <c r="AL40" i="1"/>
  <c r="AL15" i="1"/>
  <c r="Y230" i="2"/>
  <c r="Y64" i="2"/>
  <c r="Y33" i="2"/>
  <c r="Y52" i="2" s="1"/>
  <c r="AL19" i="1" s="1"/>
  <c r="AE15" i="1"/>
  <c r="AE17" i="1" s="1"/>
  <c r="AF15" i="1"/>
  <c r="AF17" i="1" s="1"/>
  <c r="AE29" i="1"/>
  <c r="AF29" i="1"/>
  <c r="AE40" i="1"/>
  <c r="AF40" i="1"/>
  <c r="AK42" i="1"/>
  <c r="AK40" i="1"/>
  <c r="AK15" i="1"/>
  <c r="X230" i="2"/>
  <c r="X64" i="2"/>
  <c r="X33" i="2"/>
  <c r="X52" i="2" s="1"/>
  <c r="AL44" i="1" l="1"/>
  <c r="Y231" i="2"/>
  <c r="X231" i="2"/>
  <c r="AK19" i="1"/>
  <c r="AK44" i="1"/>
  <c r="AJ42" i="1"/>
  <c r="AJ40" i="1"/>
  <c r="AJ15" i="1"/>
  <c r="W230" i="2"/>
  <c r="W64" i="2"/>
  <c r="W33" i="2"/>
  <c r="W52" i="2" s="1"/>
  <c r="W231" i="2" l="1"/>
  <c r="AJ44" i="1"/>
  <c r="AJ19" i="1"/>
  <c r="V230" i="2"/>
  <c r="AF42" i="1" s="1"/>
  <c r="AF44" i="1" s="1"/>
  <c r="V64" i="2"/>
  <c r="V33" i="2"/>
  <c r="V52" i="2" s="1"/>
  <c r="AI42" i="1"/>
  <c r="AI40" i="1"/>
  <c r="AI15" i="1"/>
  <c r="AI44" i="1" l="1"/>
  <c r="AI19" i="1"/>
  <c r="V231" i="2"/>
  <c r="AH42" i="1"/>
  <c r="AH40" i="1"/>
  <c r="AH15" i="1"/>
  <c r="U230" i="2"/>
  <c r="AE42" i="1" s="1"/>
  <c r="AE44" i="1" s="1"/>
  <c r="U33" i="2"/>
  <c r="U52" i="2" s="1"/>
  <c r="AH44" i="1" l="1"/>
  <c r="U231" i="2"/>
  <c r="F189" i="2"/>
  <c r="G189" i="2"/>
  <c r="J189" i="2"/>
  <c r="J197" i="2"/>
  <c r="J205" i="2"/>
  <c r="F216" i="2"/>
  <c r="G216" i="2"/>
  <c r="H216" i="2"/>
  <c r="I216" i="2"/>
  <c r="J216" i="2"/>
  <c r="F222" i="2"/>
  <c r="H222" i="2"/>
  <c r="AG42" i="1" l="1"/>
  <c r="AG40" i="1"/>
  <c r="AG15" i="1"/>
  <c r="AG44" i="1" l="1"/>
  <c r="T230" i="2"/>
  <c r="T64" i="2"/>
  <c r="T33" i="2"/>
  <c r="T52" i="2" s="1"/>
  <c r="T231" i="2" l="1"/>
  <c r="S230" i="2"/>
  <c r="S64" i="2"/>
  <c r="AF31" i="1" s="1"/>
  <c r="AF33" i="1" s="1"/>
  <c r="S52" i="2"/>
  <c r="AF19" i="1" s="1"/>
  <c r="AF21" i="1" s="1"/>
  <c r="S231" i="2" l="1"/>
  <c r="R230" i="2"/>
  <c r="R64" i="2"/>
  <c r="AE31" i="1" s="1"/>
  <c r="AE33" i="1" s="1"/>
  <c r="R52" i="2"/>
  <c r="AE19" i="1" s="1"/>
  <c r="AE21" i="1" s="1"/>
  <c r="R231" i="2" l="1"/>
  <c r="W40" i="1"/>
  <c r="W29" i="1"/>
  <c r="W33" i="1" s="1"/>
  <c r="X24" i="1" s="1"/>
  <c r="J64" i="2"/>
  <c r="W15" i="1"/>
  <c r="L230" i="2"/>
  <c r="W42" i="1" s="1"/>
  <c r="L64" i="2"/>
  <c r="L52" i="2"/>
  <c r="W19" i="1" s="1"/>
  <c r="W44" i="1" l="1"/>
  <c r="X36" i="1" s="1"/>
  <c r="L231" i="2"/>
  <c r="Q230" i="2"/>
  <c r="Q64" i="2"/>
  <c r="AD31" i="1" s="1"/>
  <c r="Q52" i="2"/>
  <c r="AD42" i="1"/>
  <c r="Q231" i="2" l="1"/>
  <c r="AD19" i="1"/>
  <c r="C66" i="16"/>
  <c r="C10" i="3"/>
  <c r="C38" i="3" l="1"/>
  <c r="S31" i="1" l="1"/>
  <c r="K42" i="2"/>
  <c r="K38" i="2"/>
  <c r="K35" i="2"/>
  <c r="C72" i="16"/>
  <c r="K44" i="2" s="1"/>
  <c r="C70" i="16"/>
  <c r="C74" i="16"/>
  <c r="K48" i="2" s="1"/>
  <c r="D5" i="16" l="1"/>
  <c r="H5" i="16"/>
  <c r="H6" i="16"/>
  <c r="H7" i="16"/>
  <c r="H8" i="16"/>
  <c r="D10" i="16"/>
  <c r="H10" i="16"/>
  <c r="H11" i="16"/>
  <c r="H12" i="16"/>
  <c r="H13" i="16"/>
  <c r="D15" i="16"/>
  <c r="H15" i="16"/>
  <c r="H16" i="16"/>
  <c r="H17" i="16"/>
  <c r="D20" i="16"/>
  <c r="H21" i="16"/>
  <c r="H22" i="16"/>
  <c r="H23" i="16"/>
  <c r="H24" i="16"/>
  <c r="H25" i="16"/>
  <c r="H32" i="16"/>
  <c r="D40" i="16"/>
  <c r="H40" i="16"/>
  <c r="D46" i="16"/>
  <c r="H46" i="16"/>
  <c r="D52" i="16"/>
  <c r="H52" i="16"/>
  <c r="L7" i="16" l="1"/>
  <c r="L6" i="16"/>
  <c r="C67" i="16"/>
  <c r="D28" i="16"/>
  <c r="D55" i="16"/>
  <c r="H28" i="16"/>
  <c r="K39" i="2" l="1"/>
  <c r="C78" i="16"/>
  <c r="H63" i="16"/>
  <c r="H55" i="16"/>
  <c r="J28" i="16"/>
  <c r="D84" i="14" l="1"/>
  <c r="J48" i="2" l="1"/>
  <c r="E83" i="14"/>
  <c r="E81" i="14"/>
  <c r="D79" i="14"/>
  <c r="J41" i="2" s="1"/>
  <c r="D78" i="14"/>
  <c r="J39" i="2" s="1"/>
  <c r="D75" i="14"/>
  <c r="J35" i="2" s="1"/>
  <c r="K40" i="14"/>
  <c r="J22" i="14" l="1"/>
  <c r="J19" i="14"/>
  <c r="J11" i="14"/>
  <c r="D85" i="14"/>
  <c r="J49" i="2" s="1"/>
  <c r="J23" i="14"/>
  <c r="J7" i="14" l="1"/>
  <c r="J14" i="14"/>
  <c r="K47" i="14"/>
  <c r="D82" i="14" s="1"/>
  <c r="J44" i="2" s="1"/>
  <c r="K71" i="14"/>
  <c r="J40" i="14"/>
  <c r="D80" i="14" s="1"/>
  <c r="J59" i="14"/>
  <c r="D76" i="14" s="1"/>
  <c r="J37" i="2" s="1"/>
  <c r="H18" i="14"/>
  <c r="J2" i="2"/>
  <c r="S15" i="1"/>
  <c r="S2" i="1"/>
  <c r="J71" i="14" l="1"/>
  <c r="D77" i="14"/>
  <c r="J38" i="2" s="1"/>
  <c r="J42" i="2"/>
  <c r="J52" i="2" s="1"/>
  <c r="S19" i="1" s="1"/>
  <c r="E80" i="14"/>
  <c r="D88" i="14"/>
  <c r="L71" i="14"/>
  <c r="J230" i="2"/>
  <c r="C45" i="3"/>
  <c r="C44" i="3"/>
  <c r="C43" i="3"/>
  <c r="C40" i="3"/>
  <c r="C41" i="3"/>
  <c r="C29" i="3"/>
  <c r="C30" i="3" s="1"/>
  <c r="C31" i="3" s="1"/>
  <c r="C20" i="3"/>
  <c r="C17" i="3"/>
  <c r="C22" i="3"/>
  <c r="C19" i="3"/>
  <c r="C13" i="3"/>
  <c r="C12" i="3"/>
  <c r="C9" i="3"/>
  <c r="C7" i="3"/>
  <c r="C6" i="3"/>
  <c r="J231" i="2" l="1"/>
  <c r="S42" i="1"/>
  <c r="C46" i="3"/>
  <c r="P230" i="2" l="1"/>
  <c r="O230" i="2"/>
  <c r="N230" i="2"/>
  <c r="M230" i="2"/>
  <c r="K230" i="2"/>
  <c r="C47" i="3" s="1"/>
  <c r="H158" i="2" l="1"/>
  <c r="C3" i="3" l="1"/>
  <c r="I42" i="2"/>
  <c r="C82" i="14"/>
  <c r="E82" i="14" s="1"/>
  <c r="D5" i="15"/>
  <c r="D6" i="15"/>
  <c r="D7" i="15"/>
  <c r="D8" i="15"/>
  <c r="C46" i="15" s="1"/>
  <c r="H10" i="15"/>
  <c r="D13" i="15"/>
  <c r="D14" i="15"/>
  <c r="C55" i="15" s="1"/>
  <c r="H16" i="15"/>
  <c r="H36" i="15" s="1"/>
  <c r="D20" i="15"/>
  <c r="C50" i="15" s="1"/>
  <c r="H23" i="15"/>
  <c r="D26" i="15"/>
  <c r="C56" i="15" s="1"/>
  <c r="D28" i="15"/>
  <c r="D33" i="15"/>
  <c r="H33" i="15"/>
  <c r="C54" i="15"/>
  <c r="D6" i="14"/>
  <c r="H6" i="14"/>
  <c r="H7" i="14"/>
  <c r="H8" i="14"/>
  <c r="H9" i="14"/>
  <c r="H10" i="14"/>
  <c r="D13" i="14"/>
  <c r="H13" i="14"/>
  <c r="H14" i="14"/>
  <c r="H15" i="14"/>
  <c r="H16" i="14"/>
  <c r="H17" i="14"/>
  <c r="D18" i="14"/>
  <c r="H20" i="14"/>
  <c r="D28" i="14"/>
  <c r="C84" i="14" s="1"/>
  <c r="D29" i="14"/>
  <c r="D30" i="14"/>
  <c r="C86" i="14" s="1"/>
  <c r="H32" i="14"/>
  <c r="D34" i="14"/>
  <c r="C76" i="14" s="1"/>
  <c r="E76" i="14" s="1"/>
  <c r="D35" i="14"/>
  <c r="H35" i="14"/>
  <c r="H37" i="14" s="1"/>
  <c r="D40" i="14"/>
  <c r="D41" i="14"/>
  <c r="D52" i="14"/>
  <c r="H52" i="14"/>
  <c r="D64" i="14"/>
  <c r="D43" i="14" l="1"/>
  <c r="D10" i="15"/>
  <c r="D36" i="15" s="1"/>
  <c r="D16" i="15"/>
  <c r="AD15" i="1"/>
  <c r="E86" i="14"/>
  <c r="I50" i="2"/>
  <c r="E84" i="14"/>
  <c r="I48" i="2"/>
  <c r="C75" i="14"/>
  <c r="D23" i="15"/>
  <c r="C79" i="14"/>
  <c r="I37" i="2"/>
  <c r="D37" i="14"/>
  <c r="C85" i="14"/>
  <c r="E85" i="14" s="1"/>
  <c r="D25" i="14"/>
  <c r="C48" i="15"/>
  <c r="C59" i="15" s="1"/>
  <c r="I44" i="2"/>
  <c r="C78" i="14"/>
  <c r="C77" i="14"/>
  <c r="C4" i="3"/>
  <c r="C5" i="3"/>
  <c r="D32" i="14"/>
  <c r="H25" i="14"/>
  <c r="H55" i="14" s="1"/>
  <c r="D55" i="14" l="1"/>
  <c r="D66" i="14" s="1"/>
  <c r="I38" i="2"/>
  <c r="E77" i="14"/>
  <c r="I39" i="2"/>
  <c r="E78" i="14"/>
  <c r="E79" i="14"/>
  <c r="I41" i="2"/>
  <c r="E75" i="14"/>
  <c r="I35" i="2"/>
  <c r="C25" i="3"/>
  <c r="P52" i="2"/>
  <c r="P2" i="2"/>
  <c r="P64" i="2"/>
  <c r="AC42" i="1"/>
  <c r="E88" i="14" l="1"/>
  <c r="P231" i="2"/>
  <c r="O2" i="1"/>
  <c r="O28" i="1"/>
  <c r="O15" i="1"/>
  <c r="H177" i="2" l="1"/>
  <c r="H140" i="2"/>
  <c r="H179" i="2"/>
  <c r="H142" i="2"/>
  <c r="H175" i="2"/>
  <c r="H178" i="2"/>
  <c r="H169" i="2"/>
  <c r="H176" i="2"/>
  <c r="H139" i="2"/>
  <c r="H167" i="2"/>
  <c r="H154" i="2"/>
  <c r="H174" i="2" l="1"/>
  <c r="H141" i="2" l="1"/>
  <c r="H137" i="2" s="1"/>
  <c r="H168" i="2"/>
  <c r="F167" i="2"/>
  <c r="H166" i="2" l="1"/>
  <c r="H153" i="2"/>
  <c r="H161" i="2"/>
  <c r="D57" i="11"/>
  <c r="H37" i="2" s="1"/>
  <c r="D58" i="11"/>
  <c r="H38" i="2" s="1"/>
  <c r="D63" i="11"/>
  <c r="D65" i="11"/>
  <c r="H48" i="2" s="1"/>
  <c r="H230" i="2" l="1"/>
  <c r="O42" i="1" s="1"/>
  <c r="I10" i="11"/>
  <c r="I16" i="11"/>
  <c r="D59" i="11" s="1"/>
  <c r="H39" i="2" s="1"/>
  <c r="I9" i="11"/>
  <c r="H2" i="2" l="1"/>
  <c r="D2" i="13" l="1"/>
  <c r="D3" i="13"/>
  <c r="D4" i="13"/>
  <c r="D5" i="13"/>
  <c r="D8" i="13"/>
  <c r="D11" i="13"/>
  <c r="D13" i="13"/>
  <c r="D4" i="12"/>
  <c r="D49" i="12" s="1"/>
  <c r="D5" i="12"/>
  <c r="D8" i="12"/>
  <c r="D9" i="12"/>
  <c r="D12" i="12"/>
  <c r="D13" i="12"/>
  <c r="D16" i="12"/>
  <c r="D17" i="12"/>
  <c r="D18" i="12"/>
  <c r="D19" i="12"/>
  <c r="D20" i="12"/>
  <c r="D23" i="12"/>
  <c r="D24" i="12"/>
  <c r="D25" i="12"/>
  <c r="D26" i="12"/>
  <c r="D27" i="12"/>
  <c r="D28" i="12"/>
  <c r="D31" i="12"/>
  <c r="D32" i="12"/>
  <c r="D33" i="12"/>
  <c r="D34" i="12"/>
  <c r="D35" i="12"/>
  <c r="D36" i="12"/>
  <c r="D37" i="12"/>
  <c r="D40" i="12"/>
  <c r="D41" i="12"/>
  <c r="D42" i="12"/>
  <c r="D44" i="12"/>
  <c r="D46" i="12"/>
  <c r="D47" i="12"/>
  <c r="D15" i="13" l="1"/>
  <c r="D50" i="12" s="1"/>
  <c r="D53" i="12"/>
  <c r="H48" i="11" l="1"/>
  <c r="G40" i="2" s="1"/>
  <c r="G33" i="2" l="1"/>
  <c r="D66" i="8" l="1"/>
  <c r="C33" i="3" l="1"/>
  <c r="C28" i="3"/>
  <c r="I33" i="2" l="1"/>
  <c r="I52" i="2" s="1"/>
  <c r="C48" i="7"/>
  <c r="H16" i="11"/>
  <c r="C63" i="11"/>
  <c r="H42" i="11"/>
  <c r="H32" i="11"/>
  <c r="H26" i="11"/>
  <c r="C57" i="11"/>
  <c r="D42" i="11"/>
  <c r="D36" i="11"/>
  <c r="D32" i="11"/>
  <c r="H24" i="11"/>
  <c r="C65" i="11" s="1"/>
  <c r="D24" i="11"/>
  <c r="D23" i="11"/>
  <c r="D22" i="11"/>
  <c r="D21" i="11"/>
  <c r="H15" i="11"/>
  <c r="H14" i="11"/>
  <c r="H13" i="11"/>
  <c r="H12" i="11"/>
  <c r="I12" i="11" s="1"/>
  <c r="D12" i="11"/>
  <c r="H11" i="11"/>
  <c r="I11" i="11" s="1"/>
  <c r="D11" i="11"/>
  <c r="H10" i="11"/>
  <c r="C56" i="11" s="1"/>
  <c r="D10" i="11"/>
  <c r="H9" i="11"/>
  <c r="H8" i="11"/>
  <c r="H7" i="11"/>
  <c r="H6" i="11"/>
  <c r="D6" i="11"/>
  <c r="H5" i="11"/>
  <c r="D5" i="11"/>
  <c r="C59" i="11" l="1"/>
  <c r="C58" i="11"/>
  <c r="C69" i="11" s="1"/>
  <c r="D18" i="11"/>
  <c r="D26" i="11"/>
  <c r="I45" i="11"/>
  <c r="D56" i="11"/>
  <c r="H18" i="11"/>
  <c r="H45" i="11"/>
  <c r="D45" i="11" l="1"/>
  <c r="D69" i="11"/>
  <c r="H35" i="2"/>
  <c r="H33" i="2" s="1"/>
  <c r="H52" i="2" s="1"/>
  <c r="C2" i="10"/>
  <c r="C3" i="10"/>
  <c r="C4" i="10"/>
  <c r="C5" i="10"/>
  <c r="C6" i="10"/>
  <c r="C7" i="10"/>
  <c r="C8" i="10"/>
  <c r="C9" i="10"/>
  <c r="C11" i="10"/>
  <c r="C12" i="10"/>
  <c r="C14" i="10"/>
  <c r="C15" i="10"/>
  <c r="C16" i="10"/>
  <c r="O19" i="1" l="1"/>
  <c r="H231" i="2"/>
  <c r="C19" i="10"/>
  <c r="C25" i="10" s="1"/>
  <c r="C28" i="10" s="1"/>
  <c r="AB42" i="1" l="1"/>
  <c r="O64" i="2"/>
  <c r="O52" i="2"/>
  <c r="D13" i="9"/>
  <c r="D11" i="9"/>
  <c r="D8" i="9"/>
  <c r="D5" i="9"/>
  <c r="D4" i="9"/>
  <c r="D3" i="9"/>
  <c r="D2" i="9"/>
  <c r="D62" i="8"/>
  <c r="D59" i="8"/>
  <c r="D55" i="8"/>
  <c r="D52" i="8"/>
  <c r="D51" i="8"/>
  <c r="D50" i="8"/>
  <c r="D49" i="8"/>
  <c r="D48" i="8"/>
  <c r="D45" i="8"/>
  <c r="D44" i="8"/>
  <c r="D43" i="8"/>
  <c r="D42" i="8"/>
  <c r="D41" i="8"/>
  <c r="D40" i="8"/>
  <c r="D39" i="8"/>
  <c r="D38" i="8"/>
  <c r="D35" i="8"/>
  <c r="D34" i="8"/>
  <c r="D33" i="8"/>
  <c r="D32" i="8"/>
  <c r="D31" i="8"/>
  <c r="D30" i="8"/>
  <c r="D29" i="8"/>
  <c r="D26" i="8"/>
  <c r="D25" i="8"/>
  <c r="D24" i="8"/>
  <c r="D23" i="8"/>
  <c r="D22" i="8"/>
  <c r="D21" i="8"/>
  <c r="D20" i="8"/>
  <c r="D17" i="8"/>
  <c r="D16" i="8"/>
  <c r="D13" i="8"/>
  <c r="D12" i="8"/>
  <c r="D9" i="8"/>
  <c r="D8" i="8"/>
  <c r="D5" i="8"/>
  <c r="D4" i="8"/>
  <c r="D61" i="8" l="1"/>
  <c r="D64" i="8" s="1"/>
  <c r="D15" i="9"/>
  <c r="D19" i="9" s="1"/>
  <c r="O231" i="2"/>
  <c r="C53" i="7"/>
  <c r="H33" i="7"/>
  <c r="D33" i="7"/>
  <c r="D26" i="7"/>
  <c r="D25" i="7"/>
  <c r="C51" i="7" s="1"/>
  <c r="H22" i="7"/>
  <c r="D20" i="7"/>
  <c r="D19" i="7"/>
  <c r="C47" i="7" s="1"/>
  <c r="H16" i="7"/>
  <c r="D14" i="7"/>
  <c r="D13" i="7"/>
  <c r="D12" i="7"/>
  <c r="C55" i="7" s="1"/>
  <c r="H9" i="7"/>
  <c r="D9" i="7"/>
  <c r="D7" i="7"/>
  <c r="D6" i="7"/>
  <c r="D5" i="7"/>
  <c r="D16" i="7" l="1"/>
  <c r="D36" i="7" s="1"/>
  <c r="C57" i="7"/>
  <c r="D22" i="7"/>
  <c r="C50" i="7"/>
  <c r="H36" i="7"/>
  <c r="D28" i="7"/>
  <c r="C46" i="7"/>
  <c r="C59" i="7" l="1"/>
  <c r="G38" i="1"/>
  <c r="K38" i="1"/>
  <c r="G166" i="2" l="1"/>
  <c r="G161" i="2"/>
  <c r="G153" i="2"/>
  <c r="D5" i="6" l="1"/>
  <c r="H5" i="6"/>
  <c r="D6" i="6"/>
  <c r="H6" i="6"/>
  <c r="H7" i="6"/>
  <c r="H8" i="6"/>
  <c r="H9" i="6"/>
  <c r="C55" i="6" s="1"/>
  <c r="D10" i="6"/>
  <c r="D17" i="6" s="1"/>
  <c r="H10" i="6"/>
  <c r="D11" i="6"/>
  <c r="H11" i="6"/>
  <c r="D12" i="6"/>
  <c r="H12" i="6"/>
  <c r="H13" i="6"/>
  <c r="H14" i="6"/>
  <c r="H15" i="6"/>
  <c r="C58" i="6" s="1"/>
  <c r="D20" i="6"/>
  <c r="D21" i="6"/>
  <c r="D22" i="6"/>
  <c r="D23" i="6"/>
  <c r="H23" i="6"/>
  <c r="H25" i="6"/>
  <c r="D31" i="6"/>
  <c r="H31" i="6"/>
  <c r="D35" i="6"/>
  <c r="D41" i="6"/>
  <c r="H41" i="6"/>
  <c r="C56" i="6"/>
  <c r="C62" i="6"/>
  <c r="C64" i="6"/>
  <c r="H17" i="6" l="1"/>
  <c r="H44" i="6" s="1"/>
  <c r="D25" i="6"/>
  <c r="D44" i="6" s="1"/>
  <c r="C57" i="6"/>
  <c r="C68" i="6" s="1"/>
  <c r="F47" i="2" l="1"/>
  <c r="F35" i="2"/>
  <c r="F33" i="2" l="1"/>
  <c r="D84" i="4"/>
  <c r="J27" i="4"/>
  <c r="J28" i="4"/>
  <c r="D82" i="4" s="1"/>
  <c r="D90" i="4"/>
  <c r="D88" i="4"/>
  <c r="D86" i="4"/>
  <c r="D92" i="4"/>
  <c r="J42" i="4"/>
  <c r="J41" i="4"/>
  <c r="J25" i="4"/>
  <c r="I37" i="5"/>
  <c r="G37" i="5"/>
  <c r="C37" i="5"/>
  <c r="C35" i="5"/>
  <c r="E35" i="5" s="1"/>
  <c r="C34" i="5"/>
  <c r="E34" i="5" s="1"/>
  <c r="E37" i="5" s="1"/>
  <c r="E32" i="5"/>
  <c r="E31" i="5"/>
  <c r="E29" i="5"/>
  <c r="E28" i="5"/>
  <c r="B55" i="5" s="1"/>
  <c r="E27" i="5"/>
  <c r="E26" i="5"/>
  <c r="E25" i="5"/>
  <c r="E24" i="5"/>
  <c r="B46" i="5" s="1"/>
  <c r="E23" i="5"/>
  <c r="E22" i="5"/>
  <c r="E21" i="5"/>
  <c r="E20" i="5"/>
  <c r="B54" i="5" s="1"/>
  <c r="E19" i="5"/>
  <c r="E18" i="5"/>
  <c r="E17" i="5"/>
  <c r="E16" i="5"/>
  <c r="B49" i="5" s="1"/>
  <c r="E15" i="5"/>
  <c r="B48" i="5" s="1"/>
  <c r="E14" i="5"/>
  <c r="E12" i="5"/>
  <c r="B43" i="5" s="1"/>
  <c r="E11" i="5"/>
  <c r="E10" i="5"/>
  <c r="B44" i="5" s="1"/>
  <c r="E9" i="5"/>
  <c r="E8" i="5"/>
  <c r="B51" i="5" s="1"/>
  <c r="E7" i="5"/>
  <c r="E6" i="5"/>
  <c r="E5" i="5"/>
  <c r="E4" i="5"/>
  <c r="E3" i="5"/>
  <c r="E2" i="5"/>
  <c r="B47" i="5" s="1"/>
  <c r="B50" i="5" l="1"/>
  <c r="D83" i="4"/>
  <c r="B52" i="5"/>
  <c r="E40" i="5"/>
  <c r="B45" i="5"/>
  <c r="B60" i="5" s="1"/>
  <c r="B53" i="5"/>
  <c r="B56" i="5"/>
  <c r="B57" i="5"/>
  <c r="I5" i="4" l="1"/>
  <c r="J5" i="4" s="1"/>
  <c r="C90" i="4" l="1"/>
  <c r="C88" i="4"/>
  <c r="C73" i="4"/>
  <c r="I53" i="4"/>
  <c r="D53" i="4"/>
  <c r="I44" i="4"/>
  <c r="D44" i="4"/>
  <c r="I30" i="4"/>
  <c r="I29" i="4"/>
  <c r="I28" i="4"/>
  <c r="D27" i="4"/>
  <c r="I25" i="4"/>
  <c r="I24" i="4"/>
  <c r="I23" i="4"/>
  <c r="D23" i="4"/>
  <c r="D31" i="4" s="1"/>
  <c r="I15" i="4"/>
  <c r="I14" i="4"/>
  <c r="I13" i="4"/>
  <c r="C83" i="4" s="1"/>
  <c r="I12" i="4"/>
  <c r="I11" i="4"/>
  <c r="C86" i="4" s="1"/>
  <c r="I10" i="4"/>
  <c r="I9" i="4"/>
  <c r="J9" i="4" s="1"/>
  <c r="I8" i="4"/>
  <c r="J8" i="4" s="1"/>
  <c r="D8" i="4"/>
  <c r="I7" i="4"/>
  <c r="J7" i="4" s="1"/>
  <c r="D7" i="4"/>
  <c r="I6" i="4"/>
  <c r="J6" i="4" s="1"/>
  <c r="D6" i="4"/>
  <c r="D5" i="4"/>
  <c r="C92" i="4" l="1"/>
  <c r="D85" i="4"/>
  <c r="D96" i="4" s="1"/>
  <c r="D16" i="4"/>
  <c r="D56" i="4" s="1"/>
  <c r="J56" i="4"/>
  <c r="C67" i="4"/>
  <c r="C85" i="4"/>
  <c r="C66" i="4"/>
  <c r="C84" i="4"/>
  <c r="C68" i="4"/>
  <c r="I16" i="4"/>
  <c r="I31" i="4"/>
  <c r="C69" i="4"/>
  <c r="C75" i="4"/>
  <c r="C96" i="4" l="1"/>
  <c r="C79" i="4"/>
  <c r="I56" i="4"/>
  <c r="F168" i="2" l="1"/>
  <c r="F142" i="2"/>
  <c r="F138" i="2"/>
  <c r="F139" i="2"/>
  <c r="F164" i="2"/>
  <c r="F163" i="2"/>
  <c r="F158" i="2"/>
  <c r="F159" i="2"/>
  <c r="F150" i="2"/>
  <c r="F143" i="2"/>
  <c r="F161" i="2" l="1"/>
  <c r="F153" i="2"/>
  <c r="F141" i="2"/>
  <c r="F140" i="2" l="1"/>
  <c r="F185" i="2"/>
  <c r="F182" i="2" s="1"/>
  <c r="F2" i="2"/>
  <c r="F174" i="2"/>
  <c r="F145" i="2"/>
  <c r="F129" i="2"/>
  <c r="F166" i="2"/>
  <c r="F123" i="2"/>
  <c r="F120" i="2"/>
  <c r="F115" i="2"/>
  <c r="F107" i="2"/>
  <c r="F99" i="2"/>
  <c r="F91" i="2"/>
  <c r="F83" i="2"/>
  <c r="F75" i="2"/>
  <c r="F68" i="2"/>
  <c r="F52" i="2"/>
  <c r="K19" i="1" s="1"/>
  <c r="F137" i="2" l="1"/>
  <c r="F230" i="2" s="1"/>
  <c r="E145" i="2"/>
  <c r="F231" i="2" l="1"/>
  <c r="K42" i="1"/>
  <c r="Z42" i="1" l="1"/>
  <c r="X42" i="1"/>
  <c r="U42" i="1"/>
  <c r="M52" i="2"/>
  <c r="K33" i="2"/>
  <c r="E33" i="2"/>
  <c r="M64" i="2"/>
  <c r="M231" i="2" l="1"/>
  <c r="E15" i="1"/>
  <c r="E27" i="1"/>
  <c r="G52" i="2"/>
  <c r="G182" i="2"/>
  <c r="G174" i="2"/>
  <c r="E166" i="2"/>
  <c r="G137" i="2"/>
  <c r="E137" i="2"/>
  <c r="E182" i="2"/>
  <c r="D166" i="2"/>
  <c r="C166" i="2"/>
  <c r="E129" i="2"/>
  <c r="E161" i="2"/>
  <c r="E153" i="2"/>
  <c r="I230" i="2" l="1"/>
  <c r="G230" i="2"/>
  <c r="K15" i="1"/>
  <c r="Q42" i="1" l="1"/>
  <c r="E52" i="2" l="1"/>
  <c r="D5" i="2"/>
  <c r="G15" i="1"/>
  <c r="D123" i="2" l="1"/>
  <c r="D99" i="2"/>
  <c r="D91" i="2"/>
  <c r="D120" i="2" l="1"/>
  <c r="M42" i="1" l="1"/>
  <c r="C123" i="2"/>
  <c r="C115" i="2"/>
  <c r="C83" i="2"/>
  <c r="C68" i="2"/>
  <c r="E230" i="2" l="1"/>
  <c r="D6" i="2"/>
  <c r="I42" i="1" l="1"/>
  <c r="D115" i="2"/>
  <c r="D107" i="2"/>
  <c r="D69" i="2"/>
  <c r="D83" i="2"/>
  <c r="D68" i="2" l="1"/>
  <c r="D75" i="2"/>
  <c r="D33" i="2"/>
  <c r="D52" i="2" s="1"/>
  <c r="D230" i="2" l="1"/>
  <c r="G42" i="1" s="1"/>
  <c r="G19" i="1"/>
  <c r="C81" i="2"/>
  <c r="C75" i="2" s="1"/>
  <c r="C230" i="2" s="1"/>
  <c r="N64" i="2"/>
  <c r="K64" i="2"/>
  <c r="I64" i="2"/>
  <c r="G64" i="2"/>
  <c r="E64" i="2"/>
  <c r="I31" i="1" s="1"/>
  <c r="C64" i="2"/>
  <c r="E31" i="1" s="1"/>
  <c r="C33" i="2"/>
  <c r="C52" i="2" s="1"/>
  <c r="N52" i="2"/>
  <c r="K52" i="2"/>
  <c r="C40" i="1"/>
  <c r="C44" i="1" s="1"/>
  <c r="E36" i="1" s="1"/>
  <c r="E39" i="1" s="1"/>
  <c r="C29" i="1"/>
  <c r="C33" i="1" s="1"/>
  <c r="E24" i="1" s="1"/>
  <c r="M27" i="1"/>
  <c r="U27" i="1" s="1"/>
  <c r="AD27" i="1" s="1"/>
  <c r="C15" i="1"/>
  <c r="C17" i="1" s="1"/>
  <c r="C21" i="1" s="1"/>
  <c r="E5" i="1" s="1"/>
  <c r="E17" i="1" s="1"/>
  <c r="I15" i="1"/>
  <c r="C26" i="3" l="1"/>
  <c r="U19" i="1"/>
  <c r="D231" i="2"/>
  <c r="K231" i="2"/>
  <c r="N231" i="2"/>
  <c r="I231" i="2"/>
  <c r="M31" i="1"/>
  <c r="G231" i="2"/>
  <c r="E19" i="1"/>
  <c r="E21" i="1" s="1"/>
  <c r="C231" i="2"/>
  <c r="E40" i="1"/>
  <c r="E28" i="1"/>
  <c r="E29" i="1" s="1"/>
  <c r="E33" i="1" s="1"/>
  <c r="E42" i="1"/>
  <c r="G5" i="1"/>
  <c r="G17" i="1" s="1"/>
  <c r="G21" i="1" s="1"/>
  <c r="K5" i="1" s="1"/>
  <c r="G24" i="1"/>
  <c r="G29" i="1" s="1"/>
  <c r="G33" i="1" s="1"/>
  <c r="G36" i="1"/>
  <c r="G40" i="1" s="1"/>
  <c r="M19" i="1"/>
  <c r="Q19" i="1"/>
  <c r="AB15" i="1" l="1"/>
  <c r="AC15" i="1"/>
  <c r="I19" i="1"/>
  <c r="E231" i="2"/>
  <c r="E44" i="1"/>
  <c r="K24" i="1"/>
  <c r="I24" i="1"/>
  <c r="I5" i="1"/>
  <c r="K17" i="1"/>
  <c r="G44" i="1"/>
  <c r="Q15" i="1"/>
  <c r="M15" i="1"/>
  <c r="U15" i="1"/>
  <c r="K21" i="1" l="1"/>
  <c r="X15" i="1"/>
  <c r="Z15" i="1"/>
  <c r="K36" i="1"/>
  <c r="I36" i="1"/>
  <c r="I39" i="1" s="1"/>
  <c r="I29" i="1"/>
  <c r="I33" i="1" s="1"/>
  <c r="K28" i="1"/>
  <c r="K29" i="1" s="1"/>
  <c r="K33" i="1" s="1"/>
  <c r="I17" i="1"/>
  <c r="I21" i="1" s="1"/>
  <c r="M24" i="1" l="1"/>
  <c r="O24" i="1"/>
  <c r="O29" i="1" s="1"/>
  <c r="O33" i="1" s="1"/>
  <c r="M5" i="1"/>
  <c r="M17" i="1" s="1"/>
  <c r="O5" i="1"/>
  <c r="O17" i="1" s="1"/>
  <c r="O21" i="1" s="1"/>
  <c r="M28" i="1"/>
  <c r="M29" i="1" s="1"/>
  <c r="M33" i="1" s="1"/>
  <c r="I40" i="1"/>
  <c r="I44" i="1" s="1"/>
  <c r="S29" i="1" l="1"/>
  <c r="S33" i="1" s="1"/>
  <c r="U24" i="1" s="1"/>
  <c r="U29" i="1" s="1"/>
  <c r="U33" i="1" s="1"/>
  <c r="Q29" i="1"/>
  <c r="Q33" i="1" s="1"/>
  <c r="Q5" i="1"/>
  <c r="S17" i="1"/>
  <c r="S21" i="1" s="1"/>
  <c r="U5" i="1" s="1"/>
  <c r="K40" i="1"/>
  <c r="K44" i="1" s="1"/>
  <c r="M21" i="1"/>
  <c r="Q17" i="1" l="1"/>
  <c r="Q21" i="1" s="1"/>
  <c r="U17" i="1" s="1"/>
  <c r="U21" i="1" s="1"/>
  <c r="W17" i="1" s="1"/>
  <c r="W21" i="1" s="1"/>
  <c r="M36" i="1"/>
  <c r="M40" i="1" s="1"/>
  <c r="M44" i="1" s="1"/>
  <c r="O36" i="1"/>
  <c r="O40" i="1" s="1"/>
  <c r="O44" i="1" s="1"/>
  <c r="S36" i="1" s="1"/>
  <c r="X29" i="1"/>
  <c r="X33" i="1" s="1"/>
  <c r="Z24" i="1" s="1"/>
  <c r="X17" i="1" l="1"/>
  <c r="X21" i="1" s="1"/>
  <c r="Z5" i="1" s="1"/>
  <c r="Z17" i="1" s="1"/>
  <c r="Z21" i="1" s="1"/>
  <c r="AB5" i="1" s="1"/>
  <c r="Q36" i="1"/>
  <c r="Q40" i="1" s="1"/>
  <c r="Q44" i="1" s="1"/>
  <c r="S40" i="1"/>
  <c r="S44" i="1" s="1"/>
  <c r="U36" i="1" s="1"/>
  <c r="Z29" i="1"/>
  <c r="Z33" i="1" s="1"/>
  <c r="AB24" i="1" s="1"/>
  <c r="AB17" i="1" l="1"/>
  <c r="AB21" i="1" s="1"/>
  <c r="AC5" i="1" s="1"/>
  <c r="AC17" i="1" s="1"/>
  <c r="AC21" i="1" s="1"/>
  <c r="AD5" i="1" s="1"/>
  <c r="AD17" i="1" s="1"/>
  <c r="AD21" i="1" s="1"/>
  <c r="AG17" i="1" s="1"/>
  <c r="AG21" i="1" s="1"/>
  <c r="AH17" i="1" s="1"/>
  <c r="AH21" i="1" s="1"/>
  <c r="AI5" i="1" s="1"/>
  <c r="AI17" i="1" s="1"/>
  <c r="AI21" i="1" s="1"/>
  <c r="AJ5" i="1" s="1"/>
  <c r="AJ17" i="1" s="1"/>
  <c r="AJ21" i="1" s="1"/>
  <c r="AK5" i="1" s="1"/>
  <c r="AK17" i="1" s="1"/>
  <c r="AK21" i="1" s="1"/>
  <c r="AL5" i="1" s="1"/>
  <c r="AL17" i="1" s="1"/>
  <c r="AL21" i="1" s="1"/>
  <c r="U40" i="1"/>
  <c r="U44" i="1" s="1"/>
  <c r="X40" i="1" s="1"/>
  <c r="X44" i="1" s="1"/>
  <c r="Z36" i="1" s="1"/>
  <c r="Z40" i="1" s="1"/>
  <c r="Z44" i="1" s="1"/>
  <c r="AB36" i="1" s="1"/>
  <c r="AB40" i="1" s="1"/>
  <c r="AB44" i="1" s="1"/>
  <c r="AC36" i="1" s="1"/>
  <c r="AC40" i="1" s="1"/>
  <c r="AC44" i="1" s="1"/>
  <c r="AD36" i="1" s="1"/>
  <c r="AD40" i="1" s="1"/>
  <c r="AD44" i="1" s="1"/>
  <c r="AB29" i="1"/>
  <c r="AB33" i="1" s="1"/>
  <c r="AC29" i="1" s="1"/>
  <c r="AC33" i="1" s="1"/>
  <c r="AD24" i="1" s="1"/>
  <c r="C88" i="14"/>
  <c r="AD29" i="1" l="1"/>
  <c r="AD33" i="1" s="1"/>
  <c r="AG28" i="1" l="1"/>
  <c r="AG29" i="1" s="1"/>
  <c r="AG33" i="1" s="1"/>
  <c r="AH29" i="1" s="1"/>
  <c r="AH33" i="1" s="1"/>
  <c r="AI24" i="1" s="1"/>
  <c r="AI29" i="1" l="1"/>
  <c r="AI33" i="1" s="1"/>
  <c r="AJ24" i="1" s="1"/>
  <c r="AJ28" i="1" s="1"/>
  <c r="AJ29" i="1" s="1"/>
  <c r="AJ33" i="1" s="1"/>
  <c r="AK24" i="1" s="1"/>
  <c r="AK28" i="1" s="1"/>
  <c r="AK29" i="1" s="1"/>
  <c r="AK33" i="1" s="1"/>
  <c r="AL24" i="1" s="1"/>
  <c r="AL28" i="1" s="1"/>
  <c r="AL29" i="1" s="1"/>
  <c r="AL3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Luna, Holly</author>
  </authors>
  <commentList>
    <comment ref="C1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No PAYG cash transfer - per Marty Johnson, better to leave in Debt Svc for flexibility of future bond issuances</t>
        </r>
      </text>
    </comment>
    <comment ref="I13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Luna, Holly:</t>
        </r>
        <r>
          <rPr>
            <sz val="8"/>
            <color indexed="81"/>
            <rFont val="Tahoma"/>
            <family val="2"/>
          </rPr>
          <t xml:space="preserve">
did not complete PAYG $500K transfer FY13/14</t>
        </r>
      </text>
    </comment>
    <comment ref="K19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Luna, Holly:</t>
        </r>
        <r>
          <rPr>
            <sz val="8"/>
            <color indexed="81"/>
            <rFont val="Tahoma"/>
            <family val="2"/>
          </rPr>
          <t xml:space="preserve">
prelim audit = rounding</t>
        </r>
      </text>
    </comment>
    <comment ref="O19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Luna, Holly:</t>
        </r>
        <r>
          <rPr>
            <sz val="8"/>
            <color indexed="81"/>
            <rFont val="Tahoma"/>
            <family val="2"/>
          </rPr>
          <t xml:space="preserve">
prelim audit = rounding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Holly Luna, DCSD</author>
    <author>CSTASK User</author>
  </authors>
  <commentList>
    <comment ref="A33" authorId="0" shapeId="0" xr:uid="{00000000-0006-0000-0100-000002000000}">
      <text>
        <r>
          <rPr>
            <sz val="8"/>
            <color indexed="81"/>
            <rFont val="Tahoma"/>
            <family val="2"/>
          </rPr>
          <t>Main Budget Group in Bold includes expenditures in subcategories in formulaic equation.  CIP Funds total line is formatted in the same manner.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3" authorId="1" shapeId="0" xr:uid="{00000000-0006-0000-0100-000003000000}">
      <text>
        <r>
          <rPr>
            <b/>
            <sz val="8"/>
            <color indexed="81"/>
            <rFont val="Tahoma"/>
            <family val="2"/>
          </rPr>
          <t>Holly Luna, DCSD:</t>
        </r>
        <r>
          <rPr>
            <sz val="8"/>
            <color indexed="81"/>
            <rFont val="Tahoma"/>
            <family val="2"/>
          </rPr>
          <t xml:space="preserve">
300 = prof svcs
450 = const svcs
612 = misc materials (&lt;$5k)
652 = Technology Equip (comp/phones) (if &lt;$5k)
733 = Fixtures &amp; Furnishings (if &gt;$5k)
734 = Technology Equip (comp/phones) (if &gt;$5k)
735 = Software (if &gt;$5k)</t>
        </r>
      </text>
    </comment>
    <comment ref="H41" authorId="2" shapeId="0" xr:uid="{00000000-0006-0000-0100-000004000000}">
      <text>
        <r>
          <rPr>
            <b/>
            <sz val="8"/>
            <color indexed="81"/>
            <rFont val="Tahoma"/>
            <family val="2"/>
          </rPr>
          <t>CSTASK User:</t>
        </r>
        <r>
          <rPr>
            <sz val="8"/>
            <color indexed="81"/>
            <rFont val="Tahoma"/>
            <family val="2"/>
          </rPr>
          <t xml:space="preserve">
ATC projectors
JE 502 correction</t>
        </r>
      </text>
    </comment>
    <comment ref="B67" authorId="1" shapeId="0" xr:uid="{00000000-0006-0000-0100-000005000000}">
      <text>
        <r>
          <rPr>
            <b/>
            <sz val="8"/>
            <color indexed="81"/>
            <rFont val="Tahoma"/>
            <family val="2"/>
          </rPr>
          <t>Holly Luna, DCSD:</t>
        </r>
        <r>
          <rPr>
            <sz val="8"/>
            <color indexed="81"/>
            <rFont val="Tahoma"/>
            <family val="2"/>
          </rPr>
          <t xml:space="preserve">
300 = prof svcs
450 = const svcs
612 = misc materials (&lt;$5k)
652 = Technology Equip (comp/phones) (if &lt;$5k)
733 = Fixtures &amp; Furnishings (if &gt;$5k)
734 = Technology Equip (comp/phones) (if &gt;$5k)
735 = Software (if &gt;$5k)</t>
        </r>
      </text>
    </comment>
    <comment ref="H222" authorId="2" shapeId="0" xr:uid="{00000000-0006-0000-0100-000006000000}">
      <text>
        <r>
          <rPr>
            <b/>
            <sz val="8"/>
            <color indexed="81"/>
            <rFont val="Tahoma"/>
            <family val="2"/>
          </rPr>
          <t>CSTASK User:</t>
        </r>
        <r>
          <rPr>
            <sz val="8"/>
            <color indexed="81"/>
            <rFont val="Tahoma"/>
            <family val="2"/>
          </rPr>
          <t xml:space="preserve">
Retention ONLY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CSTASK User</author>
  </authors>
  <commentList>
    <comment ref="C81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CSTASK User:</t>
        </r>
        <r>
          <rPr>
            <sz val="8"/>
            <color indexed="81"/>
            <rFont val="Tahoma"/>
            <family val="2"/>
          </rPr>
          <t xml:space="preserve">
Plug # between John's estimate and total
</t>
        </r>
      </text>
    </comment>
  </commentList>
</comments>
</file>

<file path=xl/sharedStrings.xml><?xml version="1.0" encoding="utf-8"?>
<sst xmlns="http://schemas.openxmlformats.org/spreadsheetml/2006/main" count="1367" uniqueCount="625">
  <si>
    <t>Actual</t>
  </si>
  <si>
    <t>Dec Amend</t>
  </si>
  <si>
    <t>Forecast</t>
  </si>
  <si>
    <t>2011-2012</t>
  </si>
  <si>
    <t>2012-2013</t>
  </si>
  <si>
    <t>2013-2014</t>
  </si>
  <si>
    <t>2014-2015</t>
  </si>
  <si>
    <t>2015-2016</t>
  </si>
  <si>
    <t>2016-2017</t>
  </si>
  <si>
    <t>2017-2018</t>
  </si>
  <si>
    <t>CAPITAL PROJECTS FUND</t>
  </si>
  <si>
    <t xml:space="preserve">  Estimated Opening Balance</t>
  </si>
  <si>
    <t>Estimated Revenue:</t>
  </si>
  <si>
    <t xml:space="preserve">  Residential Building Permit Tax</t>
  </si>
  <si>
    <t xml:space="preserve">  Douglas County / Misc.</t>
  </si>
  <si>
    <t xml:space="preserve">  ESCO Proceeds</t>
  </si>
  <si>
    <t xml:space="preserve">  Donations</t>
  </si>
  <si>
    <t xml:space="preserve">  Pay-As-You-Go; Transfers from Debt Svc</t>
  </si>
  <si>
    <t xml:space="preserve">  Interest Income</t>
  </si>
  <si>
    <t xml:space="preserve">     TOTAL ESTIMATED REVENUE</t>
  </si>
  <si>
    <t xml:space="preserve">     TOTAL RESOURCES</t>
  </si>
  <si>
    <t>Estimated Projected Expenditures</t>
  </si>
  <si>
    <t>Estimated Ending Balance   (***)</t>
  </si>
  <si>
    <t>BUILDING &amp; SITES FUND</t>
  </si>
  <si>
    <t xml:space="preserve">  Rent on Bldgs</t>
  </si>
  <si>
    <t>Bond Projects Fund</t>
  </si>
  <si>
    <t>Capital Projects Fund (MVPT, RBPT &amp; PAYG Cash)</t>
  </si>
  <si>
    <t>Budget Code</t>
  </si>
  <si>
    <t>300.000.0000.000.4600.450.03301.20.421</t>
  </si>
  <si>
    <r>
      <t>300.000.0000.000.4600.450.03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.10.421</t>
    </r>
  </si>
  <si>
    <t>GWHS - Additional Full-Size Gym (Remaining Donation Funds)</t>
  </si>
  <si>
    <t>300.001.0000.000.4500.450.03502.30.421</t>
  </si>
  <si>
    <t>Chiller Tower Replacements (MES, PHES, PWL, SES)</t>
  </si>
  <si>
    <t>DW - Entrance Remodel (SPE)</t>
  </si>
  <si>
    <t>DHS - PHASE 2A FMP Upgrades</t>
  </si>
  <si>
    <t xml:space="preserve">     DW - Software Upgrades (&lt; $5K)</t>
  </si>
  <si>
    <t xml:space="preserve">     DW - Hardware / Server Replacement (&lt; $5K)</t>
  </si>
  <si>
    <t xml:space="preserve">     DW - Desktop Computer Replacement</t>
  </si>
  <si>
    <t xml:space="preserve">     DW - Tablet / Laptop Replacement</t>
  </si>
  <si>
    <t xml:space="preserve">     DW - Promethean Projector Replacement</t>
  </si>
  <si>
    <t xml:space="preserve">     DW - Bus Video Surveillance Renewal</t>
  </si>
  <si>
    <t xml:space="preserve">     DW - Video Surveillance Renewal (&lt; $5K)</t>
  </si>
  <si>
    <t xml:space="preserve">     DW - Video Surveillance System Renewal (&gt; $5K)</t>
  </si>
  <si>
    <t xml:space="preserve">     DW - Hardware / Server Replacement (&gt; $5K)</t>
  </si>
  <si>
    <t xml:space="preserve">     DW - Communications Systems Renewal (Bell/Intercom/VOIP)</t>
  </si>
  <si>
    <t xml:space="preserve">     DW - Software Upgrades (&gt; $5K)</t>
  </si>
  <si>
    <t>TOTAL CAPITAL PROJECT FUNDS (MVPT &amp; RBPT)</t>
  </si>
  <si>
    <t>Building &amp; Sites Fund - (Land Sale Proceeds / Rental)</t>
  </si>
  <si>
    <t>TOTAL BUILDING &amp; SITES</t>
  </si>
  <si>
    <t>Bond (2008 Voter Approved Continuation Proceeds)</t>
  </si>
  <si>
    <t xml:space="preserve">     2010 BABS SERIES ($12,625,000)</t>
  </si>
  <si>
    <t>**read the code strands</t>
  </si>
  <si>
    <t xml:space="preserve">          PHES FMP - PHASE 1A (FF&amp;E, incl playground)</t>
  </si>
  <si>
    <r>
      <t>360.142.0000.000.2900.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.03209.10.421</t>
    </r>
  </si>
  <si>
    <r>
      <t>360.142.0000.000.4600.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.03209.10.421</t>
    </r>
  </si>
  <si>
    <t xml:space="preserve">          PHES FMP - PHASE 1A (new build)</t>
  </si>
  <si>
    <r>
      <t>360.142.0000.000.4500.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.03209.10.421</t>
    </r>
  </si>
  <si>
    <t xml:space="preserve">          PHES FMP - PHASE 1A (land improvements)</t>
  </si>
  <si>
    <r>
      <t>360.142.0000.000.4200.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.03209.10.421</t>
    </r>
  </si>
  <si>
    <t xml:space="preserve">          PHES FMP - Phase 1A (prof. services)</t>
  </si>
  <si>
    <r>
      <t>360.142.0000.000.</t>
    </r>
    <r>
      <rPr>
        <sz val="10"/>
        <color rgb="FFFF0000"/>
        <rFont val="Arial"/>
        <family val="2"/>
      </rPr>
      <t>4XXX</t>
    </r>
    <r>
      <rPr>
        <sz val="10"/>
        <rFont val="Arial"/>
        <family val="2"/>
      </rPr>
      <t>.300.03209.10.421</t>
    </r>
  </si>
  <si>
    <t xml:space="preserve">          GES FMP - PHASE 1A (FF&amp;E, incl playground)</t>
  </si>
  <si>
    <r>
      <t>360.143.0000.000.2900.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.03201.10.421</t>
    </r>
  </si>
  <si>
    <t xml:space="preserve">          GES FMP - PHASE 1A (bldg renovations)</t>
  </si>
  <si>
    <r>
      <t>360.143.0000.000.4600.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.03201.10.421</t>
    </r>
  </si>
  <si>
    <t xml:space="preserve">          GES FMP - PHASE 1A (new build)</t>
  </si>
  <si>
    <r>
      <t>360.143.0000.000.4500.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.03201.10.421</t>
    </r>
  </si>
  <si>
    <t xml:space="preserve">          GES FMP - PHASE 1A (land improvements)</t>
  </si>
  <si>
    <r>
      <t>360.143.0000.000.4200.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.03201.10.421</t>
    </r>
  </si>
  <si>
    <t xml:space="preserve">          GES FMP - Phase 1A (prof. services)</t>
  </si>
  <si>
    <r>
      <t>360.143.0000.000.</t>
    </r>
    <r>
      <rPr>
        <sz val="10"/>
        <color rgb="FFFF0000"/>
        <rFont val="Arial"/>
        <family val="2"/>
      </rPr>
      <t>4XXX</t>
    </r>
    <r>
      <rPr>
        <sz val="10"/>
        <rFont val="Arial"/>
        <family val="2"/>
      </rPr>
      <t>.300.03201.10.421</t>
    </r>
  </si>
  <si>
    <r>
      <t>360.144.0000.000.4600.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</si>
  <si>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t xml:space="preserve">          DHS FMP - PHASE 2A (bldg renovations)</t>
  </si>
  <si>
    <t xml:space="preserve">          DHS FMP - PHASE 2A (new build)</t>
  </si>
  <si>
    <r>
      <t>360.144.0000.000.4500.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</si>
  <si>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t xml:space="preserve">          DHS FMP - PHASE 2A (land improvements)</t>
  </si>
  <si>
    <r>
      <t>360.144.0000.000.4200.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</si>
  <si>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360.144.0000.000.</t>
    </r>
    <r>
      <rPr>
        <sz val="10"/>
        <color rgb="FFFF0000"/>
        <rFont val="Arial"/>
        <family val="2"/>
      </rPr>
      <t>4XXX</t>
    </r>
    <r>
      <rPr>
        <sz val="10"/>
        <rFont val="Arial"/>
        <family val="2"/>
      </rPr>
      <t>.300.03501.30.421</t>
    </r>
  </si>
  <si>
    <t xml:space="preserve">          Playgrounds - PHASE 2A (new build)</t>
  </si>
  <si>
    <t xml:space="preserve">          Playgrounds - PHASE 2A (prof. services)</t>
  </si>
  <si>
    <t xml:space="preserve">          AF - PHASE 2A (FF&amp;E)</t>
  </si>
  <si>
    <t xml:space="preserve">          AF - PHASE 2A (bldg renovations)</t>
  </si>
  <si>
    <t xml:space="preserve">          AF - PHASE 2A (new build)</t>
  </si>
  <si>
    <t xml:space="preserve">          AF - PHASE 2A (land improvements)</t>
  </si>
  <si>
    <t xml:space="preserve">          AF - Phase 2A (prof. services)</t>
  </si>
  <si>
    <t>360.000.0000.000.2900.xxx.03xxx.xx.421</t>
  </si>
  <si>
    <t xml:space="preserve">          DW Bond Related (2900)</t>
  </si>
  <si>
    <t xml:space="preserve">         DW Bond Related (2900)</t>
  </si>
  <si>
    <t xml:space="preserve">         Bond Costs (Related Legal/Financing)</t>
  </si>
  <si>
    <t xml:space="preserve">      Proposed 2015 Series ($5,000,000)</t>
  </si>
  <si>
    <t>TOTAL BOND FUNDS</t>
  </si>
  <si>
    <t>TOTAL ALL FUNDS</t>
  </si>
  <si>
    <t>Actuals</t>
  </si>
  <si>
    <t>300.000.0000.000.6200.910.03000.50.421</t>
  </si>
  <si>
    <r>
      <t>360.144.0000.000.2900.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.03501.50.421</t>
    </r>
  </si>
  <si>
    <t>360.145.0000.000.2900.xxx.03000.50.421</t>
  </si>
  <si>
    <r>
      <t>360.145.0000.000.4600.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.03000.30.421</t>
    </r>
  </si>
  <si>
    <r>
      <t>360.145.0000.000.4500.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.03000.30.421</t>
    </r>
  </si>
  <si>
    <r>
      <t>360.145.0000.000.4200.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.03000.30.421</t>
    </r>
  </si>
  <si>
    <r>
      <t>360.145.0000.000.</t>
    </r>
    <r>
      <rPr>
        <sz val="10"/>
        <color rgb="FFFF0000"/>
        <rFont val="Arial"/>
        <family val="2"/>
      </rPr>
      <t>4XXX</t>
    </r>
    <r>
      <rPr>
        <sz val="10"/>
        <rFont val="Arial"/>
        <family val="2"/>
      </rPr>
      <t>.300.03000.30.421</t>
    </r>
  </si>
  <si>
    <r>
      <t>360.146.000.0000.000.4600.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</t>
    </r>
    <r>
      <rPr>
        <sz val="10"/>
        <color rgb="FFFF0000"/>
        <rFont val="Arial"/>
        <family val="2"/>
      </rPr>
      <t>xxx.</t>
    </r>
    <r>
      <rPr>
        <sz val="10"/>
        <rFont val="Arial"/>
        <family val="2"/>
      </rPr>
      <t>10.421</t>
    </r>
  </si>
  <si>
    <r>
      <t>360.146.000.0000.000.4500.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</t>
    </r>
    <r>
      <rPr>
        <sz val="10"/>
        <color rgb="FFFF0000"/>
        <rFont val="Arial"/>
        <family val="2"/>
      </rPr>
      <t>xxx.</t>
    </r>
    <r>
      <rPr>
        <sz val="10"/>
        <rFont val="Arial"/>
        <family val="2"/>
      </rPr>
      <t>10.421</t>
    </r>
  </si>
  <si>
    <t>Jun Amend</t>
  </si>
  <si>
    <t>DCSD Salaries</t>
  </si>
  <si>
    <t>DCSD Benefits</t>
  </si>
  <si>
    <r>
      <t>360.000.0000.000.2900.</t>
    </r>
    <r>
      <rPr>
        <b/>
        <sz val="10"/>
        <color rgb="FFFF0000"/>
        <rFont val="Arial"/>
        <family val="2"/>
      </rPr>
      <t>xxx</t>
    </r>
    <r>
      <rPr>
        <sz val="10"/>
        <rFont val="Arial"/>
        <family val="2"/>
      </rPr>
      <t>.03</t>
    </r>
    <r>
      <rPr>
        <b/>
        <sz val="10"/>
        <color rgb="FFFF0000"/>
        <rFont val="Arial"/>
        <family val="2"/>
      </rPr>
      <t>xxx</t>
    </r>
    <r>
      <rPr>
        <sz val="10"/>
        <rFont val="Arial"/>
        <family val="2"/>
      </rPr>
      <t>.</t>
    </r>
    <r>
      <rPr>
        <b/>
        <sz val="10"/>
        <color rgb="FFFF0000"/>
        <rFont val="Arial"/>
        <family val="2"/>
      </rPr>
      <t>xx</t>
    </r>
    <r>
      <rPr>
        <sz val="10"/>
        <rFont val="Arial"/>
        <family val="2"/>
      </rPr>
      <t>.421</t>
    </r>
  </si>
  <si>
    <t>DCSD Misc.</t>
  </si>
  <si>
    <r>
      <t>360.143.0000.000.4700.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.03201.10.421</t>
    </r>
  </si>
  <si>
    <t xml:space="preserve">          DW Support (Personnel)</t>
  </si>
  <si>
    <t xml:space="preserve">          DW FF&amp;E (Project = 105)</t>
  </si>
  <si>
    <r>
      <t>360.105.0000.000.2900.</t>
    </r>
    <r>
      <rPr>
        <b/>
        <sz val="10"/>
        <color rgb="FFFF0000"/>
        <rFont val="Arial"/>
        <family val="2"/>
      </rPr>
      <t>xxx</t>
    </r>
    <r>
      <rPr>
        <sz val="10"/>
        <rFont val="Arial"/>
        <family val="2"/>
      </rPr>
      <t>.03000.50.421</t>
    </r>
  </si>
  <si>
    <t xml:space="preserve">      Proposed 2012 Series ($9,000,000)</t>
  </si>
  <si>
    <t xml:space="preserve">      Proposed 2013 Series ($8,500,000)</t>
  </si>
  <si>
    <t>360.106.0000.000.2900.340.03000.50.421</t>
  </si>
  <si>
    <r>
      <t>360.</t>
    </r>
    <r>
      <rPr>
        <b/>
        <sz val="10"/>
        <color rgb="FFFF0000"/>
        <rFont val="Arial"/>
        <family val="2"/>
      </rPr>
      <t>XXX</t>
    </r>
    <r>
      <rPr>
        <sz val="10"/>
        <rFont val="Arial"/>
        <family val="2"/>
      </rPr>
      <t>.0000.000.2900.340.03000.50.421</t>
    </r>
  </si>
  <si>
    <r>
      <t>360.144.0000.000.4700.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</si>
  <si>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360.145.0000.000.4700.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.03000.30.421</t>
    </r>
  </si>
  <si>
    <t xml:space="preserve">          PHES FMP - PHASE 1A (temp site improvements)</t>
  </si>
  <si>
    <t xml:space="preserve">          GES FMP - PHASE 1A (temp site improvements)</t>
  </si>
  <si>
    <t xml:space="preserve">          DHS FMP - PHASE 2A (temp site improvements)</t>
  </si>
  <si>
    <t xml:space="preserve">          Playgrounds - PHASE 2A (temp site improvements)</t>
  </si>
  <si>
    <t xml:space="preserve">          AF - PHASE 2A (temp site improvements)</t>
  </si>
  <si>
    <r>
      <t>360.146.000.0000.000.2900.</t>
    </r>
    <r>
      <rPr>
        <b/>
        <sz val="10"/>
        <color rgb="FFFF0000"/>
        <rFont val="Arial"/>
        <family val="2"/>
      </rPr>
      <t>XXX</t>
    </r>
    <r>
      <rPr>
        <sz val="10"/>
        <rFont val="Arial"/>
        <family val="2"/>
      </rPr>
      <t>.03</t>
    </r>
    <r>
      <rPr>
        <b/>
        <sz val="10"/>
        <color rgb="FFFF0000"/>
        <rFont val="Arial"/>
        <family val="2"/>
      </rPr>
      <t>XXX</t>
    </r>
    <r>
      <rPr>
        <sz val="10"/>
        <color rgb="FFFF0000"/>
        <rFont val="Arial"/>
        <family val="2"/>
      </rPr>
      <t>.</t>
    </r>
    <r>
      <rPr>
        <b/>
        <sz val="10"/>
        <color rgb="FFFF0000"/>
        <rFont val="Arial"/>
        <family val="2"/>
      </rPr>
      <t>X</t>
    </r>
    <r>
      <rPr>
        <sz val="10"/>
        <rFont val="Arial"/>
        <family val="2"/>
      </rPr>
      <t>0.421</t>
    </r>
  </si>
  <si>
    <t xml:space="preserve">          DHS FMP - Phase 2A (prof. services)</t>
  </si>
  <si>
    <r>
      <t>360.147.0000.000.2900.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.03501.50.421</t>
    </r>
  </si>
  <si>
    <r>
      <t>360.147.0000.000.4200.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</si>
  <si>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360.147.0000.000.4500.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</si>
  <si>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360.147.0000.000.4600.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</si>
  <si>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360.147.0000.000.4700.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</si>
  <si>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360.147.0000.000.</t>
    </r>
    <r>
      <rPr>
        <sz val="10"/>
        <color rgb="FFFF0000"/>
        <rFont val="Arial"/>
        <family val="2"/>
      </rPr>
      <t>4XXX</t>
    </r>
    <r>
      <rPr>
        <sz val="10"/>
        <rFont val="Arial"/>
        <family val="2"/>
      </rPr>
      <t>.300.03501.30.421</t>
    </r>
  </si>
  <si>
    <t xml:space="preserve">          DHS FMP - PHASE 2A (FF&amp;E)</t>
  </si>
  <si>
    <r>
      <t>360.151.0000.000.2900.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.03501.50.421</t>
    </r>
  </si>
  <si>
    <r>
      <t>360.151.0000.000.4200.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</si>
  <si>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360.151.0000.000.4500.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</si>
  <si>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360.151.0000.000.4600.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</si>
  <si>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360.151.0000.000.4700.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</si>
  <si>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360.151.0000.000.</t>
    </r>
    <r>
      <rPr>
        <sz val="10"/>
        <color rgb="FFFF0000"/>
        <rFont val="Arial"/>
        <family val="2"/>
      </rPr>
      <t>4XXX</t>
    </r>
    <r>
      <rPr>
        <sz val="10"/>
        <rFont val="Arial"/>
        <family val="2"/>
      </rPr>
      <t>.300.03501.30.421</t>
    </r>
  </si>
  <si>
    <r>
      <t xml:space="preserve">         PHES FMP - Phase 1A (142) </t>
    </r>
    <r>
      <rPr>
        <b/>
        <sz val="10"/>
        <color rgb="FFFF0000"/>
        <rFont val="Arial"/>
        <family val="2"/>
      </rPr>
      <t>COMPLETED</t>
    </r>
  </si>
  <si>
    <r>
      <t xml:space="preserve">         GES FMP - Phase 1A (143)  </t>
    </r>
    <r>
      <rPr>
        <b/>
        <sz val="10"/>
        <color rgb="FFFF0000"/>
        <rFont val="Arial"/>
        <family val="2"/>
      </rPr>
      <t>COMPLETED</t>
    </r>
  </si>
  <si>
    <r>
      <t xml:space="preserve">CVMS - "B" Wing - Asbestos Abatement   </t>
    </r>
    <r>
      <rPr>
        <b/>
        <sz val="10"/>
        <color rgb="FFFF0000"/>
        <rFont val="Arial"/>
        <family val="2"/>
      </rPr>
      <t>COMPLETED</t>
    </r>
  </si>
  <si>
    <r>
      <t xml:space="preserve">CVMS - "B" Wing - Roof Replacement  </t>
    </r>
    <r>
      <rPr>
        <b/>
        <sz val="10"/>
        <color rgb="FFFF0000"/>
        <rFont val="Arial"/>
        <family val="2"/>
      </rPr>
      <t>COMPLETED</t>
    </r>
  </si>
  <si>
    <r>
      <t xml:space="preserve">SES / MES - Boiler Loop Improvements  </t>
    </r>
    <r>
      <rPr>
        <b/>
        <sz val="10"/>
        <color rgb="FFFF0000"/>
        <rFont val="Arial"/>
        <family val="2"/>
      </rPr>
      <t>COMPLETED</t>
    </r>
  </si>
  <si>
    <r>
      <t xml:space="preserve">Transfer to Grant Fund  </t>
    </r>
    <r>
      <rPr>
        <b/>
        <sz val="10"/>
        <color rgb="FFFF0000"/>
        <rFont val="Arial"/>
        <family val="2"/>
      </rPr>
      <t>COMPLETED</t>
    </r>
  </si>
  <si>
    <r>
      <t xml:space="preserve">          DW FMP Support (Misc.) </t>
    </r>
    <r>
      <rPr>
        <b/>
        <sz val="10"/>
        <color rgb="FFFF0000"/>
        <rFont val="Arial"/>
        <family val="2"/>
      </rPr>
      <t>COMPLETED</t>
    </r>
  </si>
  <si>
    <r>
      <t xml:space="preserve">         Airport Facilities (including NOC relocation) (145) </t>
    </r>
    <r>
      <rPr>
        <b/>
        <sz val="10"/>
        <color rgb="FF00B050"/>
        <rFont val="Arial"/>
        <family val="2"/>
      </rPr>
      <t>ON-GOING</t>
    </r>
  </si>
  <si>
    <r>
      <t xml:space="preserve">         DW - Playground Equipment Renewal (146) </t>
    </r>
    <r>
      <rPr>
        <b/>
        <sz val="10"/>
        <color rgb="FF00B050"/>
        <rFont val="Arial"/>
        <family val="2"/>
      </rPr>
      <t>ON-GOING</t>
    </r>
  </si>
  <si>
    <t>2018-2019</t>
  </si>
  <si>
    <t xml:space="preserve">  Bond Sales (FMP Phase 2 +)</t>
  </si>
  <si>
    <t xml:space="preserve">          PHASE XX (FF&amp;E)</t>
  </si>
  <si>
    <t xml:space="preserve">          PHASE XX (land improvements)</t>
  </si>
  <si>
    <t xml:space="preserve">          PHASE XX (new build)</t>
  </si>
  <si>
    <t xml:space="preserve">          PHASE XX (temp site improvements)</t>
  </si>
  <si>
    <t xml:space="preserve">          PHASE XX (bldg renovations)</t>
  </si>
  <si>
    <t xml:space="preserve">          PHASE XX (prof. services)</t>
  </si>
  <si>
    <r>
      <t xml:space="preserve">         DHS FMP - Phase 2A (144)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COMPLETED</t>
    </r>
  </si>
  <si>
    <r>
      <t xml:space="preserve">         DHS FMP - Phase 2A (Modulars ONLY 147)</t>
    </r>
    <r>
      <rPr>
        <b/>
        <sz val="10"/>
        <color rgb="FFFF0000"/>
        <rFont val="Arial"/>
        <family val="2"/>
      </rPr>
      <t xml:space="preserve"> COMPLETED</t>
    </r>
  </si>
  <si>
    <r>
      <t xml:space="preserve">         DHS FMP - Phase 2A (Abatement ONLY 151)</t>
    </r>
    <r>
      <rPr>
        <b/>
        <sz val="10"/>
        <color rgb="FFFF0000"/>
        <rFont val="Arial"/>
        <family val="2"/>
      </rPr>
      <t xml:space="preserve"> COMPLETED</t>
    </r>
  </si>
  <si>
    <r>
      <t xml:space="preserve">         Airport Facilities (including NOC relocation) (145)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 xml:space="preserve"> COMPLETED</t>
    </r>
  </si>
  <si>
    <r>
      <t xml:space="preserve">         DW - Playground Equipment Renewal (146) </t>
    </r>
    <r>
      <rPr>
        <b/>
        <sz val="10"/>
        <color rgb="FFFF0000"/>
        <rFont val="Arial"/>
        <family val="2"/>
      </rPr>
      <t>COMPLETED</t>
    </r>
  </si>
  <si>
    <r>
      <t xml:space="preserve">         Bond Costs (Related Legal/Financing) </t>
    </r>
    <r>
      <rPr>
        <b/>
        <sz val="10"/>
        <color rgb="FFFF0000"/>
        <rFont val="Arial"/>
        <family val="2"/>
      </rPr>
      <t>COMPLETED</t>
    </r>
  </si>
  <si>
    <r>
      <t xml:space="preserve">         DW Bond Related (2900) </t>
    </r>
    <r>
      <rPr>
        <b/>
        <sz val="10"/>
        <color rgb="FF00B050"/>
        <rFont val="Arial"/>
        <family val="2"/>
      </rPr>
      <t>ON-GOING</t>
    </r>
  </si>
  <si>
    <r>
      <t xml:space="preserve">         DHS FMP - Phase 2A </t>
    </r>
    <r>
      <rPr>
        <b/>
        <sz val="10"/>
        <color rgb="FF00B050"/>
        <rFont val="Arial"/>
        <family val="2"/>
      </rPr>
      <t>ON-GOING</t>
    </r>
  </si>
  <si>
    <t xml:space="preserve">      Accumulated Funds</t>
  </si>
  <si>
    <t xml:space="preserve">     DW - Laser Scribe + Fixed Assets Scanners (&lt; $5K)</t>
  </si>
  <si>
    <t xml:space="preserve">DW - Technology Replacement Schedule </t>
  </si>
  <si>
    <t>DW - Fire Code Repairs, Upgrades</t>
  </si>
  <si>
    <t xml:space="preserve">         DW Bond - Misc</t>
  </si>
  <si>
    <t>Project</t>
  </si>
  <si>
    <t>Last Digits</t>
  </si>
  <si>
    <t>2900.651</t>
  </si>
  <si>
    <t>Tech - Replacement</t>
  </si>
  <si>
    <t>2900.652</t>
  </si>
  <si>
    <t>2900.734</t>
  </si>
  <si>
    <t>2900.735</t>
  </si>
  <si>
    <t>4600.450</t>
  </si>
  <si>
    <t>check</t>
  </si>
  <si>
    <t>Bldgs &amp; Sites PROJECTS FUND</t>
  </si>
  <si>
    <t>Last 8 Digits</t>
  </si>
  <si>
    <t>BOND FUNDs</t>
  </si>
  <si>
    <t>2900.612</t>
  </si>
  <si>
    <r>
      <t>300.000.0000.000.4700.</t>
    </r>
    <r>
      <rPr>
        <b/>
        <sz val="10"/>
        <color rgb="FFFF0000"/>
        <rFont val="Arial"/>
        <family val="2"/>
      </rPr>
      <t>XXX</t>
    </r>
    <r>
      <rPr>
        <sz val="10"/>
        <rFont val="Arial"/>
        <family val="2"/>
      </rPr>
      <t>.03205.10.421</t>
    </r>
  </si>
  <si>
    <t>DHS - HVAC system replacements (Bldg 300 - Media Center)</t>
  </si>
  <si>
    <t>4700.340</t>
  </si>
  <si>
    <t>4700.450</t>
  </si>
  <si>
    <r>
      <t>360.144.0000.000.</t>
    </r>
    <r>
      <rPr>
        <sz val="10"/>
        <color rgb="FFFF0000"/>
        <rFont val="Arial"/>
        <family val="2"/>
      </rPr>
      <t>4XXX</t>
    </r>
    <r>
      <rPr>
        <sz val="10"/>
        <rFont val="Arial"/>
        <family val="2"/>
      </rPr>
      <t>.340.03501.30.421</t>
    </r>
  </si>
  <si>
    <r>
      <t>360.147.0000.000.</t>
    </r>
    <r>
      <rPr>
        <sz val="10"/>
        <color rgb="FFFF0000"/>
        <rFont val="Arial"/>
        <family val="2"/>
      </rPr>
      <t>4XXX</t>
    </r>
    <r>
      <rPr>
        <sz val="10"/>
        <rFont val="Arial"/>
        <family val="2"/>
      </rPr>
      <t>.340.03501.30.421</t>
    </r>
  </si>
  <si>
    <r>
      <t>360.145.0000.000.</t>
    </r>
    <r>
      <rPr>
        <sz val="10"/>
        <color rgb="FFFF0000"/>
        <rFont val="Arial"/>
        <family val="2"/>
      </rPr>
      <t>4XXX</t>
    </r>
    <r>
      <rPr>
        <sz val="10"/>
        <rFont val="Arial"/>
        <family val="2"/>
      </rPr>
      <t>.340.03000.30.421</t>
    </r>
  </si>
  <si>
    <t xml:space="preserve">          Playgrounds - PHASE 2A (bldg improvements)</t>
  </si>
  <si>
    <r>
      <t>360.146.000.0000.000.4600.450.03</t>
    </r>
    <r>
      <rPr>
        <sz val="10"/>
        <color rgb="FFFF0000"/>
        <rFont val="Arial"/>
        <family val="2"/>
      </rPr>
      <t>xxx.</t>
    </r>
    <r>
      <rPr>
        <sz val="10"/>
        <rFont val="Arial"/>
        <family val="2"/>
      </rPr>
      <t>10.421</t>
    </r>
  </si>
  <si>
    <r>
      <t>360.000.0000.000.2900.1</t>
    </r>
    <r>
      <rPr>
        <b/>
        <sz val="10"/>
        <color rgb="FFFF0000"/>
        <rFont val="Arial"/>
        <family val="2"/>
      </rPr>
      <t>XX</t>
    </r>
    <r>
      <rPr>
        <sz val="10"/>
        <rFont val="Arial"/>
        <family val="2"/>
      </rPr>
      <t>.03</t>
    </r>
    <r>
      <rPr>
        <b/>
        <sz val="10"/>
        <color rgb="FFFF0000"/>
        <rFont val="Arial"/>
        <family val="2"/>
      </rPr>
      <t>XXX.XX</t>
    </r>
    <r>
      <rPr>
        <sz val="10"/>
        <rFont val="Arial"/>
        <family val="2"/>
      </rPr>
      <t>.421</t>
    </r>
  </si>
  <si>
    <r>
      <t>360.000.0000.000.2900.2</t>
    </r>
    <r>
      <rPr>
        <b/>
        <sz val="10"/>
        <color rgb="FFFF0000"/>
        <rFont val="Arial"/>
        <family val="2"/>
      </rPr>
      <t>XX</t>
    </r>
    <r>
      <rPr>
        <sz val="10"/>
        <rFont val="Arial"/>
        <family val="2"/>
      </rPr>
      <t>.03</t>
    </r>
    <r>
      <rPr>
        <b/>
        <sz val="10"/>
        <color rgb="FFFF0000"/>
        <rFont val="Arial"/>
        <family val="2"/>
      </rPr>
      <t>XXX.XX</t>
    </r>
    <r>
      <rPr>
        <sz val="10"/>
        <rFont val="Arial"/>
        <family val="2"/>
      </rPr>
      <t>.421</t>
    </r>
  </si>
  <si>
    <r>
      <t>2900.1</t>
    </r>
    <r>
      <rPr>
        <b/>
        <sz val="10"/>
        <color rgb="FFFF0000"/>
        <rFont val="Arial"/>
        <family val="2"/>
      </rPr>
      <t>XX</t>
    </r>
  </si>
  <si>
    <r>
      <t>2900.2</t>
    </r>
    <r>
      <rPr>
        <b/>
        <sz val="10"/>
        <color rgb="FFFF0000"/>
        <rFont val="Arial"/>
        <family val="2"/>
      </rPr>
      <t>XX</t>
    </r>
  </si>
  <si>
    <r>
      <t>360.</t>
    </r>
    <r>
      <rPr>
        <b/>
        <sz val="10"/>
        <color rgb="FFFF0000"/>
        <rFont val="Arial"/>
        <family val="2"/>
      </rPr>
      <t>XXX</t>
    </r>
    <r>
      <rPr>
        <sz val="10"/>
        <rFont val="Arial"/>
        <family val="2"/>
      </rPr>
      <t>.0000.000.2900.3</t>
    </r>
    <r>
      <rPr>
        <b/>
        <sz val="10"/>
        <color rgb="FFFF0000"/>
        <rFont val="Arial"/>
        <family val="2"/>
      </rPr>
      <t>XX</t>
    </r>
    <r>
      <rPr>
        <sz val="10"/>
        <rFont val="Arial"/>
        <family val="2"/>
      </rPr>
      <t>.03000.50.421</t>
    </r>
  </si>
  <si>
    <r>
      <t>360.</t>
    </r>
    <r>
      <rPr>
        <b/>
        <sz val="10"/>
        <color rgb="FFFF0000"/>
        <rFont val="Arial"/>
        <family val="2"/>
      </rPr>
      <t>XXX</t>
    </r>
    <r>
      <rPr>
        <sz val="10"/>
        <rFont val="Arial"/>
        <family val="2"/>
      </rPr>
      <t>.0000.000.2900.5</t>
    </r>
    <r>
      <rPr>
        <b/>
        <sz val="10"/>
        <color rgb="FFFF0000"/>
        <rFont val="Arial"/>
        <family val="2"/>
      </rPr>
      <t>XX</t>
    </r>
    <r>
      <rPr>
        <sz val="10"/>
        <rFont val="Arial"/>
        <family val="2"/>
      </rPr>
      <t>.03000.50.421</t>
    </r>
  </si>
  <si>
    <r>
      <t>360.14</t>
    </r>
    <r>
      <rPr>
        <b/>
        <sz val="10"/>
        <color rgb="FFFF0000"/>
        <rFont val="Arial"/>
        <family val="2"/>
      </rPr>
      <t>X</t>
    </r>
    <r>
      <rPr>
        <sz val="10"/>
        <rFont val="Arial"/>
        <family val="2"/>
      </rPr>
      <t>.0000.000.2900.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.03501.50.421</t>
    </r>
  </si>
  <si>
    <r>
      <t>360.14</t>
    </r>
    <r>
      <rPr>
        <b/>
        <sz val="10"/>
        <color rgb="FFFF0000"/>
        <rFont val="Arial"/>
        <family val="2"/>
      </rPr>
      <t>X</t>
    </r>
    <r>
      <rPr>
        <sz val="10"/>
        <rFont val="Arial"/>
        <family val="2"/>
      </rPr>
      <t>.0000.000.4200.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</si>
  <si>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360.14</t>
    </r>
    <r>
      <rPr>
        <b/>
        <sz val="10"/>
        <color rgb="FFFF0000"/>
        <rFont val="Arial"/>
        <family val="2"/>
      </rPr>
      <t>X</t>
    </r>
    <r>
      <rPr>
        <sz val="10"/>
        <rFont val="Arial"/>
        <family val="2"/>
      </rPr>
      <t>.0000.000.4500.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</si>
  <si>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360.14</t>
    </r>
    <r>
      <rPr>
        <b/>
        <sz val="10"/>
        <color rgb="FFFF0000"/>
        <rFont val="Arial"/>
        <family val="2"/>
      </rPr>
      <t>X</t>
    </r>
    <r>
      <rPr>
        <sz val="10"/>
        <rFont val="Arial"/>
        <family val="2"/>
      </rPr>
      <t>.0000.000.4600.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</si>
  <si>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360.14</t>
    </r>
    <r>
      <rPr>
        <b/>
        <sz val="10"/>
        <color rgb="FFFF0000"/>
        <rFont val="Arial"/>
        <family val="2"/>
      </rPr>
      <t>X</t>
    </r>
    <r>
      <rPr>
        <sz val="10"/>
        <rFont val="Arial"/>
        <family val="2"/>
      </rPr>
      <t>.0000.000.4700.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.03501.30.421</t>
    </r>
  </si>
  <si>
    <r>
      <t>360.14</t>
    </r>
    <r>
      <rPr>
        <b/>
        <sz val="10"/>
        <color rgb="FFFF0000"/>
        <rFont val="Arial"/>
        <family val="2"/>
      </rPr>
      <t>X</t>
    </r>
    <r>
      <rPr>
        <sz val="10"/>
        <rFont val="Arial"/>
        <family val="2"/>
      </rPr>
      <t>.0000.000.</t>
    </r>
    <r>
      <rPr>
        <sz val="10"/>
        <color rgb="FFFF0000"/>
        <rFont val="Arial"/>
        <family val="2"/>
      </rPr>
      <t>4XXX</t>
    </r>
    <r>
      <rPr>
        <sz val="10"/>
        <rFont val="Arial"/>
        <family val="2"/>
      </rPr>
      <t>.340.03501.30.421</t>
    </r>
  </si>
  <si>
    <t xml:space="preserve">          DHS FMP - PHASE 2A (FF&amp;E/Other)</t>
  </si>
  <si>
    <r>
      <t>360.146.000.0000.000.</t>
    </r>
    <r>
      <rPr>
        <b/>
        <sz val="10"/>
        <color rgb="FFFF0000"/>
        <rFont val="Arial"/>
        <family val="2"/>
      </rPr>
      <t>4X</t>
    </r>
    <r>
      <rPr>
        <sz val="10"/>
        <rFont val="Arial"/>
        <family val="2"/>
      </rPr>
      <t>00.340.03</t>
    </r>
    <r>
      <rPr>
        <b/>
        <sz val="10"/>
        <color rgb="FFFF0000"/>
        <rFont val="Arial"/>
        <family val="2"/>
      </rPr>
      <t>XXX</t>
    </r>
    <r>
      <rPr>
        <sz val="10"/>
        <color rgb="FFFF0000"/>
        <rFont val="Arial"/>
        <family val="2"/>
      </rPr>
      <t>.</t>
    </r>
    <r>
      <rPr>
        <b/>
        <sz val="10"/>
        <color rgb="FFFF0000"/>
        <rFont val="Arial"/>
        <family val="2"/>
      </rPr>
      <t>X</t>
    </r>
    <r>
      <rPr>
        <sz val="10"/>
        <rFont val="Arial"/>
        <family val="2"/>
      </rPr>
      <t>0.421</t>
    </r>
  </si>
  <si>
    <r>
      <t>360.146.000.0000.000.4700.739.03</t>
    </r>
    <r>
      <rPr>
        <sz val="10"/>
        <color rgb="FFFF0000"/>
        <rFont val="Arial"/>
        <family val="2"/>
      </rPr>
      <t>xxx.</t>
    </r>
    <r>
      <rPr>
        <sz val="10"/>
        <rFont val="Arial"/>
        <family val="2"/>
      </rPr>
      <t>10.421</t>
    </r>
  </si>
  <si>
    <t xml:space="preserve">          Playgrounds - PHASE 2A (playground equipment)</t>
  </si>
  <si>
    <t xml:space="preserve">Proposed FY2014 5yr IT Equipment Replacement </t>
  </si>
  <si>
    <t>Qty.</t>
  </si>
  <si>
    <t>Price</t>
  </si>
  <si>
    <t>Date Rcd</t>
  </si>
  <si>
    <t>Actual Qty</t>
  </si>
  <si>
    <t>Actual Ea</t>
  </si>
  <si>
    <t>Notes</t>
  </si>
  <si>
    <t>PDC, PHES &amp; PDC Computers</t>
  </si>
  <si>
    <t>CCMES Computers</t>
  </si>
  <si>
    <t>Aug 1</t>
  </si>
  <si>
    <t>Computer price $699 + $51 for Office license</t>
  </si>
  <si>
    <t>ZCES Computers</t>
  </si>
  <si>
    <t>WHS Computers</t>
  </si>
  <si>
    <t>SPED Computers</t>
  </si>
  <si>
    <t>ZCES Computers - 2 Additional</t>
  </si>
  <si>
    <t>Oct 4</t>
  </si>
  <si>
    <t>2 additional computers for larger class size</t>
  </si>
  <si>
    <t>HDMI to VGA Adapters</t>
  </si>
  <si>
    <t>July 23</t>
  </si>
  <si>
    <t>For Computers Connected to Promethean Boards</t>
  </si>
  <si>
    <t xml:space="preserve">Dell ChromeBooks </t>
  </si>
  <si>
    <t>Feb 1</t>
  </si>
  <si>
    <t>ChromeBook Cart</t>
  </si>
  <si>
    <t>Chromebook Project Total $10,613.11</t>
  </si>
  <si>
    <t>Kbox Node Upgrade</t>
  </si>
  <si>
    <t>Oct 30</t>
  </si>
  <si>
    <t>100 Node Upgrade for Kbox K1000</t>
  </si>
  <si>
    <t>Dell ChromeBook Management License</t>
  </si>
  <si>
    <t>Feb 7</t>
  </si>
  <si>
    <t>Microsoft Office 2013 Pro Plus</t>
  </si>
  <si>
    <t>290+110 =400 110 for refurbished comp</t>
  </si>
  <si>
    <t>Computer Total</t>
  </si>
  <si>
    <t>Computers Total</t>
  </si>
  <si>
    <t>Hardware/Servers</t>
  </si>
  <si>
    <t xml:space="preserve">JVES Server </t>
  </si>
  <si>
    <t>Replaced in 2012</t>
  </si>
  <si>
    <t>CCMES Server</t>
  </si>
  <si>
    <t>JHS</t>
  </si>
  <si>
    <t>DO Server</t>
  </si>
  <si>
    <t>1 sites - still need to purchase</t>
  </si>
  <si>
    <t>Exchange 2013 Licensing</t>
  </si>
  <si>
    <t>1000 User - 2 Server Exchange 2013 License</t>
  </si>
  <si>
    <t>Watchgaurd Firewall</t>
  </si>
  <si>
    <t>Redirected $10,000 to CVMS Chromebooks</t>
  </si>
  <si>
    <t>Email Archiver</t>
  </si>
  <si>
    <t>Redirected $5,000 to VoIP Project</t>
  </si>
  <si>
    <t>DHS Network Switch Refresh</t>
  </si>
  <si>
    <t>Feb 6</t>
  </si>
  <si>
    <t>Laptop Laser Scribe/Engraver</t>
  </si>
  <si>
    <t>On order 4/30</t>
  </si>
  <si>
    <t>Network Switches for Heritage Building</t>
  </si>
  <si>
    <t>Need to Purchase</t>
  </si>
  <si>
    <t>Hardware/Server Total</t>
  </si>
  <si>
    <t>Total Includes Server Total</t>
  </si>
  <si>
    <t>VoIP Phones</t>
  </si>
  <si>
    <t>ZCES</t>
  </si>
  <si>
    <t>WHS</t>
  </si>
  <si>
    <t>CVMS</t>
  </si>
  <si>
    <t>SES</t>
  </si>
  <si>
    <t>PWL</t>
  </si>
  <si>
    <t>GES</t>
  </si>
  <si>
    <t>14 sites</t>
  </si>
  <si>
    <t>All Sites - 3CX VoIP Software</t>
  </si>
  <si>
    <t>14 Sites</t>
  </si>
  <si>
    <t>Software - All Sites - 911 Notifier</t>
  </si>
  <si>
    <t>VoIP Phone Total</t>
  </si>
  <si>
    <t>Video Surveillance</t>
  </si>
  <si>
    <t>Completed in FY12/13</t>
  </si>
  <si>
    <t>Redirect $20,000 to DHS Switch Refresh</t>
  </si>
  <si>
    <t>DHS Football Field Camera Replacement</t>
  </si>
  <si>
    <t>Redirect $26,000 to DHS Switch Refresh</t>
  </si>
  <si>
    <t>Miscellaneous Camera Repair</t>
  </si>
  <si>
    <t>Sept 15</t>
  </si>
  <si>
    <t>Ordered 4 Arecont camera for spares</t>
  </si>
  <si>
    <t>Video Surveillance Total</t>
  </si>
  <si>
    <t>Total:</t>
  </si>
  <si>
    <t>Target is $377,200</t>
  </si>
  <si>
    <t>Target is $403,850 as of 05-01-2014</t>
  </si>
  <si>
    <t>DW - Technology Replacement Schedule</t>
  </si>
  <si>
    <r>
      <t>300.000.0000.000.2900.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XX</t>
    </r>
    <r>
      <rPr>
        <sz val="10"/>
        <rFont val="Arial"/>
        <family val="2"/>
      </rPr>
      <t>.421</t>
    </r>
  </si>
  <si>
    <t xml:space="preserve">     DW - Bus Video Surveillance replacement</t>
  </si>
  <si>
    <t>Total</t>
  </si>
  <si>
    <t>300.000.0000.000.2900.XXX.03XXX.XX.421</t>
  </si>
  <si>
    <t>PO INFO</t>
  </si>
  <si>
    <t>0405</t>
  </si>
  <si>
    <t>0408</t>
  </si>
  <si>
    <t>2123</t>
  </si>
  <si>
    <t>John's Numbers</t>
  </si>
  <si>
    <t>FINAL Actuals</t>
  </si>
  <si>
    <t>Site</t>
  </si>
  <si>
    <t>Phone Model</t>
  </si>
  <si>
    <t>Model Count</t>
  </si>
  <si>
    <t>Phone Cost</t>
  </si>
  <si>
    <t>Total Phone Cost</t>
  </si>
  <si>
    <t>FXO Gateway Model</t>
  </si>
  <si>
    <t>FXO Gate Cost</t>
  </si>
  <si>
    <t>PRI Gateway Model</t>
  </si>
  <si>
    <t>PRI Gateway Cost</t>
  </si>
  <si>
    <t>DHS</t>
  </si>
  <si>
    <t>GXP2100</t>
  </si>
  <si>
    <t>SN4114/JO/EUI</t>
  </si>
  <si>
    <t>Patton SN4970/1E24V/EUI</t>
  </si>
  <si>
    <t>GXP2124V2</t>
  </si>
  <si>
    <t>JVES</t>
  </si>
  <si>
    <t>PHES</t>
  </si>
  <si>
    <t>MES</t>
  </si>
  <si>
    <t>ASPIRE</t>
  </si>
  <si>
    <t>AP</t>
  </si>
  <si>
    <t>SN4114/2JS2JO/EUI</t>
  </si>
  <si>
    <t>DO</t>
  </si>
  <si>
    <t>CCMES</t>
  </si>
  <si>
    <t>PWLMS</t>
  </si>
  <si>
    <t>Spares</t>
  </si>
  <si>
    <t>Totals</t>
  </si>
  <si>
    <t>Shipping</t>
  </si>
  <si>
    <t>Site Totals</t>
  </si>
  <si>
    <t>Airport</t>
  </si>
  <si>
    <t>Spare Phones</t>
  </si>
  <si>
    <t>1123</t>
  </si>
  <si>
    <t>0257</t>
  </si>
  <si>
    <r>
      <rPr>
        <strike/>
        <sz val="11"/>
        <rFont val="Calibri"/>
        <family val="2"/>
      </rPr>
      <t>Server UPS - DHS NOC</t>
    </r>
    <r>
      <rPr>
        <sz val="11"/>
        <rFont val="Calibri"/>
        <family val="2"/>
      </rPr>
      <t xml:space="preserve">; </t>
    </r>
    <r>
      <rPr>
        <b/>
        <sz val="11"/>
        <color rgb="FFFF0000"/>
        <rFont val="Calibri"/>
        <family val="2"/>
      </rPr>
      <t>DW IT NOC @ Airport Facilities</t>
    </r>
  </si>
  <si>
    <r>
      <t xml:space="preserve">Server UPS - </t>
    </r>
    <r>
      <rPr>
        <b/>
        <sz val="11"/>
        <color rgb="FFFF0000"/>
        <rFont val="Calibri"/>
        <family val="2"/>
      </rPr>
      <t>split to sites</t>
    </r>
  </si>
  <si>
    <r>
      <t>Hardware All Sites - Phones, VoIP Gateways</t>
    </r>
    <r>
      <rPr>
        <b/>
        <sz val="11"/>
        <color rgb="FFFF0000"/>
        <rFont val="Calibri"/>
        <family val="2"/>
      </rPr>
      <t>- split to sites</t>
    </r>
  </si>
  <si>
    <t>3493</t>
  </si>
  <si>
    <t>2594</t>
  </si>
  <si>
    <t>0258</t>
  </si>
  <si>
    <t>4437</t>
  </si>
  <si>
    <t>2298</t>
  </si>
  <si>
    <t>3915</t>
  </si>
  <si>
    <t>0256</t>
  </si>
  <si>
    <t>5776</t>
  </si>
  <si>
    <r>
      <rPr>
        <b/>
        <strike/>
        <sz val="10"/>
        <color rgb="FFFF0000"/>
        <rFont val="Arial"/>
        <family val="2"/>
      </rPr>
      <t xml:space="preserve">9 </t>
    </r>
    <r>
      <rPr>
        <b/>
        <sz val="10"/>
        <rFont val="Arial"/>
        <family val="2"/>
      </rPr>
      <t>8</t>
    </r>
    <r>
      <rPr>
        <sz val="10"/>
        <rFont val="Arial"/>
        <family val="2"/>
      </rPr>
      <t xml:space="preserve"> s</t>
    </r>
    <r>
      <rPr>
        <sz val="10"/>
        <color rgb="FFC00000"/>
        <rFont val="Arial"/>
        <family val="2"/>
      </rPr>
      <t>ites APC Still Need to purchase</t>
    </r>
  </si>
  <si>
    <t>2408.48 = 652; 42540.56 = 650</t>
  </si>
  <si>
    <t>5089</t>
  </si>
  <si>
    <t>4878</t>
  </si>
  <si>
    <t>GWHS</t>
  </si>
  <si>
    <t>3385</t>
  </si>
  <si>
    <t>NO PO</t>
  </si>
  <si>
    <t xml:space="preserve">     CVMS - Google Chrome Project</t>
  </si>
  <si>
    <r>
      <t xml:space="preserve">     DW - Communications Systems Renewal (Bell/Intercom/</t>
    </r>
    <r>
      <rPr>
        <b/>
        <sz val="10"/>
        <color rgb="FFFF0000"/>
        <rFont val="Arial"/>
        <family val="2"/>
      </rPr>
      <t>VOIP)</t>
    </r>
  </si>
  <si>
    <t xml:space="preserve">     DHS Network Refresh - IT Consumables (&lt; $5K)</t>
  </si>
  <si>
    <t xml:space="preserve">     DW - Consumables</t>
  </si>
  <si>
    <t xml:space="preserve">     CVMS - Software Upgrades (&lt; $5K) (Google Chrome Project)</t>
  </si>
  <si>
    <t xml:space="preserve">     CVMS - Tablets/Cart (&lt; $5K) (Google Chrome Project)</t>
  </si>
  <si>
    <t xml:space="preserve">     DHS - Communications Systems Renewal (Bell/Intercom/VOIP)</t>
  </si>
  <si>
    <t>340/734</t>
  </si>
  <si>
    <t>403,850 is CIP Target Budget</t>
  </si>
  <si>
    <t>Total Actual IT CIP Budget</t>
  </si>
  <si>
    <t>Total Proposed IT CIP Budget</t>
  </si>
  <si>
    <t>DHS - Football Field</t>
  </si>
  <si>
    <t>VoIP Total</t>
  </si>
  <si>
    <t>Hardware Total</t>
  </si>
  <si>
    <t>Fiber Switches</t>
  </si>
  <si>
    <t>iBoss Web Filter Upgrade</t>
  </si>
  <si>
    <t>Hardware</t>
  </si>
  <si>
    <t>Server Total</t>
  </si>
  <si>
    <t>Bus Video Server</t>
  </si>
  <si>
    <t>Site Servers Backup System</t>
  </si>
  <si>
    <t>NOC VMCenter</t>
  </si>
  <si>
    <r>
      <rPr>
        <sz val="10"/>
        <color rgb="FF00B050"/>
        <rFont val="Arial"/>
        <family val="2"/>
      </rPr>
      <t>Green Text</t>
    </r>
    <r>
      <rPr>
        <sz val="10"/>
        <rFont val="Arial"/>
        <family val="2"/>
      </rPr>
      <t xml:space="preserve"> = not pruchased yet</t>
    </r>
  </si>
  <si>
    <t xml:space="preserve">Airport Server </t>
  </si>
  <si>
    <t>Servers</t>
  </si>
  <si>
    <t>DHS Chromebook Carts</t>
  </si>
  <si>
    <t>DHS Chromebook Management Licenses</t>
  </si>
  <si>
    <t>Chromebooks are in lieu of DHS lab computers</t>
  </si>
  <si>
    <t xml:space="preserve">DHS Chromebooks </t>
  </si>
  <si>
    <t>For DHS lab computer referbish</t>
  </si>
  <si>
    <t>Miicrosoft Office for Additional Computers</t>
  </si>
  <si>
    <t>Windows 7 Licensing</t>
  </si>
  <si>
    <t>KACE License</t>
  </si>
  <si>
    <t>Office Licenses for Refresh</t>
  </si>
  <si>
    <t>Smart Board Computer Replacements</t>
  </si>
  <si>
    <t>JHS Computers</t>
  </si>
  <si>
    <t>JVES Computers</t>
  </si>
  <si>
    <t>Not refreshing DHS lab computers</t>
  </si>
  <si>
    <t>DHS Computers</t>
  </si>
  <si>
    <t>Actual cost</t>
  </si>
  <si>
    <t>Actual Price Ea</t>
  </si>
  <si>
    <t>Actual Quantity</t>
  </si>
  <si>
    <t xml:space="preserve">Proposed FY2015 5yr IT Equipment Replacement </t>
  </si>
  <si>
    <r>
      <t>300.000.0000.000.4600.</t>
    </r>
    <r>
      <rPr>
        <b/>
        <sz val="10"/>
        <color rgb="FFFF0000"/>
        <rFont val="Arial"/>
        <family val="2"/>
      </rPr>
      <t>XXX</t>
    </r>
    <r>
      <rPr>
        <sz val="10"/>
        <rFont val="Arial"/>
        <family val="2"/>
      </rPr>
      <t>.03205.10.421</t>
    </r>
  </si>
  <si>
    <r>
      <t xml:space="preserve">         DHS FMP - Phase 2A (Modulars ONLY 147) </t>
    </r>
    <r>
      <rPr>
        <b/>
        <sz val="10"/>
        <color rgb="FFFF0000"/>
        <rFont val="Arial"/>
        <family val="2"/>
      </rPr>
      <t>COMPLETED</t>
    </r>
  </si>
  <si>
    <t xml:space="preserve">     DW - Fiber Infrastructure/Capital Adds (Construction &amp; Equipment)</t>
  </si>
  <si>
    <t>PWLMS - Fan Coil Replacement</t>
  </si>
  <si>
    <t>CCMES - ADA Parking Lot Compliance</t>
  </si>
  <si>
    <t xml:space="preserve">Proposed FY2016 5yr IT Equipment Replacement </t>
  </si>
  <si>
    <t>PWL Computers</t>
  </si>
  <si>
    <t>Computer price $675 + $54 for Office license</t>
  </si>
  <si>
    <t>CVMS Computers</t>
  </si>
  <si>
    <t>NOC Visions SQL Server</t>
  </si>
  <si>
    <t>SQL Server Licenaing</t>
  </si>
  <si>
    <t>DCSD Website Move</t>
  </si>
  <si>
    <t>Site IDF UPS Systems</t>
  </si>
  <si>
    <t>Promethean Projectors</t>
  </si>
  <si>
    <t>VoIP Phones/Communications</t>
  </si>
  <si>
    <t>JVES Bell System</t>
  </si>
  <si>
    <t>VoIP PRI Gateway</t>
  </si>
  <si>
    <t>VoIP Phone/Communications Total</t>
  </si>
  <si>
    <r>
      <t>300.000.0000.000.2900.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XX</t>
    </r>
    <r>
      <rPr>
        <sz val="10"/>
        <rFont val="Arial"/>
        <family val="2"/>
      </rPr>
      <t>.421</t>
    </r>
  </si>
  <si>
    <t>Stem Building Technology</t>
  </si>
  <si>
    <t>Qnty</t>
  </si>
  <si>
    <t>Chromebook set 1st floor</t>
  </si>
  <si>
    <t>Chromebooks HP 14"</t>
  </si>
  <si>
    <t>Chromebook Cart</t>
  </si>
  <si>
    <t>Chromebook set 2nd floor</t>
  </si>
  <si>
    <t>Laptop set for 1st Floor</t>
  </si>
  <si>
    <t>Windows Laptops</t>
  </si>
  <si>
    <t>Laptop Cart</t>
  </si>
  <si>
    <t>Laptop set for 2nd Floor</t>
  </si>
  <si>
    <t>Classrooms x6</t>
  </si>
  <si>
    <t>Interactive Whiteboard</t>
  </si>
  <si>
    <t>ChromeCast</t>
  </si>
  <si>
    <t>Amp</t>
  </si>
  <si>
    <t>Teacher Tablet/Desktop</t>
  </si>
  <si>
    <t>Cables/Connectors</t>
  </si>
  <si>
    <t>Document Camera</t>
  </si>
  <si>
    <t>Phone</t>
  </si>
  <si>
    <t>Lab Classrooms 1st Floor x3</t>
  </si>
  <si>
    <t>Lab Classrooms 2nd Floor - x4</t>
  </si>
  <si>
    <t>Amp w/ Microphone</t>
  </si>
  <si>
    <t>Computer Towers - Physics</t>
  </si>
  <si>
    <t>Special Ed x1</t>
  </si>
  <si>
    <t>Computer/Monitor</t>
  </si>
  <si>
    <t>Audio Enhancement ??</t>
  </si>
  <si>
    <t>Oscilloscopes</t>
  </si>
  <si>
    <t>3D Printer</t>
  </si>
  <si>
    <t>Physics Lab</t>
  </si>
  <si>
    <t>PLTW CIM Equipment</t>
  </si>
  <si>
    <t>Digital Microscopes 2 sets</t>
  </si>
  <si>
    <t>SmartMicroscope 5M-500 (500x) and 5M (10x to 200x)</t>
  </si>
  <si>
    <t>Total EdTech</t>
  </si>
  <si>
    <t>Infrastructure Tech</t>
  </si>
  <si>
    <t>Protables Data Cabling</t>
  </si>
  <si>
    <t>Surveillance Cameras</t>
  </si>
  <si>
    <t>Advidia A-14</t>
  </si>
  <si>
    <t>(17 for STEM, 4 for commons, 2 for 500 hall, 2 spares)</t>
  </si>
  <si>
    <t>Aercont AV8185DN</t>
  </si>
  <si>
    <t>VideoInsight Licenses</t>
  </si>
  <si>
    <t>DHS Video Data Storage increase</t>
  </si>
  <si>
    <t>10 x 4Tb Drives $650 each</t>
  </si>
  <si>
    <t>Switches</t>
  </si>
  <si>
    <t>Extreme SecureStack B5 48Pt</t>
  </si>
  <si>
    <t>Wireless APs</t>
  </si>
  <si>
    <t>Extreme 802.11ac</t>
  </si>
  <si>
    <t>Fiber Patch Cables</t>
  </si>
  <si>
    <t>Portables Data Cabling</t>
  </si>
  <si>
    <t>2019-2020</t>
  </si>
  <si>
    <t>Return to Soft Costs</t>
  </si>
  <si>
    <t>Original Est</t>
  </si>
  <si>
    <t>Contract</t>
  </si>
  <si>
    <t>500 Bldg</t>
  </si>
  <si>
    <t>Changing Table</t>
  </si>
  <si>
    <t>Cushion</t>
  </si>
  <si>
    <t>Media Center (Board)</t>
  </si>
  <si>
    <t>Functional Skills</t>
  </si>
  <si>
    <t>Commons</t>
  </si>
  <si>
    <t>Hallway</t>
  </si>
  <si>
    <t>Copy Room</t>
  </si>
  <si>
    <t>Science Lab Workroom</t>
  </si>
  <si>
    <t>Science Lab</t>
  </si>
  <si>
    <t>Phyc Office</t>
  </si>
  <si>
    <t>Speical Ed Office</t>
  </si>
  <si>
    <t>Tutor Room</t>
  </si>
  <si>
    <t>Speical Ed Classroom</t>
  </si>
  <si>
    <t>Graphics Lab</t>
  </si>
  <si>
    <t>Tech Work Room</t>
  </si>
  <si>
    <t>Tech Lab</t>
  </si>
  <si>
    <t>CTE Flex Lab</t>
  </si>
  <si>
    <t>Classroom</t>
  </si>
  <si>
    <t>Total Cost/Room Type</t>
  </si>
  <si>
    <t>Room Quanity</t>
  </si>
  <si>
    <t>Room Type</t>
  </si>
  <si>
    <t>PWLMS Android Tablets</t>
  </si>
  <si>
    <t>For Google/Tynker Pilot</t>
  </si>
  <si>
    <r>
      <t>300.000.0000.000.2900.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XX</t>
    </r>
    <r>
      <rPr>
        <sz val="10"/>
        <rFont val="Arial"/>
        <family val="2"/>
      </rPr>
      <t>.421</t>
    </r>
  </si>
  <si>
    <t>TOTAL</t>
  </si>
  <si>
    <t xml:space="preserve">         DHS FMP - Phase 2A</t>
  </si>
  <si>
    <t xml:space="preserve">         DW Bond - Misc </t>
  </si>
  <si>
    <t>remaining</t>
  </si>
  <si>
    <t>Promethean Software x14</t>
  </si>
  <si>
    <r>
      <rPr>
        <sz val="10"/>
        <color rgb="FF00B050"/>
        <rFont val="Arial"/>
        <family val="2"/>
      </rPr>
      <t>Green Text</t>
    </r>
    <r>
      <rPr>
        <sz val="10"/>
        <rFont val="Arial"/>
        <family val="2"/>
      </rPr>
      <t xml:space="preserve"> = not purchased yet</t>
    </r>
  </si>
  <si>
    <t>Chromebooks - 2 Class Sets w/ Carts $12,380 per set</t>
  </si>
  <si>
    <t>9th Grade Computer Literacy</t>
  </si>
  <si>
    <t>STEM Chromebooks will be funded through the Community Grant</t>
  </si>
  <si>
    <t>Mobile Device Carts for Chromebooks</t>
  </si>
  <si>
    <t>AmScope MU300 </t>
  </si>
  <si>
    <t>Includes Printing Media</t>
  </si>
  <si>
    <t>Media Content Display</t>
  </si>
  <si>
    <t>Teacher Desktop</t>
  </si>
  <si>
    <t>1 Lab funded through Community Grant</t>
  </si>
  <si>
    <t>2 Classrooms funded through Community Grant</t>
  </si>
  <si>
    <t>Laptop set</t>
  </si>
  <si>
    <t>remove this $10K - associate with DHS STEM / Tech Needs</t>
  </si>
  <si>
    <r>
      <t>360.000.0000.000.2900.3-8</t>
    </r>
    <r>
      <rPr>
        <b/>
        <sz val="10"/>
        <color rgb="FFFF0000"/>
        <rFont val="Arial"/>
        <family val="2"/>
      </rPr>
      <t>XX</t>
    </r>
    <r>
      <rPr>
        <sz val="10"/>
        <rFont val="Arial"/>
        <family val="2"/>
      </rPr>
      <t>.03</t>
    </r>
    <r>
      <rPr>
        <b/>
        <sz val="10"/>
        <color rgb="FFFF0000"/>
        <rFont val="Arial"/>
        <family val="2"/>
      </rPr>
      <t>XXX.XX</t>
    </r>
    <r>
      <rPr>
        <sz val="10"/>
        <rFont val="Arial"/>
        <family val="2"/>
      </rPr>
      <t>.421</t>
    </r>
  </si>
  <si>
    <t>REVISED</t>
  </si>
  <si>
    <t>2020-2021</t>
  </si>
  <si>
    <t>Original</t>
  </si>
  <si>
    <r>
      <t>300.000.0000.000.2900.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.03</t>
    </r>
    <r>
      <rPr>
        <sz val="10"/>
        <color rgb="FFFF0000"/>
        <rFont val="Arial"/>
        <family val="2"/>
      </rPr>
      <t>XXX</t>
    </r>
    <r>
      <rPr>
        <sz val="10"/>
        <rFont val="Arial"/>
        <family val="2"/>
      </rPr>
      <t>.</t>
    </r>
    <r>
      <rPr>
        <sz val="10"/>
        <color rgb="FFFF0000"/>
        <rFont val="Arial"/>
        <family val="2"/>
      </rPr>
      <t>XX</t>
    </r>
    <r>
      <rPr>
        <sz val="10"/>
        <rFont val="Arial"/>
        <family val="2"/>
      </rPr>
      <t>.421</t>
    </r>
  </si>
  <si>
    <t xml:space="preserve">Total w/ FY14-15 $64,450 </t>
  </si>
  <si>
    <t>Total Dollars moved to FY15/16   (Dollars moved to help Holly's budget)</t>
  </si>
  <si>
    <t>DHS - Football Field Cameras</t>
  </si>
  <si>
    <t>Airport Server</t>
  </si>
  <si>
    <t>Purchased July 2015</t>
  </si>
  <si>
    <t>NSHE Internet Routers</t>
  </si>
  <si>
    <t>FY14/15 Moved to this year</t>
  </si>
  <si>
    <t>458665+64450 (Moved to this year)=Target</t>
  </si>
  <si>
    <t>Original Total:</t>
  </si>
  <si>
    <t>Also Includes MES GES PHES Servers</t>
  </si>
  <si>
    <t>Site Video Server Hard Disk Upgrades</t>
  </si>
  <si>
    <t>Site Video Server Memory Upgrade</t>
  </si>
  <si>
    <t>Entrance Cameras - SES JVES CCMES</t>
  </si>
  <si>
    <t>$15,116 Savings</t>
  </si>
  <si>
    <t>MES Promethean Projectors</t>
  </si>
  <si>
    <t>SQL Server Licensing</t>
  </si>
  <si>
    <t>Promethean Microcomputers</t>
  </si>
  <si>
    <t>Microsoft Office</t>
  </si>
  <si>
    <t>Google License</t>
  </si>
  <si>
    <t>Chromebook Carts</t>
  </si>
  <si>
    <t>Chromebooks</t>
  </si>
  <si>
    <t>Staff Computers</t>
  </si>
  <si>
    <t>Lab Computers</t>
  </si>
  <si>
    <t>Staff Computer</t>
  </si>
  <si>
    <t>Computer Refresh</t>
  </si>
  <si>
    <t>Entrance Cameras - MES PHES GES ZCES</t>
  </si>
  <si>
    <t>SES Bell System</t>
  </si>
  <si>
    <t>Promethean Projectors PHES JVES</t>
  </si>
  <si>
    <t>District Wide Wireless Upgrade</t>
  </si>
  <si>
    <t>NOC SAN (Equalogic) Upgrade</t>
  </si>
  <si>
    <t>Microsoft Software Licensing</t>
  </si>
  <si>
    <t>PDC Computers</t>
  </si>
  <si>
    <t>PHES Computers</t>
  </si>
  <si>
    <t>MES Computers</t>
  </si>
  <si>
    <t>MES, PHES &amp; PDC Computers</t>
  </si>
  <si>
    <t xml:space="preserve">Proposed FY2017 5yr IT Equipment Replacement </t>
  </si>
  <si>
    <t>FY16-17</t>
  </si>
  <si>
    <t>CVMS - FMP</t>
  </si>
  <si>
    <t xml:space="preserve">         CVMS - FMP Support</t>
  </si>
  <si>
    <r>
      <t>300.007.0000.000.2900.</t>
    </r>
    <r>
      <rPr>
        <b/>
        <sz val="10"/>
        <color rgb="FFFF0000"/>
        <rFont val="Arial"/>
        <family val="2"/>
      </rPr>
      <t>XXX</t>
    </r>
    <r>
      <rPr>
        <b/>
        <sz val="10"/>
        <rFont val="Arial"/>
        <family val="2"/>
      </rPr>
      <t>.03</t>
    </r>
    <r>
      <rPr>
        <b/>
        <sz val="10"/>
        <color rgb="FFFF0000"/>
        <rFont val="Arial"/>
        <family val="2"/>
      </rPr>
      <t>XXX</t>
    </r>
    <r>
      <rPr>
        <b/>
        <sz val="10"/>
        <rFont val="Arial"/>
        <family val="2"/>
      </rPr>
      <t>.</t>
    </r>
    <r>
      <rPr>
        <b/>
        <sz val="10"/>
        <color rgb="FFFF0000"/>
        <rFont val="Arial"/>
        <family val="2"/>
      </rPr>
      <t>XX</t>
    </r>
    <r>
      <rPr>
        <b/>
        <sz val="10"/>
        <rFont val="Arial"/>
        <family val="2"/>
      </rPr>
      <t>.421</t>
    </r>
  </si>
  <si>
    <t>Heritage Bldg - Infrastructure Repairs</t>
  </si>
  <si>
    <t>x</t>
  </si>
  <si>
    <t>Telcor Support for DW, DHS and CCMES</t>
  </si>
  <si>
    <t>Lab Stuff</t>
  </si>
  <si>
    <t>MISC</t>
  </si>
  <si>
    <t>DHS - refresh</t>
  </si>
  <si>
    <t>GWHS - refresh</t>
  </si>
  <si>
    <t>Diff Rev Bdgt to Act</t>
  </si>
  <si>
    <t>Cost of Lift Rental</t>
  </si>
  <si>
    <t>DHS Football Field Camera Installation</t>
  </si>
  <si>
    <t>Exterior Cameras - Elem + AF</t>
  </si>
  <si>
    <t>$2000 Not yet purchased</t>
  </si>
  <si>
    <t>Replacement Phones</t>
  </si>
  <si>
    <t>$1,817 Savings - Need for replacement phones</t>
  </si>
  <si>
    <t>Take from Projectors</t>
  </si>
  <si>
    <t>Promethean Panel</t>
  </si>
  <si>
    <t>Added 11/16 - Need direction</t>
  </si>
  <si>
    <t>11/16</t>
  </si>
  <si>
    <t>iBoss Web Filter</t>
  </si>
  <si>
    <t>Possible reduction to $74K for DCSD contribution</t>
  </si>
  <si>
    <t>Fiber WAN upgrades</t>
  </si>
  <si>
    <t>move to FY17/18</t>
  </si>
  <si>
    <t>PHES Google Licenses</t>
  </si>
  <si>
    <t>MES Google Licenses</t>
  </si>
  <si>
    <t>PDC Office License</t>
  </si>
  <si>
    <t>PHES Office</t>
  </si>
  <si>
    <t>MES Office</t>
  </si>
  <si>
    <t>.</t>
  </si>
  <si>
    <t>Display Port to VGA Adapter</t>
  </si>
  <si>
    <t>External DVD Player</t>
  </si>
  <si>
    <t>Vesa Mounts $22.49/Wireless keyboards $25.79</t>
  </si>
  <si>
    <t>Optiplex 3040 Micro</t>
  </si>
  <si>
    <t>Chromebooks w/ 1yr Accidental Damage</t>
  </si>
  <si>
    <t>ASPIRE - Modular</t>
  </si>
  <si>
    <t xml:space="preserve">          CVMS FMP - PHASE 2B (bldg renovations)</t>
  </si>
  <si>
    <t xml:space="preserve">          CVMS FMP - PHASE 2B (FF&amp;E)</t>
  </si>
  <si>
    <t xml:space="preserve">          CVMS FMP - PHASE 2B (temp site improvements)</t>
  </si>
  <si>
    <t xml:space="preserve">          CVMS FMP - PHASE 2B (prof. services)</t>
  </si>
  <si>
    <t>4600.340</t>
  </si>
  <si>
    <t>Row Labels</t>
  </si>
  <si>
    <t>(blank)</t>
  </si>
  <si>
    <t>Grand Total</t>
  </si>
  <si>
    <t>Sum of FY16-17</t>
  </si>
  <si>
    <t>2900.2XX</t>
  </si>
  <si>
    <t>2900.1XX</t>
  </si>
  <si>
    <t>2021-2022</t>
  </si>
  <si>
    <t>2022-2023</t>
  </si>
  <si>
    <t>2023-2024</t>
  </si>
  <si>
    <t>2024-2025</t>
  </si>
  <si>
    <t>ZCES &amp; WHS Remodel - ADA Compliant for bathrooms &amp; plumbing</t>
  </si>
  <si>
    <t xml:space="preserve"> </t>
  </si>
  <si>
    <t>2025-2026</t>
  </si>
  <si>
    <t xml:space="preserve">  GST (Motor Vehicle Privilege Tax)</t>
  </si>
  <si>
    <t>SES Roof</t>
  </si>
  <si>
    <t>2026-2027</t>
  </si>
  <si>
    <t>2027-2028</t>
  </si>
  <si>
    <t>CVMS Gym Floor</t>
  </si>
  <si>
    <t>EXHIBIT B</t>
  </si>
  <si>
    <t>CVMS HVAC - Phase II</t>
  </si>
  <si>
    <t>2028-2029</t>
  </si>
  <si>
    <t>Boilers - CCM, MES, WHS &amp; Chiller at PWL</t>
  </si>
  <si>
    <t>DHS Tennis Courts &amp; Basketball/Agreement with County</t>
  </si>
  <si>
    <t>Design work for following year:</t>
  </si>
  <si>
    <t>Boilers - PWL, SES &amp; JVES</t>
  </si>
  <si>
    <t>HVAC - CVMS &amp; JVES</t>
  </si>
  <si>
    <t>2029-2030</t>
  </si>
  <si>
    <t>HVAC - CVMS &amp; ZCES</t>
  </si>
  <si>
    <t xml:space="preserve">      HVAC - CCM &amp; JVES - Air Handlers</t>
  </si>
  <si>
    <t xml:space="preserve">      Boilers - PWL, SES &amp; JVES</t>
  </si>
  <si>
    <t xml:space="preserve">      HVAC - CVMS &amp; JVES</t>
  </si>
  <si>
    <t xml:space="preserve">      HVAC - CVMS &amp; ZCES</t>
  </si>
  <si>
    <t xml:space="preserve">      HVAC - CVMS - Phase II</t>
  </si>
  <si>
    <t>HVAC - CCM &amp; JVES</t>
  </si>
  <si>
    <t>Airport Fueling Station - Combined with Douglas County</t>
  </si>
  <si>
    <t xml:space="preserve">      Airport Fueling Station - Combined with Douglas County</t>
  </si>
  <si>
    <t>DHS Roofing</t>
  </si>
  <si>
    <t>DHS Track</t>
  </si>
  <si>
    <t>Retrofit for LED lighting in all schools</t>
  </si>
  <si>
    <t>DW Fencing</t>
  </si>
  <si>
    <t>Vehicles - Buses</t>
  </si>
  <si>
    <t>WHS Scoreboard</t>
  </si>
  <si>
    <t>DHS HVAC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</si>
</sst>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"/>
    <numFmt numFmtId="166" formatCode="0.00_)"/>
    <numFmt numFmtId="167" formatCode="&quot;$&quot;#,##0.00"/>
    <numFmt numFmtId="168" formatCode="&quot;$&quot;#,##0.00;[Red]&quot;$&quot;#,##0.00"/>
    <numFmt numFmtId="169" formatCode="_(* #,##0_);_(* \(#,##0\);_(* &quot;-&quot;??_);_(@_)"/>
  </numFmts>
  <fonts count="4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rgb="FFFF0000"/>
      <name val="Arial"/>
      <family val="2"/>
    </font>
    <font>
      <b/>
      <u/>
      <sz val="10"/>
      <name val="Arial"/>
      <family val="2"/>
    </font>
    <font>
      <b/>
      <sz val="10"/>
      <color rgb="FF0070C0"/>
      <name val="Arial"/>
      <family val="2"/>
    </font>
    <font>
      <sz val="12"/>
      <name val="Arial"/>
      <family val="2"/>
    </font>
    <font>
      <sz val="10"/>
      <name val="Helv"/>
    </font>
    <font>
      <sz val="8"/>
      <name val="Arial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color rgb="FFC0000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trike/>
      <sz val="10"/>
      <name val="Arial"/>
      <family val="2"/>
    </font>
    <font>
      <sz val="10"/>
      <color rgb="FF002060"/>
      <name val="Arial"/>
      <family val="2"/>
    </font>
    <font>
      <b/>
      <sz val="11"/>
      <color rgb="FFFF0000"/>
      <name val="Calibri"/>
      <family val="2"/>
    </font>
    <font>
      <b/>
      <strike/>
      <sz val="10"/>
      <color rgb="FFFF0000"/>
      <name val="Arial"/>
      <family val="2"/>
    </font>
    <font>
      <sz val="10"/>
      <color rgb="FF000000"/>
      <name val="Arial"/>
      <family val="2"/>
    </font>
    <font>
      <strike/>
      <sz val="11"/>
      <name val="Calibri"/>
      <family val="2"/>
    </font>
    <font>
      <strike/>
      <sz val="10"/>
      <color rgb="FFC00000"/>
      <name val="Arial"/>
      <family val="2"/>
    </font>
    <font>
      <sz val="11"/>
      <color rgb="FFFF0000"/>
      <name val="Calibri"/>
      <family val="2"/>
      <scheme val="minor"/>
    </font>
    <font>
      <sz val="10"/>
      <color rgb="FF00B05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trike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FF9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77">
    <xf numFmtId="0" fontId="0" fillId="0" borderId="0"/>
    <xf numFmtId="44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" fontId="1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8" fontId="19" fillId="0" borderId="0" applyFont="0" applyFill="0" applyBorder="0" applyAlignment="0" applyProtection="0"/>
    <xf numFmtId="38" fontId="20" fillId="11" borderId="0" applyNumberFormat="0" applyBorder="0" applyAlignment="0" applyProtection="0"/>
    <xf numFmtId="10" fontId="20" fillId="12" borderId="10" applyNumberFormat="0" applyBorder="0" applyAlignment="0" applyProtection="0"/>
    <xf numFmtId="37" fontId="21" fillId="0" borderId="0"/>
    <xf numFmtId="166" fontId="22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0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0" borderId="0"/>
    <xf numFmtId="44" fontId="10" fillId="0" borderId="0" applyFont="0" applyFill="0" applyBorder="0" applyAlignment="0" applyProtection="0"/>
    <xf numFmtId="0" fontId="7" fillId="0" borderId="0"/>
    <xf numFmtId="0" fontId="40" fillId="0" borderId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3" fillId="0" borderId="0"/>
    <xf numFmtId="0" fontId="2" fillId="0" borderId="0"/>
    <xf numFmtId="0" fontId="1" fillId="0" borderId="0"/>
  </cellStyleXfs>
  <cellXfs count="565">
    <xf numFmtId="0" fontId="0" fillId="0" borderId="0" xfId="0"/>
    <xf numFmtId="0" fontId="11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4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12" fillId="0" borderId="0" xfId="0" applyFont="1"/>
    <xf numFmtId="164" fontId="12" fillId="3" borderId="0" xfId="1" applyNumberFormat="1" applyFont="1" applyFill="1"/>
    <xf numFmtId="164" fontId="12" fillId="0" borderId="0" xfId="1" applyNumberFormat="1" applyFont="1"/>
    <xf numFmtId="164" fontId="12" fillId="4" borderId="0" xfId="1" applyNumberFormat="1" applyFont="1" applyFill="1"/>
    <xf numFmtId="164" fontId="0" fillId="3" borderId="0" xfId="1" applyNumberFormat="1" applyFont="1" applyFill="1"/>
    <xf numFmtId="164" fontId="0" fillId="0" borderId="0" xfId="1" applyNumberFormat="1" applyFont="1"/>
    <xf numFmtId="164" fontId="0" fillId="4" borderId="0" xfId="1" applyNumberFormat="1" applyFont="1" applyFill="1"/>
    <xf numFmtId="164" fontId="0" fillId="3" borderId="0" xfId="1" applyNumberFormat="1" applyFont="1" applyFill="1" applyBorder="1"/>
    <xf numFmtId="164" fontId="0" fillId="4" borderId="0" xfId="1" applyNumberFormat="1" applyFont="1" applyFill="1" applyBorder="1"/>
    <xf numFmtId="164" fontId="0" fillId="0" borderId="0" xfId="1" applyNumberFormat="1" applyFont="1" applyFill="1"/>
    <xf numFmtId="164" fontId="0" fillId="0" borderId="0" xfId="0" applyNumberFormat="1" applyFill="1"/>
    <xf numFmtId="0" fontId="0" fillId="0" borderId="0" xfId="0" applyFill="1"/>
    <xf numFmtId="0" fontId="10" fillId="0" borderId="0" xfId="0" applyFont="1"/>
    <xf numFmtId="164" fontId="10" fillId="4" borderId="0" xfId="1" applyNumberFormat="1" applyFont="1" applyFill="1"/>
    <xf numFmtId="164" fontId="0" fillId="3" borderId="1" xfId="1" applyNumberFormat="1" applyFont="1" applyFill="1" applyBorder="1"/>
    <xf numFmtId="164" fontId="0" fillId="4" borderId="1" xfId="1" applyNumberFormat="1" applyFont="1" applyFill="1" applyBorder="1"/>
    <xf numFmtId="0" fontId="12" fillId="0" borderId="0" xfId="0" applyFont="1" applyAlignment="1">
      <alignment horizontal="left"/>
    </xf>
    <xf numFmtId="164" fontId="12" fillId="3" borderId="0" xfId="1" applyNumberFormat="1" applyFont="1" applyFill="1" applyBorder="1"/>
    <xf numFmtId="164" fontId="12" fillId="0" borderId="0" xfId="1" applyNumberFormat="1" applyFont="1" applyFill="1"/>
    <xf numFmtId="164" fontId="12" fillId="4" borderId="0" xfId="1" applyNumberFormat="1" applyFont="1" applyFill="1" applyBorder="1"/>
    <xf numFmtId="165" fontId="12" fillId="0" borderId="0" xfId="0" applyNumberFormat="1" applyFont="1" applyFill="1"/>
    <xf numFmtId="164" fontId="12" fillId="3" borderId="2" xfId="1" applyNumberFormat="1" applyFont="1" applyFill="1" applyBorder="1"/>
    <xf numFmtId="164" fontId="12" fillId="4" borderId="2" xfId="1" applyNumberFormat="1" applyFont="1" applyFill="1" applyBorder="1"/>
    <xf numFmtId="164" fontId="12" fillId="3" borderId="3" xfId="1" applyNumberFormat="1" applyFont="1" applyFill="1" applyBorder="1"/>
    <xf numFmtId="164" fontId="12" fillId="4" borderId="3" xfId="1" applyNumberFormat="1" applyFont="1" applyFill="1" applyBorder="1"/>
    <xf numFmtId="0" fontId="0" fillId="5" borderId="0" xfId="0" applyFill="1"/>
    <xf numFmtId="164" fontId="0" fillId="5" borderId="0" xfId="1" applyNumberFormat="1" applyFont="1" applyFill="1"/>
    <xf numFmtId="0" fontId="12" fillId="0" borderId="0" xfId="0" applyFont="1" applyFill="1"/>
    <xf numFmtId="0" fontId="12" fillId="0" borderId="4" xfId="0" applyFont="1" applyBorder="1"/>
    <xf numFmtId="0" fontId="12" fillId="0" borderId="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0" fillId="0" borderId="6" xfId="0" applyBorder="1"/>
    <xf numFmtId="0" fontId="0" fillId="0" borderId="0" xfId="0" applyFill="1" applyBorder="1"/>
    <xf numFmtId="0" fontId="12" fillId="4" borderId="7" xfId="0" applyFont="1" applyFill="1" applyBorder="1" applyAlignment="1">
      <alignment horizontal="center"/>
    </xf>
    <xf numFmtId="0" fontId="0" fillId="4" borderId="0" xfId="0" applyFill="1" applyBorder="1"/>
    <xf numFmtId="0" fontId="10" fillId="0" borderId="0" xfId="0" applyFont="1" applyFill="1" applyBorder="1"/>
    <xf numFmtId="5" fontId="10" fillId="4" borderId="0" xfId="0" applyNumberFormat="1" applyFont="1" applyFill="1" applyBorder="1"/>
    <xf numFmtId="0" fontId="0" fillId="0" borderId="6" xfId="0" applyFill="1" applyBorder="1"/>
    <xf numFmtId="0" fontId="10" fillId="0" borderId="0" xfId="0" applyFont="1" applyBorder="1"/>
    <xf numFmtId="0" fontId="0" fillId="0" borderId="6" xfId="0" applyFont="1" applyFill="1" applyBorder="1"/>
    <xf numFmtId="0" fontId="10" fillId="0" borderId="6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6" borderId="0" xfId="0" applyFont="1" applyFill="1" applyBorder="1" applyAlignment="1">
      <alignment horizontal="left"/>
    </xf>
    <xf numFmtId="0" fontId="10" fillId="7" borderId="6" xfId="0" applyFont="1" applyFill="1" applyBorder="1"/>
    <xf numFmtId="0" fontId="10" fillId="7" borderId="0" xfId="0" applyFont="1" applyFill="1" applyBorder="1" applyAlignment="1">
      <alignment horizontal="left"/>
    </xf>
    <xf numFmtId="0" fontId="10" fillId="7" borderId="6" xfId="0" applyFont="1" applyFill="1" applyBorder="1" applyAlignment="1">
      <alignment horizontal="left"/>
    </xf>
    <xf numFmtId="0" fontId="10" fillId="8" borderId="6" xfId="0" applyFont="1" applyFill="1" applyBorder="1" applyAlignment="1">
      <alignment horizontal="left"/>
    </xf>
    <xf numFmtId="0" fontId="10" fillId="8" borderId="0" xfId="0" applyFont="1" applyFill="1" applyBorder="1" applyAlignment="1">
      <alignment horizontal="left"/>
    </xf>
    <xf numFmtId="0" fontId="10" fillId="8" borderId="6" xfId="0" applyFont="1" applyFill="1" applyBorder="1"/>
    <xf numFmtId="0" fontId="10" fillId="9" borderId="6" xfId="0" applyFont="1" applyFill="1" applyBorder="1" applyAlignment="1">
      <alignment horizontal="left"/>
    </xf>
    <xf numFmtId="0" fontId="10" fillId="9" borderId="0" xfId="0" applyFont="1" applyFill="1" applyBorder="1" applyAlignment="1">
      <alignment horizontal="left"/>
    </xf>
    <xf numFmtId="0" fontId="12" fillId="0" borderId="8" xfId="0" applyFont="1" applyBorder="1"/>
    <xf numFmtId="0" fontId="12" fillId="0" borderId="7" xfId="0" applyFont="1" applyFill="1" applyBorder="1"/>
    <xf numFmtId="164" fontId="12" fillId="4" borderId="9" xfId="0" applyNumberFormat="1" applyFont="1" applyFill="1" applyBorder="1"/>
    <xf numFmtId="0" fontId="16" fillId="0" borderId="4" xfId="0" applyFont="1" applyBorder="1"/>
    <xf numFmtId="0" fontId="16" fillId="0" borderId="5" xfId="0" applyFont="1" applyFill="1" applyBorder="1"/>
    <xf numFmtId="0" fontId="0" fillId="0" borderId="5" xfId="0" applyBorder="1"/>
    <xf numFmtId="164" fontId="12" fillId="4" borderId="9" xfId="1" applyNumberFormat="1" applyFont="1" applyFill="1" applyBorder="1"/>
    <xf numFmtId="0" fontId="16" fillId="2" borderId="4" xfId="0" applyFont="1" applyFill="1" applyBorder="1"/>
    <xf numFmtId="0" fontId="16" fillId="2" borderId="5" xfId="0" applyFont="1" applyFill="1" applyBorder="1"/>
    <xf numFmtId="0" fontId="15" fillId="0" borderId="6" xfId="0" applyFont="1" applyBorder="1"/>
    <xf numFmtId="0" fontId="15" fillId="0" borderId="0" xfId="0" applyFont="1" applyFill="1" applyBorder="1"/>
    <xf numFmtId="0" fontId="17" fillId="0" borderId="6" xfId="0" applyFont="1" applyBorder="1"/>
    <xf numFmtId="0" fontId="17" fillId="10" borderId="0" xfId="0" applyFont="1" applyFill="1" applyBorder="1"/>
    <xf numFmtId="164" fontId="17" fillId="4" borderId="0" xfId="0" applyNumberFormat="1" applyFont="1" applyFill="1" applyBorder="1"/>
    <xf numFmtId="0" fontId="10" fillId="0" borderId="6" xfId="0" applyFont="1" applyBorder="1" applyAlignment="1">
      <alignment horizontal="left"/>
    </xf>
    <xf numFmtId="0" fontId="17" fillId="0" borderId="0" xfId="0" applyFont="1" applyFill="1" applyBorder="1"/>
    <xf numFmtId="164" fontId="0" fillId="4" borderId="0" xfId="0" applyNumberFormat="1" applyFill="1" applyBorder="1"/>
    <xf numFmtId="0" fontId="17" fillId="0" borderId="6" xfId="0" applyFont="1" applyFill="1" applyBorder="1" applyAlignment="1">
      <alignment horizontal="left"/>
    </xf>
    <xf numFmtId="0" fontId="17" fillId="0" borderId="0" xfId="0" applyFont="1" applyBorder="1"/>
    <xf numFmtId="0" fontId="11" fillId="0" borderId="0" xfId="0" applyFont="1"/>
    <xf numFmtId="0" fontId="11" fillId="0" borderId="0" xfId="0" applyFont="1" applyFill="1"/>
    <xf numFmtId="164" fontId="11" fillId="0" borderId="3" xfId="1" applyNumberFormat="1" applyFont="1" applyFill="1" applyBorder="1"/>
    <xf numFmtId="0" fontId="18" fillId="0" borderId="0" xfId="0" applyFont="1"/>
    <xf numFmtId="44" fontId="10" fillId="0" borderId="0" xfId="1" applyFont="1" applyFill="1" applyBorder="1" applyAlignment="1">
      <alignment horizontal="left"/>
    </xf>
    <xf numFmtId="44" fontId="10" fillId="6" borderId="0" xfId="1" applyFont="1" applyFill="1" applyBorder="1" applyAlignment="1">
      <alignment horizontal="left"/>
    </xf>
    <xf numFmtId="44" fontId="10" fillId="7" borderId="0" xfId="1" applyFont="1" applyFill="1" applyBorder="1" applyAlignment="1">
      <alignment horizontal="left"/>
    </xf>
    <xf numFmtId="44" fontId="10" fillId="8" borderId="0" xfId="1" applyFont="1" applyFill="1" applyBorder="1" applyAlignment="1">
      <alignment horizontal="left"/>
    </xf>
    <xf numFmtId="44" fontId="10" fillId="9" borderId="0" xfId="1" applyFont="1" applyFill="1" applyBorder="1" applyAlignment="1">
      <alignment horizontal="left"/>
    </xf>
    <xf numFmtId="0" fontId="0" fillId="13" borderId="0" xfId="0" applyFill="1" applyBorder="1"/>
    <xf numFmtId="44" fontId="12" fillId="13" borderId="9" xfId="1" applyFont="1" applyFill="1" applyBorder="1"/>
    <xf numFmtId="44" fontId="10" fillId="13" borderId="0" xfId="1" applyFont="1" applyFill="1" applyBorder="1"/>
    <xf numFmtId="44" fontId="12" fillId="13" borderId="7" xfId="1" applyFont="1" applyFill="1" applyBorder="1"/>
    <xf numFmtId="44" fontId="10" fillId="13" borderId="0" xfId="1" quotePrefix="1" applyFont="1" applyFill="1" applyBorder="1"/>
    <xf numFmtId="0" fontId="12" fillId="13" borderId="5" xfId="0" applyFont="1" applyFill="1" applyBorder="1" applyAlignment="1">
      <alignment horizontal="center"/>
    </xf>
    <xf numFmtId="44" fontId="0" fillId="13" borderId="0" xfId="1" applyFont="1" applyFill="1" applyBorder="1"/>
    <xf numFmtId="44" fontId="0" fillId="7" borderId="0" xfId="1" applyFont="1" applyFill="1" applyBorder="1" applyAlignment="1">
      <alignment horizontal="left"/>
    </xf>
    <xf numFmtId="0" fontId="12" fillId="0" borderId="6" xfId="0" applyFont="1" applyBorder="1"/>
    <xf numFmtId="0" fontId="12" fillId="0" borderId="0" xfId="0" applyFont="1" applyFill="1" applyBorder="1"/>
    <xf numFmtId="0" fontId="23" fillId="2" borderId="0" xfId="0" applyFont="1" applyFill="1"/>
    <xf numFmtId="0" fontId="0" fillId="0" borderId="0" xfId="0" applyFont="1" applyFill="1" applyBorder="1"/>
    <xf numFmtId="0" fontId="0" fillId="0" borderId="0" xfId="0" quotePrefix="1" applyFont="1" applyFill="1" applyBorder="1"/>
    <xf numFmtId="0" fontId="0" fillId="0" borderId="0" xfId="0" applyFont="1" applyBorder="1"/>
    <xf numFmtId="0" fontId="0" fillId="0" borderId="6" xfId="0" applyFont="1" applyFill="1" applyBorder="1" applyAlignment="1">
      <alignment horizontal="left"/>
    </xf>
    <xf numFmtId="0" fontId="0" fillId="0" borderId="6" xfId="0" applyFont="1" applyBorder="1" applyAlignment="1">
      <alignment horizontal="left"/>
    </xf>
    <xf numFmtId="44" fontId="10" fillId="3" borderId="0" xfId="1" applyFont="1" applyFill="1" applyBorder="1"/>
    <xf numFmtId="0" fontId="0" fillId="7" borderId="6" xfId="0" applyFont="1" applyFill="1" applyBorder="1" applyAlignment="1">
      <alignment horizontal="left"/>
    </xf>
    <xf numFmtId="44" fontId="12" fillId="3" borderId="0" xfId="1" applyFont="1" applyFill="1" applyBorder="1"/>
    <xf numFmtId="44" fontId="0" fillId="3" borderId="0" xfId="1" applyFont="1" applyFill="1" applyBorder="1"/>
    <xf numFmtId="44" fontId="0" fillId="14" borderId="0" xfId="1" applyFont="1" applyFill="1" applyBorder="1"/>
    <xf numFmtId="44" fontId="10" fillId="14" borderId="0" xfId="1" applyFont="1" applyFill="1" applyBorder="1"/>
    <xf numFmtId="44" fontId="10" fillId="14" borderId="0" xfId="1" applyFont="1" applyFill="1" applyBorder="1" applyAlignment="1">
      <alignment horizontal="left"/>
    </xf>
    <xf numFmtId="0" fontId="12" fillId="13" borderId="7" xfId="0" applyFont="1" applyFill="1" applyBorder="1" applyAlignment="1">
      <alignment horizontal="center"/>
    </xf>
    <xf numFmtId="0" fontId="10" fillId="14" borderId="0" xfId="0" applyFont="1" applyFill="1" applyBorder="1"/>
    <xf numFmtId="44" fontId="17" fillId="3" borderId="0" xfId="0" applyNumberFormat="1" applyFont="1" applyFill="1" applyBorder="1"/>
    <xf numFmtId="43" fontId="12" fillId="3" borderId="9" xfId="64" applyFont="1" applyFill="1" applyBorder="1"/>
    <xf numFmtId="164" fontId="10" fillId="3" borderId="0" xfId="0" applyNumberFormat="1" applyFont="1" applyFill="1" applyBorder="1"/>
    <xf numFmtId="0" fontId="0" fillId="0" borderId="0" xfId="0" applyFont="1"/>
    <xf numFmtId="0" fontId="12" fillId="15" borderId="0" xfId="0" applyFont="1" applyFill="1"/>
    <xf numFmtId="0" fontId="12" fillId="0" borderId="0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0" fillId="15" borderId="0" xfId="0" applyFont="1" applyFill="1"/>
    <xf numFmtId="0" fontId="10" fillId="15" borderId="0" xfId="0" quotePrefix="1" applyFont="1" applyFill="1"/>
    <xf numFmtId="164" fontId="0" fillId="15" borderId="0" xfId="1" applyNumberFormat="1" applyFont="1" applyFill="1"/>
    <xf numFmtId="164" fontId="23" fillId="0" borderId="0" xfId="0" applyNumberFormat="1" applyFont="1"/>
    <xf numFmtId="164" fontId="23" fillId="0" borderId="2" xfId="0" applyNumberFormat="1" applyFont="1" applyBorder="1"/>
    <xf numFmtId="164" fontId="23" fillId="0" borderId="0" xfId="0" applyNumberFormat="1" applyFont="1" applyBorder="1"/>
    <xf numFmtId="0" fontId="12" fillId="10" borderId="0" xfId="0" applyFont="1" applyFill="1"/>
    <xf numFmtId="164" fontId="0" fillId="10" borderId="0" xfId="1" applyNumberFormat="1" applyFont="1" applyFill="1"/>
    <xf numFmtId="0" fontId="12" fillId="3" borderId="0" xfId="0" applyFont="1" applyFill="1" applyBorder="1" applyAlignment="1">
      <alignment horizontal="left" wrapText="1"/>
    </xf>
    <xf numFmtId="0" fontId="0" fillId="15" borderId="0" xfId="0" applyFont="1" applyFill="1"/>
    <xf numFmtId="0" fontId="0" fillId="15" borderId="0" xfId="0" quotePrefix="1" applyFont="1" applyFill="1"/>
    <xf numFmtId="0" fontId="0" fillId="10" borderId="0" xfId="0" quotePrefix="1" applyFont="1" applyFill="1"/>
    <xf numFmtId="0" fontId="12" fillId="3" borderId="0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horizontal="center" wrapText="1"/>
    </xf>
    <xf numFmtId="0" fontId="0" fillId="3" borderId="6" xfId="0" applyFont="1" applyFill="1" applyBorder="1" applyAlignment="1">
      <alignment horizontal="left"/>
    </xf>
    <xf numFmtId="0" fontId="0" fillId="3" borderId="0" xfId="0" quotePrefix="1" applyFont="1" applyFill="1" applyBorder="1"/>
    <xf numFmtId="5" fontId="10" fillId="3" borderId="0" xfId="0" applyNumberFormat="1" applyFont="1" applyFill="1" applyBorder="1"/>
    <xf numFmtId="0" fontId="10" fillId="3" borderId="6" xfId="0" applyFont="1" applyFill="1" applyBorder="1" applyAlignment="1">
      <alignment horizontal="left"/>
    </xf>
    <xf numFmtId="0" fontId="10" fillId="3" borderId="0" xfId="0" quotePrefix="1" applyFont="1" applyFill="1"/>
    <xf numFmtId="164" fontId="23" fillId="3" borderId="2" xfId="0" applyNumberFormat="1" applyFont="1" applyFill="1" applyBorder="1"/>
    <xf numFmtId="9" fontId="0" fillId="3" borderId="0" xfId="65" applyFont="1" applyFill="1"/>
    <xf numFmtId="44" fontId="17" fillId="14" borderId="0" xfId="0" applyNumberFormat="1" applyFont="1" applyFill="1" applyBorder="1"/>
    <xf numFmtId="44" fontId="10" fillId="14" borderId="0" xfId="1" quotePrefix="1" applyFont="1" applyFill="1" applyBorder="1"/>
    <xf numFmtId="5" fontId="10" fillId="14" borderId="0" xfId="0" applyNumberFormat="1" applyFont="1" applyFill="1" applyBorder="1"/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0" fillId="4" borderId="0" xfId="0" applyNumberFormat="1" applyFont="1" applyFill="1"/>
    <xf numFmtId="167" fontId="10" fillId="4" borderId="0" xfId="0" applyNumberFormat="1" applyFont="1" applyFill="1"/>
    <xf numFmtId="167" fontId="0" fillId="4" borderId="0" xfId="0" applyNumberFormat="1" applyFill="1"/>
    <xf numFmtId="0" fontId="10" fillId="4" borderId="0" xfId="0" applyFont="1" applyFill="1"/>
    <xf numFmtId="0" fontId="26" fillId="4" borderId="0" xfId="0" applyFont="1" applyFill="1" applyAlignment="1">
      <alignment vertical="center"/>
    </xf>
    <xf numFmtId="0" fontId="0" fillId="4" borderId="0" xfId="0" applyNumberFormat="1" applyFill="1"/>
    <xf numFmtId="0" fontId="27" fillId="4" borderId="0" xfId="0" applyFont="1" applyFill="1" applyAlignment="1">
      <alignment vertical="center"/>
    </xf>
    <xf numFmtId="167" fontId="10" fillId="4" borderId="0" xfId="0" quotePrefix="1" applyNumberFormat="1" applyFont="1" applyFill="1"/>
    <xf numFmtId="167" fontId="0" fillId="16" borderId="0" xfId="0" applyNumberFormat="1" applyFill="1"/>
    <xf numFmtId="167" fontId="0" fillId="17" borderId="0" xfId="0" applyNumberFormat="1" applyFill="1"/>
    <xf numFmtId="0" fontId="10" fillId="4" borderId="0" xfId="0" applyFont="1" applyFill="1" applyBorder="1"/>
    <xf numFmtId="167" fontId="0" fillId="10" borderId="0" xfId="0" applyNumberFormat="1" applyFill="1"/>
    <xf numFmtId="167" fontId="12" fillId="4" borderId="0" xfId="0" applyNumberFormat="1" applyFont="1" applyFill="1" applyAlignment="1">
      <alignment horizontal="right"/>
    </xf>
    <xf numFmtId="167" fontId="15" fillId="4" borderId="0" xfId="0" applyNumberFormat="1" applyFont="1" applyFill="1"/>
    <xf numFmtId="0" fontId="12" fillId="4" borderId="0" xfId="0" applyFont="1" applyFill="1"/>
    <xf numFmtId="167" fontId="0" fillId="18" borderId="0" xfId="0" applyNumberFormat="1" applyFill="1"/>
    <xf numFmtId="0" fontId="28" fillId="4" borderId="0" xfId="0" applyFont="1" applyFill="1"/>
    <xf numFmtId="167" fontId="0" fillId="9" borderId="0" xfId="0" applyNumberFormat="1" applyFill="1"/>
    <xf numFmtId="49" fontId="8" fillId="4" borderId="0" xfId="66" applyNumberFormat="1" applyFont="1" applyFill="1" applyBorder="1"/>
    <xf numFmtId="167" fontId="10" fillId="4" borderId="0" xfId="0" applyNumberFormat="1" applyFont="1" applyFill="1" applyAlignment="1">
      <alignment horizontal="right"/>
    </xf>
    <xf numFmtId="168" fontId="29" fillId="4" borderId="0" xfId="66" applyNumberFormat="1" applyFont="1" applyFill="1" applyBorder="1"/>
    <xf numFmtId="167" fontId="0" fillId="4" borderId="0" xfId="0" quotePrefix="1" applyNumberFormat="1" applyFill="1"/>
    <xf numFmtId="0" fontId="30" fillId="4" borderId="0" xfId="0" applyFont="1" applyFill="1"/>
    <xf numFmtId="167" fontId="15" fillId="4" borderId="0" xfId="0" applyNumberFormat="1" applyFont="1" applyFill="1" applyBorder="1"/>
    <xf numFmtId="167" fontId="31" fillId="4" borderId="0" xfId="0" applyNumberFormat="1" applyFont="1" applyFill="1"/>
    <xf numFmtId="167" fontId="0" fillId="15" borderId="0" xfId="0" applyNumberFormat="1" applyFill="1"/>
    <xf numFmtId="167" fontId="32" fillId="4" borderId="0" xfId="0" applyNumberFormat="1" applyFont="1" applyFill="1"/>
    <xf numFmtId="167" fontId="0" fillId="19" borderId="0" xfId="0" applyNumberFormat="1" applyFill="1"/>
    <xf numFmtId="0" fontId="15" fillId="4" borderId="0" xfId="0" applyFont="1" applyFill="1"/>
    <xf numFmtId="0" fontId="33" fillId="4" borderId="0" xfId="0" applyFont="1" applyFill="1" applyAlignment="1">
      <alignment vertical="center"/>
    </xf>
    <xf numFmtId="0" fontId="23" fillId="4" borderId="0" xfId="0" applyNumberFormat="1" applyFont="1" applyFill="1"/>
    <xf numFmtId="167" fontId="23" fillId="4" borderId="0" xfId="0" applyNumberFormat="1" applyFont="1" applyFill="1"/>
    <xf numFmtId="0" fontId="23" fillId="4" borderId="0" xfId="0" applyFont="1" applyFill="1"/>
    <xf numFmtId="0" fontId="34" fillId="4" borderId="0" xfId="0" applyFont="1" applyFill="1"/>
    <xf numFmtId="0" fontId="0" fillId="0" borderId="0" xfId="0" applyNumberFormat="1"/>
    <xf numFmtId="167" fontId="0" fillId="0" borderId="0" xfId="0" applyNumberFormat="1"/>
    <xf numFmtId="0" fontId="10" fillId="0" borderId="0" xfId="18" applyFont="1" applyBorder="1"/>
    <xf numFmtId="0" fontId="10" fillId="0" borderId="0" xfId="18" applyFont="1" applyFill="1" applyBorder="1"/>
    <xf numFmtId="0" fontId="10" fillId="0" borderId="0" xfId="18"/>
    <xf numFmtId="167" fontId="10" fillId="0" borderId="0" xfId="18" applyNumberFormat="1"/>
    <xf numFmtId="0" fontId="10" fillId="0" borderId="0" xfId="18" applyFont="1" applyFill="1" applyBorder="1" applyAlignment="1">
      <alignment horizontal="left"/>
    </xf>
    <xf numFmtId="4" fontId="0" fillId="0" borderId="0" xfId="0" applyNumberFormat="1"/>
    <xf numFmtId="0" fontId="10" fillId="6" borderId="0" xfId="18" applyFont="1" applyFill="1" applyBorder="1" applyAlignment="1">
      <alignment horizontal="left"/>
    </xf>
    <xf numFmtId="0" fontId="10" fillId="7" borderId="0" xfId="18" applyFont="1" applyFill="1" applyBorder="1"/>
    <xf numFmtId="0" fontId="10" fillId="7" borderId="0" xfId="18" applyFont="1" applyFill="1" applyBorder="1" applyAlignment="1">
      <alignment horizontal="left"/>
    </xf>
    <xf numFmtId="167" fontId="35" fillId="0" borderId="0" xfId="18" applyNumberFormat="1" applyFont="1" applyAlignment="1">
      <alignment horizontal="right"/>
    </xf>
    <xf numFmtId="167" fontId="27" fillId="0" borderId="0" xfId="18" applyNumberFormat="1" applyFont="1"/>
    <xf numFmtId="0" fontId="10" fillId="8" borderId="0" xfId="18" applyFont="1" applyFill="1" applyBorder="1" applyAlignment="1">
      <alignment horizontal="left"/>
    </xf>
    <xf numFmtId="0" fontId="10" fillId="8" borderId="0" xfId="18" applyFont="1" applyFill="1" applyBorder="1"/>
    <xf numFmtId="0" fontId="10" fillId="9" borderId="0" xfId="18" applyFont="1" applyFill="1" applyBorder="1" applyAlignment="1">
      <alignment horizontal="left"/>
    </xf>
    <xf numFmtId="0" fontId="10" fillId="0" borderId="0" xfId="18" applyFont="1"/>
    <xf numFmtId="8" fontId="0" fillId="10" borderId="0" xfId="0" applyNumberFormat="1" applyFill="1"/>
    <xf numFmtId="8" fontId="0" fillId="18" borderId="0" xfId="0" applyNumberFormat="1" applyFill="1"/>
    <xf numFmtId="8" fontId="0" fillId="16" borderId="0" xfId="0" applyNumberFormat="1" applyFill="1"/>
    <xf numFmtId="8" fontId="0" fillId="17" borderId="0" xfId="0" applyNumberFormat="1" applyFill="1"/>
    <xf numFmtId="8" fontId="0" fillId="0" borderId="0" xfId="0" applyNumberFormat="1"/>
    <xf numFmtId="8" fontId="0" fillId="15" borderId="0" xfId="0" applyNumberFormat="1" applyFill="1"/>
    <xf numFmtId="8" fontId="0" fillId="19" borderId="0" xfId="0" applyNumberFormat="1" applyFill="1"/>
    <xf numFmtId="8" fontId="0" fillId="9" borderId="0" xfId="0" applyNumberFormat="1" applyFill="1"/>
    <xf numFmtId="49" fontId="0" fillId="4" borderId="0" xfId="0" applyNumberFormat="1" applyFill="1"/>
    <xf numFmtId="49" fontId="23" fillId="4" borderId="0" xfId="0" applyNumberFormat="1" applyFont="1" applyFill="1"/>
    <xf numFmtId="49" fontId="0" fillId="0" borderId="0" xfId="0" applyNumberFormat="1"/>
    <xf numFmtId="167" fontId="0" fillId="4" borderId="0" xfId="0" applyNumberFormat="1" applyFont="1" applyFill="1"/>
    <xf numFmtId="167" fontId="0" fillId="20" borderId="0" xfId="0" applyNumberFormat="1" applyFont="1" applyFill="1"/>
    <xf numFmtId="167" fontId="0" fillId="20" borderId="0" xfId="0" applyNumberFormat="1" applyFill="1"/>
    <xf numFmtId="167" fontId="23" fillId="20" borderId="0" xfId="0" applyNumberFormat="1" applyFont="1" applyFill="1"/>
    <xf numFmtId="0" fontId="0" fillId="20" borderId="0" xfId="0" applyFill="1"/>
    <xf numFmtId="0" fontId="8" fillId="0" borderId="0" xfId="66"/>
    <xf numFmtId="0" fontId="8" fillId="0" borderId="0" xfId="66" applyAlignment="1">
      <alignment horizontal="center"/>
    </xf>
    <xf numFmtId="167" fontId="8" fillId="0" borderId="0" xfId="66" applyNumberFormat="1" applyAlignment="1">
      <alignment horizontal="center"/>
    </xf>
    <xf numFmtId="0" fontId="25" fillId="0" borderId="0" xfId="66" applyFont="1"/>
    <xf numFmtId="165" fontId="8" fillId="0" borderId="0" xfId="66" applyNumberFormat="1" applyAlignment="1">
      <alignment horizontal="center"/>
    </xf>
    <xf numFmtId="167" fontId="25" fillId="0" borderId="0" xfId="66" applyNumberFormat="1" applyFont="1"/>
    <xf numFmtId="167" fontId="8" fillId="0" borderId="0" xfId="66" applyNumberFormat="1"/>
    <xf numFmtId="49" fontId="0" fillId="21" borderId="0" xfId="0" applyNumberFormat="1" applyFill="1"/>
    <xf numFmtId="49" fontId="12" fillId="21" borderId="0" xfId="0" applyNumberFormat="1" applyFont="1" applyFill="1"/>
    <xf numFmtId="49" fontId="23" fillId="21" borderId="0" xfId="0" applyNumberFormat="1" applyFont="1" applyFill="1"/>
    <xf numFmtId="0" fontId="10" fillId="22" borderId="0" xfId="0" applyFont="1" applyFill="1" applyBorder="1"/>
    <xf numFmtId="49" fontId="0" fillId="22" borderId="0" xfId="0" applyNumberFormat="1" applyFill="1"/>
    <xf numFmtId="0" fontId="37" fillId="4" borderId="0" xfId="0" applyFont="1" applyFill="1"/>
    <xf numFmtId="167" fontId="0" fillId="23" borderId="0" xfId="0" applyNumberFormat="1" applyFill="1"/>
    <xf numFmtId="0" fontId="0" fillId="24" borderId="0" xfId="0" applyFill="1"/>
    <xf numFmtId="167" fontId="0" fillId="24" borderId="0" xfId="0" applyNumberFormat="1" applyFill="1"/>
    <xf numFmtId="167" fontId="12" fillId="3" borderId="3" xfId="0" applyNumberFormat="1" applyFont="1" applyFill="1" applyBorder="1"/>
    <xf numFmtId="167" fontId="23" fillId="3" borderId="3" xfId="0" applyNumberFormat="1" applyFont="1" applyFill="1" applyBorder="1"/>
    <xf numFmtId="0" fontId="12" fillId="0" borderId="0" xfId="0" applyFont="1" applyAlignment="1">
      <alignment horizontal="center"/>
    </xf>
    <xf numFmtId="0" fontId="0" fillId="6" borderId="6" xfId="0" applyFont="1" applyFill="1" applyBorder="1" applyAlignment="1">
      <alignment horizontal="left"/>
    </xf>
    <xf numFmtId="0" fontId="0" fillId="8" borderId="6" xfId="0" applyFont="1" applyFill="1" applyBorder="1" applyAlignment="1">
      <alignment horizontal="left"/>
    </xf>
    <xf numFmtId="0" fontId="0" fillId="25" borderId="6" xfId="0" applyFont="1" applyFill="1" applyBorder="1" applyAlignment="1">
      <alignment horizontal="left"/>
    </xf>
    <xf numFmtId="0" fontId="10" fillId="25" borderId="0" xfId="0" applyFont="1" applyFill="1" applyBorder="1" applyAlignment="1">
      <alignment horizontal="left"/>
    </xf>
    <xf numFmtId="44" fontId="10" fillId="25" borderId="0" xfId="1" applyFont="1" applyFill="1" applyBorder="1" applyAlignment="1">
      <alignment horizontal="left"/>
    </xf>
    <xf numFmtId="0" fontId="0" fillId="8" borderId="0" xfId="0" applyFont="1" applyFill="1" applyBorder="1" applyAlignment="1">
      <alignment horizontal="left"/>
    </xf>
    <xf numFmtId="44" fontId="10" fillId="10" borderId="0" xfId="1" applyFont="1" applyFill="1" applyBorder="1"/>
    <xf numFmtId="164" fontId="12" fillId="10" borderId="0" xfId="1" applyNumberFormat="1" applyFont="1" applyFill="1" applyBorder="1"/>
    <xf numFmtId="0" fontId="10" fillId="0" borderId="0" xfId="18" applyNumberFormat="1"/>
    <xf numFmtId="0" fontId="27" fillId="0" borderId="0" xfId="18" applyNumberFormat="1" applyFont="1"/>
    <xf numFmtId="0" fontId="35" fillId="0" borderId="0" xfId="18" applyNumberFormat="1" applyFont="1" applyAlignment="1">
      <alignment horizontal="right"/>
    </xf>
    <xf numFmtId="0" fontId="15" fillId="4" borderId="0" xfId="0" applyNumberFormat="1" applyFont="1" applyFill="1" applyBorder="1"/>
    <xf numFmtId="167" fontId="17" fillId="4" borderId="0" xfId="0" applyNumberFormat="1" applyFont="1" applyFill="1"/>
    <xf numFmtId="0" fontId="15" fillId="4" borderId="0" xfId="0" applyNumberFormat="1" applyFont="1" applyFill="1"/>
    <xf numFmtId="167" fontId="39" fillId="4" borderId="0" xfId="0" applyNumberFormat="1" applyFont="1" applyFill="1"/>
    <xf numFmtId="0" fontId="32" fillId="4" borderId="0" xfId="0" applyNumberFormat="1" applyFont="1" applyFill="1"/>
    <xf numFmtId="168" fontId="38" fillId="4" borderId="0" xfId="68" applyNumberFormat="1" applyFont="1" applyFill="1" applyBorder="1"/>
    <xf numFmtId="0" fontId="38" fillId="4" borderId="0" xfId="68" applyNumberFormat="1" applyFont="1" applyFill="1" applyBorder="1"/>
    <xf numFmtId="49" fontId="25" fillId="4" borderId="0" xfId="68" applyNumberFormat="1" applyFont="1" applyFill="1" applyBorder="1"/>
    <xf numFmtId="168" fontId="7" fillId="4" borderId="0" xfId="68" applyNumberFormat="1" applyFont="1" applyFill="1" applyBorder="1"/>
    <xf numFmtId="0" fontId="7" fillId="4" borderId="0" xfId="68" applyNumberFormat="1" applyFont="1" applyFill="1" applyBorder="1"/>
    <xf numFmtId="49" fontId="7" fillId="4" borderId="0" xfId="68" applyNumberFormat="1" applyFont="1" applyFill="1" applyBorder="1"/>
    <xf numFmtId="0" fontId="12" fillId="0" borderId="0" xfId="69" applyFont="1" applyAlignment="1">
      <alignment horizontal="center"/>
    </xf>
    <xf numFmtId="0" fontId="40" fillId="0" borderId="0" xfId="69"/>
    <xf numFmtId="0" fontId="12" fillId="0" borderId="0" xfId="69" applyNumberFormat="1" applyFont="1" applyAlignment="1">
      <alignment horizontal="center"/>
    </xf>
    <xf numFmtId="0" fontId="40" fillId="4" borderId="0" xfId="69" applyFill="1"/>
    <xf numFmtId="0" fontId="10" fillId="4" borderId="0" xfId="69" applyNumberFormat="1" applyFont="1" applyFill="1"/>
    <xf numFmtId="167" fontId="10" fillId="4" borderId="0" xfId="69" applyNumberFormat="1" applyFont="1" applyFill="1"/>
    <xf numFmtId="167" fontId="40" fillId="4" borderId="0" xfId="69" applyNumberFormat="1" applyFill="1"/>
    <xf numFmtId="0" fontId="40" fillId="4" borderId="0" xfId="69" applyNumberFormat="1" applyFill="1"/>
    <xf numFmtId="0" fontId="10" fillId="4" borderId="0" xfId="69" applyFont="1" applyFill="1"/>
    <xf numFmtId="167" fontId="10" fillId="0" borderId="0" xfId="69" applyNumberFormat="1" applyFont="1" applyFill="1"/>
    <xf numFmtId="0" fontId="40" fillId="0" borderId="0" xfId="69" applyFill="1"/>
    <xf numFmtId="0" fontId="10" fillId="0" borderId="0" xfId="69" applyFont="1" applyFill="1"/>
    <xf numFmtId="0" fontId="26" fillId="4" borderId="0" xfId="69" applyFont="1" applyFill="1" applyAlignment="1">
      <alignment vertical="center"/>
    </xf>
    <xf numFmtId="167" fontId="40" fillId="0" borderId="0" xfId="69" applyNumberFormat="1" applyFill="1"/>
    <xf numFmtId="0" fontId="27" fillId="4" borderId="0" xfId="69" applyFont="1" applyFill="1" applyAlignment="1">
      <alignment vertical="center"/>
    </xf>
    <xf numFmtId="167" fontId="12" fillId="4" borderId="0" xfId="69" applyNumberFormat="1" applyFont="1" applyFill="1" applyAlignment="1">
      <alignment horizontal="right"/>
    </xf>
    <xf numFmtId="167" fontId="15" fillId="4" borderId="0" xfId="69" applyNumberFormat="1" applyFont="1" applyFill="1"/>
    <xf numFmtId="0" fontId="15" fillId="4" borderId="0" xfId="69" applyNumberFormat="1" applyFont="1" applyFill="1"/>
    <xf numFmtId="167" fontId="17" fillId="4" borderId="0" xfId="69" applyNumberFormat="1" applyFont="1" applyFill="1"/>
    <xf numFmtId="0" fontId="12" fillId="4" borderId="0" xfId="69" applyFont="1" applyFill="1"/>
    <xf numFmtId="0" fontId="12" fillId="0" borderId="0" xfId="69" applyFont="1" applyFill="1"/>
    <xf numFmtId="167" fontId="39" fillId="4" borderId="0" xfId="69" applyNumberFormat="1" applyFont="1" applyFill="1"/>
    <xf numFmtId="49" fontId="6" fillId="4" borderId="0" xfId="70" applyNumberFormat="1" applyFont="1" applyFill="1" applyBorder="1"/>
    <xf numFmtId="168" fontId="38" fillId="4" borderId="0" xfId="70" applyNumberFormat="1" applyFont="1" applyFill="1" applyBorder="1"/>
    <xf numFmtId="0" fontId="38" fillId="4" borderId="0" xfId="70" applyNumberFormat="1" applyFont="1" applyFill="1" applyBorder="1"/>
    <xf numFmtId="49" fontId="25" fillId="4" borderId="0" xfId="70" applyNumberFormat="1" applyFont="1" applyFill="1" applyBorder="1"/>
    <xf numFmtId="0" fontId="38" fillId="0" borderId="0" xfId="70" applyNumberFormat="1" applyFont="1" applyFill="1" applyBorder="1"/>
    <xf numFmtId="168" fontId="38" fillId="0" borderId="0" xfId="70" applyNumberFormat="1" applyFont="1" applyFill="1" applyBorder="1"/>
    <xf numFmtId="167" fontId="10" fillId="4" borderId="0" xfId="69" applyNumberFormat="1" applyFont="1" applyFill="1" applyAlignment="1">
      <alignment horizontal="right"/>
    </xf>
    <xf numFmtId="168" fontId="6" fillId="4" borderId="0" xfId="70" applyNumberFormat="1" applyFont="1" applyFill="1" applyBorder="1"/>
    <xf numFmtId="0" fontId="6" fillId="0" borderId="0" xfId="70" applyNumberFormat="1" applyFont="1" applyFill="1" applyBorder="1"/>
    <xf numFmtId="168" fontId="6" fillId="0" borderId="0" xfId="70" applyNumberFormat="1" applyFont="1" applyFill="1" applyBorder="1"/>
    <xf numFmtId="0" fontId="6" fillId="4" borderId="0" xfId="70" applyNumberFormat="1" applyFont="1" applyFill="1" applyBorder="1"/>
    <xf numFmtId="167" fontId="39" fillId="0" borderId="0" xfId="69" applyNumberFormat="1" applyFont="1" applyFill="1"/>
    <xf numFmtId="167" fontId="12" fillId="0" borderId="0" xfId="69" applyNumberFormat="1" applyFont="1" applyFill="1" applyAlignment="1">
      <alignment horizontal="right"/>
    </xf>
    <xf numFmtId="167" fontId="17" fillId="0" borderId="0" xfId="69" applyNumberFormat="1" applyFont="1" applyFill="1"/>
    <xf numFmtId="0" fontId="30" fillId="4" borderId="0" xfId="69" applyFont="1" applyFill="1"/>
    <xf numFmtId="167" fontId="15" fillId="4" borderId="0" xfId="69" applyNumberFormat="1" applyFont="1" applyFill="1" applyBorder="1"/>
    <xf numFmtId="0" fontId="15" fillId="4" borderId="0" xfId="69" applyNumberFormat="1" applyFont="1" applyFill="1" applyBorder="1"/>
    <xf numFmtId="0" fontId="41" fillId="4" borderId="0" xfId="69" applyFont="1" applyFill="1"/>
    <xf numFmtId="167" fontId="32" fillId="4" borderId="0" xfId="69" applyNumberFormat="1" applyFont="1" applyFill="1"/>
    <xf numFmtId="0" fontId="32" fillId="4" borderId="0" xfId="69" applyNumberFormat="1" applyFont="1" applyFill="1"/>
    <xf numFmtId="0" fontId="15" fillId="4" borderId="0" xfId="69" applyFont="1" applyFill="1"/>
    <xf numFmtId="0" fontId="33" fillId="4" borderId="0" xfId="69" applyFont="1" applyFill="1" applyAlignment="1">
      <alignment vertical="center"/>
    </xf>
    <xf numFmtId="0" fontId="23" fillId="4" borderId="0" xfId="69" applyNumberFormat="1" applyFont="1" applyFill="1"/>
    <xf numFmtId="167" fontId="23" fillId="4" borderId="0" xfId="69" applyNumberFormat="1" applyFont="1" applyFill="1"/>
    <xf numFmtId="167" fontId="23" fillId="0" borderId="0" xfId="69" applyNumberFormat="1" applyFont="1" applyFill="1"/>
    <xf numFmtId="0" fontId="23" fillId="0" borderId="0" xfId="69" applyFont="1" applyFill="1"/>
    <xf numFmtId="0" fontId="40" fillId="0" borderId="0" xfId="69" applyNumberFormat="1"/>
    <xf numFmtId="167" fontId="40" fillId="0" borderId="0" xfId="69" applyNumberFormat="1"/>
    <xf numFmtId="0" fontId="40" fillId="0" borderId="0" xfId="69" applyNumberFormat="1" applyFill="1"/>
    <xf numFmtId="167" fontId="10" fillId="0" borderId="0" xfId="18" applyNumberFormat="1" applyFill="1"/>
    <xf numFmtId="4" fontId="40" fillId="0" borderId="0" xfId="69" applyNumberFormat="1"/>
    <xf numFmtId="0" fontId="10" fillId="0" borderId="0" xfId="18" applyNumberFormat="1" applyFill="1"/>
    <xf numFmtId="0" fontId="25" fillId="0" borderId="1" xfId="70" applyFont="1" applyBorder="1"/>
    <xf numFmtId="165" fontId="25" fillId="0" borderId="1" xfId="70" applyNumberFormat="1" applyFont="1" applyBorder="1"/>
    <xf numFmtId="0" fontId="6" fillId="0" borderId="0" xfId="70"/>
    <xf numFmtId="0" fontId="25" fillId="0" borderId="0" xfId="70" applyFont="1"/>
    <xf numFmtId="165" fontId="6" fillId="0" borderId="0" xfId="70" applyNumberFormat="1"/>
    <xf numFmtId="165" fontId="25" fillId="0" borderId="0" xfId="70" applyNumberFormat="1" applyFont="1"/>
    <xf numFmtId="169" fontId="0" fillId="4" borderId="0" xfId="64" applyNumberFormat="1" applyFont="1" applyFill="1"/>
    <xf numFmtId="169" fontId="0" fillId="0" borderId="0" xfId="64" applyNumberFormat="1" applyFont="1" applyFill="1"/>
    <xf numFmtId="0" fontId="6" fillId="0" borderId="0" xfId="70" applyAlignment="1">
      <alignment horizontal="center"/>
    </xf>
    <xf numFmtId="44" fontId="6" fillId="10" borderId="0" xfId="70" applyNumberFormat="1" applyFill="1"/>
    <xf numFmtId="0" fontId="6" fillId="10" borderId="0" xfId="70" applyFill="1" applyAlignment="1">
      <alignment horizontal="center"/>
    </xf>
    <xf numFmtId="0" fontId="6" fillId="10" borderId="0" xfId="70" applyFill="1"/>
    <xf numFmtId="44" fontId="6" fillId="0" borderId="0" xfId="70" applyNumberFormat="1"/>
    <xf numFmtId="44" fontId="6" fillId="0" borderId="3" xfId="70" applyNumberFormat="1" applyBorder="1"/>
    <xf numFmtId="43" fontId="0" fillId="0" borderId="0" xfId="71" applyFont="1"/>
    <xf numFmtId="44" fontId="25" fillId="0" borderId="10" xfId="72" applyFont="1" applyBorder="1"/>
    <xf numFmtId="0" fontId="25" fillId="0" borderId="10" xfId="70" applyFont="1" applyBorder="1" applyAlignment="1">
      <alignment horizontal="center"/>
    </xf>
    <xf numFmtId="0" fontId="25" fillId="0" borderId="10" xfId="70" applyFont="1" applyBorder="1"/>
    <xf numFmtId="44" fontId="6" fillId="0" borderId="11" xfId="70" applyNumberFormat="1" applyBorder="1"/>
    <xf numFmtId="0" fontId="6" fillId="0" borderId="11" xfId="70" applyBorder="1" applyAlignment="1">
      <alignment horizontal="center"/>
    </xf>
    <xf numFmtId="0" fontId="6" fillId="0" borderId="11" xfId="70" applyBorder="1"/>
    <xf numFmtId="44" fontId="6" fillId="0" borderId="12" xfId="70" applyNumberFormat="1" applyBorder="1"/>
    <xf numFmtId="0" fontId="6" fillId="0" borderId="12" xfId="70" applyBorder="1" applyAlignment="1">
      <alignment horizontal="center"/>
    </xf>
    <xf numFmtId="0" fontId="6" fillId="0" borderId="12" xfId="70" applyBorder="1"/>
    <xf numFmtId="0" fontId="12" fillId="0" borderId="0" xfId="0" applyFont="1" applyFill="1" applyAlignment="1">
      <alignment horizontal="center"/>
    </xf>
    <xf numFmtId="0" fontId="12" fillId="0" borderId="0" xfId="0" applyNumberFormat="1" applyFont="1" applyFill="1" applyAlignment="1">
      <alignment horizontal="center"/>
    </xf>
    <xf numFmtId="0" fontId="10" fillId="0" borderId="0" xfId="0" applyNumberFormat="1" applyFont="1" applyFill="1"/>
    <xf numFmtId="167" fontId="10" fillId="0" borderId="0" xfId="0" applyNumberFormat="1" applyFont="1" applyFill="1"/>
    <xf numFmtId="167" fontId="0" fillId="0" borderId="0" xfId="0" applyNumberFormat="1" applyFill="1"/>
    <xf numFmtId="0" fontId="0" fillId="0" borderId="0" xfId="0" applyNumberFormat="1" applyFill="1"/>
    <xf numFmtId="0" fontId="10" fillId="0" borderId="0" xfId="0" applyFont="1" applyFill="1"/>
    <xf numFmtId="0" fontId="26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167" fontId="12" fillId="0" borderId="0" xfId="0" applyNumberFormat="1" applyFont="1" applyFill="1" applyAlignment="1">
      <alignment horizontal="right"/>
    </xf>
    <xf numFmtId="167" fontId="15" fillId="0" borderId="0" xfId="0" applyNumberFormat="1" applyFont="1" applyFill="1"/>
    <xf numFmtId="0" fontId="15" fillId="0" borderId="0" xfId="0" applyNumberFormat="1" applyFont="1" applyFill="1"/>
    <xf numFmtId="167" fontId="17" fillId="0" borderId="0" xfId="0" applyNumberFormat="1" applyFont="1" applyFill="1"/>
    <xf numFmtId="167" fontId="39" fillId="0" borderId="0" xfId="0" applyNumberFormat="1" applyFont="1" applyFill="1"/>
    <xf numFmtId="49" fontId="5" fillId="0" borderId="0" xfId="73" applyNumberFormat="1" applyFont="1" applyFill="1" applyBorder="1"/>
    <xf numFmtId="168" fontId="38" fillId="0" borderId="0" xfId="73" applyNumberFormat="1" applyFont="1" applyFill="1" applyBorder="1"/>
    <xf numFmtId="0" fontId="38" fillId="0" borderId="0" xfId="73" applyNumberFormat="1" applyFont="1" applyFill="1" applyBorder="1"/>
    <xf numFmtId="49" fontId="25" fillId="0" borderId="0" xfId="73" applyNumberFormat="1" applyFont="1" applyFill="1" applyBorder="1"/>
    <xf numFmtId="168" fontId="5" fillId="0" borderId="0" xfId="73" applyNumberFormat="1" applyFont="1" applyFill="1" applyBorder="1"/>
    <xf numFmtId="0" fontId="5" fillId="0" borderId="0" xfId="73" applyNumberFormat="1" applyFont="1" applyFill="1" applyBorder="1"/>
    <xf numFmtId="0" fontId="30" fillId="0" borderId="0" xfId="0" applyFont="1" applyFill="1"/>
    <xf numFmtId="167" fontId="15" fillId="0" borderId="0" xfId="0" applyNumberFormat="1" applyFont="1" applyFill="1" applyBorder="1"/>
    <xf numFmtId="0" fontId="15" fillId="0" borderId="0" xfId="0" applyNumberFormat="1" applyFont="1" applyFill="1" applyBorder="1"/>
    <xf numFmtId="167" fontId="32" fillId="0" borderId="0" xfId="0" applyNumberFormat="1" applyFont="1" applyFill="1"/>
    <xf numFmtId="0" fontId="32" fillId="0" borderId="0" xfId="0" applyNumberFormat="1" applyFont="1" applyFill="1"/>
    <xf numFmtId="0" fontId="15" fillId="0" borderId="0" xfId="0" applyFont="1" applyFill="1"/>
    <xf numFmtId="0" fontId="33" fillId="0" borderId="0" xfId="0" applyFont="1" applyFill="1" applyAlignment="1">
      <alignment vertical="center"/>
    </xf>
    <xf numFmtId="0" fontId="23" fillId="0" borderId="0" xfId="0" applyNumberFormat="1" applyFont="1" applyFill="1"/>
    <xf numFmtId="167" fontId="23" fillId="0" borderId="0" xfId="0" applyNumberFormat="1" applyFont="1" applyFill="1"/>
    <xf numFmtId="0" fontId="23" fillId="0" borderId="0" xfId="0" applyFont="1" applyFill="1"/>
    <xf numFmtId="0" fontId="10" fillId="0" borderId="0" xfId="18" applyFill="1"/>
    <xf numFmtId="4" fontId="0" fillId="0" borderId="0" xfId="0" applyNumberFormat="1" applyFill="1"/>
    <xf numFmtId="167" fontId="35" fillId="0" borderId="0" xfId="18" applyNumberFormat="1" applyFont="1" applyFill="1" applyAlignment="1">
      <alignment horizontal="right"/>
    </xf>
    <xf numFmtId="0" fontId="35" fillId="0" borderId="0" xfId="18" applyNumberFormat="1" applyFont="1" applyFill="1" applyAlignment="1">
      <alignment horizontal="right"/>
    </xf>
    <xf numFmtId="167" fontId="27" fillId="0" borderId="0" xfId="18" applyNumberFormat="1" applyFont="1" applyFill="1"/>
    <xf numFmtId="0" fontId="27" fillId="0" borderId="0" xfId="18" applyNumberFormat="1" applyFont="1" applyFill="1"/>
    <xf numFmtId="0" fontId="10" fillId="0" borderId="0" xfId="18" applyFont="1" applyFill="1"/>
    <xf numFmtId="164" fontId="10" fillId="0" borderId="0" xfId="1" applyNumberFormat="1"/>
    <xf numFmtId="164" fontId="40" fillId="0" borderId="0" xfId="1" applyNumberFormat="1" applyFont="1"/>
    <xf numFmtId="165" fontId="5" fillId="0" borderId="0" xfId="70" applyNumberFormat="1" applyFont="1"/>
    <xf numFmtId="165" fontId="6" fillId="10" borderId="0" xfId="70" applyNumberFormat="1" applyFill="1"/>
    <xf numFmtId="165" fontId="25" fillId="10" borderId="3" xfId="70" applyNumberFormat="1" applyFont="1" applyFill="1" applyBorder="1"/>
    <xf numFmtId="167" fontId="39" fillId="10" borderId="0" xfId="0" applyNumberFormat="1" applyFont="1" applyFill="1"/>
    <xf numFmtId="0" fontId="0" fillId="10" borderId="0" xfId="0" applyFill="1"/>
    <xf numFmtId="0" fontId="4" fillId="0" borderId="0" xfId="70" applyFont="1"/>
    <xf numFmtId="0" fontId="0" fillId="0" borderId="0" xfId="0" applyFont="1" applyFill="1"/>
    <xf numFmtId="0" fontId="3" fillId="0" borderId="0" xfId="74"/>
    <xf numFmtId="165" fontId="3" fillId="0" borderId="0" xfId="74" applyNumberFormat="1"/>
    <xf numFmtId="165" fontId="25" fillId="0" borderId="0" xfId="74" applyNumberFormat="1" applyFont="1"/>
    <xf numFmtId="0" fontId="42" fillId="0" borderId="0" xfId="74" applyFont="1"/>
    <xf numFmtId="0" fontId="25" fillId="0" borderId="0" xfId="74" applyFont="1"/>
    <xf numFmtId="165" fontId="25" fillId="0" borderId="1" xfId="74" applyNumberFormat="1" applyFont="1" applyBorder="1"/>
    <xf numFmtId="0" fontId="25" fillId="0" borderId="1" xfId="74" applyFont="1" applyBorder="1"/>
    <xf numFmtId="165" fontId="43" fillId="10" borderId="13" xfId="74" applyNumberFormat="1" applyFont="1" applyFill="1" applyBorder="1"/>
    <xf numFmtId="165" fontId="43" fillId="10" borderId="14" xfId="74" applyNumberFormat="1" applyFont="1" applyFill="1" applyBorder="1"/>
    <xf numFmtId="167" fontId="0" fillId="0" borderId="0" xfId="1" applyNumberFormat="1" applyFont="1" applyFill="1"/>
    <xf numFmtId="167" fontId="0" fillId="26" borderId="0" xfId="0" applyNumberFormat="1" applyFill="1"/>
    <xf numFmtId="167" fontId="0" fillId="26" borderId="0" xfId="1" applyNumberFormat="1" applyFont="1" applyFill="1"/>
    <xf numFmtId="167" fontId="23" fillId="0" borderId="0" xfId="1" applyNumberFormat="1" applyFont="1" applyFill="1"/>
    <xf numFmtId="5" fontId="12" fillId="3" borderId="0" xfId="0" applyNumberFormat="1" applyFont="1" applyFill="1" applyBorder="1"/>
    <xf numFmtId="167" fontId="10" fillId="3" borderId="0" xfId="18" applyNumberFormat="1" applyFill="1"/>
    <xf numFmtId="0" fontId="10" fillId="3" borderId="0" xfId="18" applyFill="1"/>
    <xf numFmtId="164" fontId="12" fillId="13" borderId="9" xfId="1" applyNumberFormat="1" applyFont="1" applyFill="1" applyBorder="1"/>
    <xf numFmtId="5" fontId="10" fillId="27" borderId="0" xfId="0" applyNumberFormat="1" applyFont="1" applyFill="1" applyBorder="1"/>
    <xf numFmtId="164" fontId="17" fillId="27" borderId="0" xfId="0" applyNumberFormat="1" applyFont="1" applyFill="1" applyBorder="1"/>
    <xf numFmtId="164" fontId="12" fillId="27" borderId="9" xfId="1" applyNumberFormat="1" applyFont="1" applyFill="1" applyBorder="1"/>
    <xf numFmtId="5" fontId="0" fillId="27" borderId="0" xfId="0" applyNumberFormat="1" applyFont="1" applyFill="1" applyBorder="1"/>
    <xf numFmtId="0" fontId="11" fillId="26" borderId="0" xfId="0" applyFont="1" applyFill="1" applyAlignment="1">
      <alignment horizontal="center"/>
    </xf>
    <xf numFmtId="0" fontId="11" fillId="26" borderId="1" xfId="0" applyFont="1" applyFill="1" applyBorder="1" applyAlignment="1">
      <alignment horizontal="center"/>
    </xf>
    <xf numFmtId="5" fontId="10" fillId="26" borderId="0" xfId="0" applyNumberFormat="1" applyFont="1" applyFill="1" applyBorder="1"/>
    <xf numFmtId="164" fontId="17" fillId="26" borderId="0" xfId="0" applyNumberFormat="1" applyFont="1" applyFill="1" applyBorder="1"/>
    <xf numFmtId="0" fontId="12" fillId="0" borderId="0" xfId="0" applyFont="1" applyAlignment="1">
      <alignment horizontal="center"/>
    </xf>
    <xf numFmtId="14" fontId="0" fillId="0" borderId="0" xfId="0" applyNumberFormat="1"/>
    <xf numFmtId="167" fontId="10" fillId="0" borderId="0" xfId="18" applyNumberFormat="1" applyFont="1"/>
    <xf numFmtId="14" fontId="0" fillId="0" borderId="0" xfId="0" applyNumberFormat="1" applyFill="1"/>
    <xf numFmtId="167" fontId="10" fillId="0" borderId="0" xfId="0" applyNumberFormat="1" applyFont="1"/>
    <xf numFmtId="14" fontId="0" fillId="4" borderId="0" xfId="0" applyNumberFormat="1" applyFill="1"/>
    <xf numFmtId="14" fontId="23" fillId="4" borderId="0" xfId="0" applyNumberFormat="1" applyFont="1" applyFill="1"/>
    <xf numFmtId="0" fontId="23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167" fontId="41" fillId="4" borderId="0" xfId="0" applyNumberFormat="1" applyFont="1" applyFill="1"/>
    <xf numFmtId="14" fontId="41" fillId="4" borderId="0" xfId="0" applyNumberFormat="1" applyFont="1" applyFill="1"/>
    <xf numFmtId="0" fontId="41" fillId="4" borderId="0" xfId="0" applyNumberFormat="1" applyFont="1" applyFill="1"/>
    <xf numFmtId="0" fontId="41" fillId="4" borderId="0" xfId="0" applyFont="1" applyFill="1" applyAlignment="1">
      <alignment vertical="center"/>
    </xf>
    <xf numFmtId="0" fontId="30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14" fontId="12" fillId="4" borderId="0" xfId="0" applyNumberFormat="1" applyFont="1" applyFill="1" applyAlignment="1">
      <alignment horizontal="right"/>
    </xf>
    <xf numFmtId="167" fontId="41" fillId="4" borderId="0" xfId="0" applyNumberFormat="1" applyFont="1" applyFill="1" applyBorder="1"/>
    <xf numFmtId="0" fontId="41" fillId="4" borderId="0" xfId="0" applyFont="1" applyFill="1"/>
    <xf numFmtId="168" fontId="38" fillId="0" borderId="0" xfId="75" applyNumberFormat="1" applyFont="1" applyFill="1" applyBorder="1"/>
    <xf numFmtId="0" fontId="38" fillId="0" borderId="0" xfId="75" applyNumberFormat="1" applyFont="1" applyFill="1" applyBorder="1"/>
    <xf numFmtId="168" fontId="38" fillId="4" borderId="0" xfId="75" applyNumberFormat="1" applyFont="1" applyFill="1" applyBorder="1"/>
    <xf numFmtId="0" fontId="38" fillId="4" borderId="0" xfId="75" applyNumberFormat="1" applyFont="1" applyFill="1" applyBorder="1"/>
    <xf numFmtId="168" fontId="15" fillId="4" borderId="0" xfId="75" applyNumberFormat="1" applyFont="1" applyFill="1" applyBorder="1"/>
    <xf numFmtId="49" fontId="30" fillId="4" borderId="0" xfId="75" applyNumberFormat="1" applyFont="1" applyFill="1" applyBorder="1"/>
    <xf numFmtId="168" fontId="2" fillId="0" borderId="0" xfId="75" applyNumberFormat="1" applyFont="1" applyFill="1" applyBorder="1"/>
    <xf numFmtId="0" fontId="2" fillId="0" borderId="0" xfId="75" applyNumberFormat="1" applyFont="1" applyFill="1" applyBorder="1"/>
    <xf numFmtId="168" fontId="2" fillId="4" borderId="0" xfId="75" applyNumberFormat="1" applyFont="1" applyFill="1" applyBorder="1"/>
    <xf numFmtId="0" fontId="2" fillId="4" borderId="0" xfId="75" applyNumberFormat="1" applyFont="1" applyFill="1" applyBorder="1"/>
    <xf numFmtId="168" fontId="41" fillId="4" borderId="0" xfId="75" applyNumberFormat="1" applyFont="1" applyFill="1" applyBorder="1"/>
    <xf numFmtId="49" fontId="41" fillId="4" borderId="0" xfId="75" applyNumberFormat="1" applyFont="1" applyFill="1" applyBorder="1"/>
    <xf numFmtId="14" fontId="10" fillId="4" borderId="0" xfId="0" applyNumberFormat="1" applyFont="1" applyFill="1"/>
    <xf numFmtId="14" fontId="12" fillId="0" borderId="0" xfId="0" applyNumberFormat="1" applyFont="1" applyAlignment="1">
      <alignment horizontal="center"/>
    </xf>
    <xf numFmtId="0" fontId="12" fillId="4" borderId="0" xfId="0" applyFont="1" applyFill="1" applyAlignment="1">
      <alignment horizontal="center"/>
    </xf>
    <xf numFmtId="0" fontId="12" fillId="4" borderId="0" xfId="0" applyNumberFormat="1" applyFont="1" applyFill="1" applyAlignment="1">
      <alignment horizontal="center"/>
    </xf>
    <xf numFmtId="0" fontId="15" fillId="4" borderId="0" xfId="75" applyNumberFormat="1" applyFont="1" applyFill="1" applyBorder="1"/>
    <xf numFmtId="0" fontId="41" fillId="4" borderId="0" xfId="75" applyNumberFormat="1" applyFont="1" applyFill="1" applyBorder="1"/>
    <xf numFmtId="0" fontId="10" fillId="4" borderId="0" xfId="18" applyFont="1" applyFill="1" applyBorder="1"/>
    <xf numFmtId="0" fontId="10" fillId="4" borderId="0" xfId="18" applyFill="1"/>
    <xf numFmtId="167" fontId="10" fillId="4" borderId="0" xfId="18" applyNumberFormat="1" applyFill="1"/>
    <xf numFmtId="0" fontId="10" fillId="4" borderId="0" xfId="18" applyFont="1" applyFill="1" applyBorder="1" applyAlignment="1">
      <alignment horizontal="left"/>
    </xf>
    <xf numFmtId="4" fontId="0" fillId="4" borderId="0" xfId="0" applyNumberFormat="1" applyFill="1"/>
    <xf numFmtId="167" fontId="35" fillId="4" borderId="0" xfId="18" applyNumberFormat="1" applyFont="1" applyFill="1" applyAlignment="1">
      <alignment horizontal="right"/>
    </xf>
    <xf numFmtId="0" fontId="10" fillId="4" borderId="0" xfId="18" applyNumberFormat="1" applyFill="1"/>
    <xf numFmtId="167" fontId="27" fillId="4" borderId="0" xfId="18" applyNumberFormat="1" applyFont="1" applyFill="1"/>
    <xf numFmtId="0" fontId="35" fillId="4" borderId="0" xfId="18" applyNumberFormat="1" applyFont="1" applyFill="1" applyAlignment="1">
      <alignment horizontal="right"/>
    </xf>
    <xf numFmtId="0" fontId="27" fillId="4" borderId="0" xfId="18" applyNumberFormat="1" applyFont="1" applyFill="1"/>
    <xf numFmtId="0" fontId="10" fillId="4" borderId="0" xfId="18" applyFont="1" applyFill="1"/>
    <xf numFmtId="167" fontId="0" fillId="3" borderId="0" xfId="0" applyNumberFormat="1" applyFill="1"/>
    <xf numFmtId="167" fontId="10" fillId="3" borderId="0" xfId="0" applyNumberFormat="1" applyFont="1" applyFill="1"/>
    <xf numFmtId="167" fontId="41" fillId="3" borderId="0" xfId="0" applyNumberFormat="1" applyFont="1" applyFill="1" applyBorder="1"/>
    <xf numFmtId="168" fontId="41" fillId="3" borderId="0" xfId="75" applyNumberFormat="1" applyFont="1" applyFill="1" applyBorder="1"/>
    <xf numFmtId="167" fontId="41" fillId="3" borderId="0" xfId="0" applyNumberFormat="1" applyFont="1" applyFill="1"/>
    <xf numFmtId="0" fontId="12" fillId="10" borderId="0" xfId="0" applyFont="1" applyFill="1" applyBorder="1" applyAlignment="1">
      <alignment horizontal="center" wrapText="1"/>
    </xf>
    <xf numFmtId="0" fontId="11" fillId="26" borderId="4" xfId="0" applyFont="1" applyFill="1" applyBorder="1" applyAlignment="1">
      <alignment horizontal="center"/>
    </xf>
    <xf numFmtId="0" fontId="11" fillId="26" borderId="8" xfId="0" applyFont="1" applyFill="1" applyBorder="1" applyAlignment="1">
      <alignment horizontal="center"/>
    </xf>
    <xf numFmtId="0" fontId="0" fillId="0" borderId="7" xfId="0" applyFill="1" applyBorder="1"/>
    <xf numFmtId="0" fontId="0" fillId="26" borderId="0" xfId="0" applyFill="1"/>
    <xf numFmtId="164" fontId="12" fillId="26" borderId="0" xfId="1" applyNumberFormat="1" applyFont="1" applyFill="1"/>
    <xf numFmtId="164" fontId="0" fillId="26" borderId="0" xfId="1" applyNumberFormat="1" applyFont="1" applyFill="1"/>
    <xf numFmtId="164" fontId="0" fillId="26" borderId="0" xfId="1" applyNumberFormat="1" applyFont="1" applyFill="1" applyBorder="1"/>
    <xf numFmtId="164" fontId="0" fillId="26" borderId="1" xfId="1" applyNumberFormat="1" applyFont="1" applyFill="1" applyBorder="1"/>
    <xf numFmtId="164" fontId="12" fillId="26" borderId="0" xfId="1" applyNumberFormat="1" applyFont="1" applyFill="1" applyBorder="1"/>
    <xf numFmtId="164" fontId="12" fillId="26" borderId="2" xfId="1" applyNumberFormat="1" applyFont="1" applyFill="1" applyBorder="1"/>
    <xf numFmtId="164" fontId="12" fillId="26" borderId="3" xfId="1" applyNumberFormat="1" applyFont="1" applyFill="1" applyBorder="1"/>
    <xf numFmtId="164" fontId="10" fillId="3" borderId="0" xfId="1" applyNumberFormat="1" applyFont="1" applyFill="1"/>
    <xf numFmtId="0" fontId="0" fillId="26" borderId="0" xfId="0" applyFill="1" applyBorder="1"/>
    <xf numFmtId="164" fontId="12" fillId="26" borderId="9" xfId="0" applyNumberFormat="1" applyFont="1" applyFill="1" applyBorder="1"/>
    <xf numFmtId="0" fontId="0" fillId="26" borderId="5" xfId="0" applyFill="1" applyBorder="1"/>
    <xf numFmtId="164" fontId="12" fillId="26" borderId="9" xfId="1" applyNumberFormat="1" applyFont="1" applyFill="1" applyBorder="1"/>
    <xf numFmtId="0" fontId="15" fillId="26" borderId="0" xfId="0" applyFont="1" applyFill="1" applyBorder="1"/>
    <xf numFmtId="164" fontId="0" fillId="26" borderId="0" xfId="0" applyNumberFormat="1" applyFill="1" applyBorder="1"/>
    <xf numFmtId="164" fontId="11" fillId="26" borderId="3" xfId="1" applyNumberFormat="1" applyFont="1" applyFill="1" applyBorder="1"/>
    <xf numFmtId="0" fontId="12" fillId="26" borderId="0" xfId="0" applyFont="1" applyFill="1" applyAlignment="1">
      <alignment horizontal="center"/>
    </xf>
    <xf numFmtId="167" fontId="10" fillId="26" borderId="0" xfId="0" applyNumberFormat="1" applyFont="1" applyFill="1"/>
    <xf numFmtId="0" fontId="23" fillId="26" borderId="0" xfId="0" applyFont="1" applyFill="1"/>
    <xf numFmtId="44" fontId="0" fillId="26" borderId="0" xfId="1" applyFont="1" applyFill="1"/>
    <xf numFmtId="44" fontId="0" fillId="13" borderId="0" xfId="1" applyFont="1" applyFill="1"/>
    <xf numFmtId="167" fontId="0" fillId="13" borderId="0" xfId="1" applyNumberFormat="1" applyFont="1" applyFill="1"/>
    <xf numFmtId="44" fontId="23" fillId="26" borderId="0" xfId="0" applyNumberFormat="1" applyFont="1" applyFill="1"/>
    <xf numFmtId="44" fontId="23" fillId="0" borderId="0" xfId="0" applyNumberFormat="1" applyFont="1" applyFill="1" applyAlignment="1">
      <alignment horizontal="left"/>
    </xf>
    <xf numFmtId="0" fontId="0" fillId="4" borderId="0" xfId="0" applyFont="1" applyFill="1" applyAlignment="1">
      <alignment vertical="center"/>
    </xf>
    <xf numFmtId="0" fontId="23" fillId="13" borderId="0" xfId="0" applyFont="1" applyFill="1" applyAlignment="1">
      <alignment vertical="center"/>
    </xf>
    <xf numFmtId="44" fontId="23" fillId="13" borderId="0" xfId="1" applyFont="1" applyFill="1"/>
    <xf numFmtId="44" fontId="0" fillId="0" borderId="0" xfId="1" applyFont="1" applyFill="1"/>
    <xf numFmtId="44" fontId="12" fillId="0" borderId="0" xfId="1" applyFont="1" applyFill="1"/>
    <xf numFmtId="167" fontId="10" fillId="0" borderId="4" xfId="18" applyNumberFormat="1" applyFont="1" applyBorder="1"/>
    <xf numFmtId="167" fontId="10" fillId="13" borderId="6" xfId="18" applyNumberFormat="1" applyFont="1" applyFill="1" applyBorder="1"/>
    <xf numFmtId="167" fontId="35" fillId="13" borderId="6" xfId="18" applyNumberFormat="1" applyFont="1" applyFill="1" applyBorder="1" applyAlignment="1">
      <alignment horizontal="right"/>
    </xf>
    <xf numFmtId="44" fontId="10" fillId="13" borderId="6" xfId="18" applyNumberFormat="1" applyFont="1" applyFill="1" applyBorder="1"/>
    <xf numFmtId="0" fontId="10" fillId="13" borderId="6" xfId="18" applyFont="1" applyFill="1" applyBorder="1"/>
    <xf numFmtId="167" fontId="10" fillId="13" borderId="8" xfId="18" applyNumberFormat="1" applyFill="1" applyBorder="1"/>
    <xf numFmtId="0" fontId="0" fillId="0" borderId="15" xfId="0" applyNumberFormat="1" applyFill="1" applyBorder="1"/>
    <xf numFmtId="40" fontId="0" fillId="0" borderId="16" xfId="0" applyNumberFormat="1" applyFill="1" applyBorder="1"/>
    <xf numFmtId="40" fontId="10" fillId="0" borderId="16" xfId="18" applyNumberFormat="1" applyFill="1" applyBorder="1"/>
    <xf numFmtId="40" fontId="10" fillId="0" borderId="17" xfId="18" applyNumberFormat="1" applyFill="1" applyBorder="1"/>
    <xf numFmtId="43" fontId="12" fillId="13" borderId="5" xfId="64" applyFont="1" applyFill="1" applyBorder="1" applyAlignment="1">
      <alignment horizontal="center"/>
    </xf>
    <xf numFmtId="43" fontId="12" fillId="13" borderId="7" xfId="64" applyFont="1" applyFill="1" applyBorder="1" applyAlignment="1">
      <alignment horizontal="center"/>
    </xf>
    <xf numFmtId="43" fontId="0" fillId="4" borderId="0" xfId="64" applyFont="1" applyFill="1" applyBorder="1"/>
    <xf numFmtId="43" fontId="10" fillId="4" borderId="0" xfId="64" applyFont="1" applyFill="1" applyBorder="1"/>
    <xf numFmtId="43" fontId="0" fillId="0" borderId="0" xfId="64" applyFont="1"/>
    <xf numFmtId="0" fontId="12" fillId="0" borderId="0" xfId="0" applyFont="1" applyAlignment="1">
      <alignment horizontal="center"/>
    </xf>
    <xf numFmtId="167" fontId="23" fillId="26" borderId="0" xfId="0" applyNumberFormat="1" applyFont="1" applyFill="1"/>
    <xf numFmtId="167" fontId="41" fillId="26" borderId="0" xfId="0" applyNumberFormat="1" applyFont="1" applyFill="1"/>
    <xf numFmtId="168" fontId="38" fillId="0" borderId="0" xfId="76" applyNumberFormat="1" applyFont="1" applyFill="1" applyBorder="1"/>
    <xf numFmtId="0" fontId="38" fillId="0" borderId="0" xfId="76" applyNumberFormat="1" applyFont="1" applyFill="1" applyBorder="1"/>
    <xf numFmtId="168" fontId="15" fillId="4" borderId="0" xfId="76" applyNumberFormat="1" applyFont="1" applyFill="1" applyBorder="1"/>
    <xf numFmtId="0" fontId="15" fillId="4" borderId="0" xfId="76" applyNumberFormat="1" applyFont="1" applyFill="1" applyBorder="1"/>
    <xf numFmtId="49" fontId="30" fillId="4" borderId="0" xfId="76" applyNumberFormat="1" applyFont="1" applyFill="1" applyBorder="1"/>
    <xf numFmtId="168" fontId="1" fillId="0" borderId="0" xfId="76" applyNumberFormat="1" applyFont="1" applyFill="1" applyBorder="1"/>
    <xf numFmtId="0" fontId="1" fillId="0" borderId="0" xfId="76" applyNumberFormat="1" applyFont="1" applyFill="1" applyBorder="1"/>
    <xf numFmtId="168" fontId="41" fillId="4" borderId="0" xfId="76" applyNumberFormat="1" applyFont="1" applyFill="1" applyBorder="1"/>
    <xf numFmtId="0" fontId="41" fillId="4" borderId="0" xfId="76" applyNumberFormat="1" applyFont="1" applyFill="1" applyBorder="1"/>
    <xf numFmtId="49" fontId="41" fillId="4" borderId="0" xfId="76" applyNumberFormat="1" applyFont="1" applyFill="1" applyBorder="1"/>
    <xf numFmtId="167" fontId="39" fillId="26" borderId="0" xfId="0" applyNumberFormat="1" applyFont="1" applyFill="1"/>
    <xf numFmtId="168" fontId="41" fillId="26" borderId="0" xfId="76" applyNumberFormat="1" applyFont="1" applyFill="1" applyBorder="1"/>
    <xf numFmtId="168" fontId="15" fillId="26" borderId="0" xfId="76" applyNumberFormat="1" applyFont="1" applyFill="1" applyBorder="1"/>
    <xf numFmtId="167" fontId="12" fillId="4" borderId="0" xfId="0" applyNumberFormat="1" applyFont="1" applyFill="1" applyAlignment="1">
      <alignment horizontal="left"/>
    </xf>
    <xf numFmtId="167" fontId="17" fillId="26" borderId="0" xfId="0" applyNumberFormat="1" applyFont="1" applyFill="1"/>
    <xf numFmtId="167" fontId="10" fillId="27" borderId="0" xfId="0" applyNumberFormat="1" applyFont="1" applyFill="1"/>
    <xf numFmtId="167" fontId="10" fillId="0" borderId="3" xfId="18" applyNumberFormat="1" applyBorder="1"/>
    <xf numFmtId="0" fontId="0" fillId="10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  <xf numFmtId="0" fontId="12" fillId="3" borderId="0" xfId="0" applyFont="1" applyFill="1"/>
    <xf numFmtId="164" fontId="0" fillId="3" borderId="0" xfId="0" applyNumberFormat="1" applyFill="1"/>
    <xf numFmtId="165" fontId="12" fillId="3" borderId="0" xfId="0" applyNumberFormat="1" applyFont="1" applyFill="1"/>
    <xf numFmtId="165" fontId="10" fillId="4" borderId="0" xfId="64" applyNumberFormat="1" applyFont="1" applyFill="1" applyBorder="1"/>
    <xf numFmtId="165" fontId="10" fillId="13" borderId="0" xfId="64" applyNumberFormat="1" applyFont="1" applyFill="1" applyBorder="1"/>
    <xf numFmtId="165" fontId="0" fillId="13" borderId="0" xfId="64" applyNumberFormat="1" applyFont="1" applyFill="1" applyBorder="1"/>
    <xf numFmtId="165" fontId="12" fillId="3" borderId="0" xfId="64" applyNumberFormat="1" applyFont="1" applyFill="1" applyBorder="1"/>
    <xf numFmtId="165" fontId="12" fillId="13" borderId="9" xfId="64" applyNumberFormat="1" applyFont="1" applyFill="1" applyBorder="1"/>
    <xf numFmtId="165" fontId="0" fillId="2" borderId="0" xfId="64" applyNumberFormat="1" applyFont="1" applyFill="1"/>
    <xf numFmtId="165" fontId="0" fillId="0" borderId="5" xfId="64" applyNumberFormat="1" applyFont="1" applyBorder="1"/>
    <xf numFmtId="165" fontId="15" fillId="0" borderId="0" xfId="64" applyNumberFormat="1" applyFont="1" applyFill="1" applyBorder="1"/>
    <xf numFmtId="165" fontId="17" fillId="4" borderId="0" xfId="64" applyNumberFormat="1" applyFont="1" applyFill="1" applyBorder="1"/>
    <xf numFmtId="165" fontId="0" fillId="4" borderId="0" xfId="64" applyNumberFormat="1" applyFont="1" applyFill="1" applyBorder="1"/>
    <xf numFmtId="165" fontId="17" fillId="13" borderId="0" xfId="64" applyNumberFormat="1" applyFont="1" applyFill="1" applyBorder="1"/>
    <xf numFmtId="165" fontId="17" fillId="26" borderId="0" xfId="64" applyNumberFormat="1" applyFont="1" applyFill="1" applyBorder="1"/>
    <xf numFmtId="165" fontId="10" fillId="27" borderId="0" xfId="64" applyNumberFormat="1" applyFont="1" applyFill="1" applyBorder="1"/>
    <xf numFmtId="165" fontId="12" fillId="27" borderId="9" xfId="64" applyNumberFormat="1" applyFont="1" applyFill="1" applyBorder="1"/>
    <xf numFmtId="165" fontId="11" fillId="0" borderId="3" xfId="64" applyNumberFormat="1" applyFont="1" applyFill="1" applyBorder="1"/>
    <xf numFmtId="0" fontId="0" fillId="3" borderId="1" xfId="0" applyFill="1" applyBorder="1"/>
    <xf numFmtId="165" fontId="0" fillId="3" borderId="0" xfId="0" applyNumberFormat="1" applyFill="1"/>
    <xf numFmtId="165" fontId="0" fillId="3" borderId="1" xfId="0" applyNumberFormat="1" applyFill="1" applyBorder="1"/>
    <xf numFmtId="0" fontId="0" fillId="0" borderId="0" xfId="0" applyBorder="1"/>
    <xf numFmtId="5" fontId="10" fillId="4" borderId="1" xfId="0" applyNumberFormat="1" applyFont="1" applyFill="1" applyBorder="1"/>
    <xf numFmtId="0" fontId="11" fillId="4" borderId="2" xfId="0" applyFont="1" applyFill="1" applyBorder="1" applyAlignment="1">
      <alignment horizontal="center"/>
    </xf>
    <xf numFmtId="0" fontId="12" fillId="4" borderId="19" xfId="0" applyFont="1" applyFill="1" applyBorder="1" applyAlignment="1">
      <alignment horizontal="center"/>
    </xf>
    <xf numFmtId="0" fontId="0" fillId="2" borderId="18" xfId="0" applyFill="1" applyBorder="1"/>
    <xf numFmtId="0" fontId="12" fillId="4" borderId="0" xfId="0" applyFont="1" applyFill="1" applyAlignment="1">
      <alignment horizontal="center"/>
    </xf>
    <xf numFmtId="0" fontId="0" fillId="2" borderId="0" xfId="0" applyFill="1" applyBorder="1"/>
    <xf numFmtId="0" fontId="0" fillId="2" borderId="7" xfId="0" applyFill="1" applyBorder="1"/>
    <xf numFmtId="165" fontId="0" fillId="4" borderId="0" xfId="0" applyNumberFormat="1" applyFill="1" applyBorder="1"/>
    <xf numFmtId="167" fontId="0" fillId="4" borderId="0" xfId="0" applyNumberFormat="1" applyFill="1" applyBorder="1"/>
    <xf numFmtId="0" fontId="12" fillId="0" borderId="0" xfId="69" applyFont="1" applyAlignment="1">
      <alignment horizontal="center"/>
    </xf>
    <xf numFmtId="0" fontId="40" fillId="0" borderId="0" xfId="69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</cellXfs>
  <cellStyles count="77">
    <cellStyle name="Comma" xfId="64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3" xfId="5" xr:uid="{00000000-0005-0000-0000-000004000000}"/>
    <cellStyle name="Comma 3" xfId="6" xr:uid="{00000000-0005-0000-0000-000005000000}"/>
    <cellStyle name="Comma 4" xfId="7" xr:uid="{00000000-0005-0000-0000-000006000000}"/>
    <cellStyle name="Comma 5" xfId="71" xr:uid="{00000000-0005-0000-0000-000007000000}"/>
    <cellStyle name="Currency" xfId="1" builtinId="4"/>
    <cellStyle name="Currency 2" xfId="8" xr:uid="{00000000-0005-0000-0000-000009000000}"/>
    <cellStyle name="Currency 2 2" xfId="9" xr:uid="{00000000-0005-0000-0000-00000A000000}"/>
    <cellStyle name="Currency 2 2 2" xfId="10" xr:uid="{00000000-0005-0000-0000-00000B000000}"/>
    <cellStyle name="Currency 2 3" xfId="11" xr:uid="{00000000-0005-0000-0000-00000C000000}"/>
    <cellStyle name="Currency 3" xfId="12" xr:uid="{00000000-0005-0000-0000-00000D000000}"/>
    <cellStyle name="Currency 4" xfId="13" xr:uid="{00000000-0005-0000-0000-00000E000000}"/>
    <cellStyle name="Currency 5" xfId="67" xr:uid="{00000000-0005-0000-0000-00000F000000}"/>
    <cellStyle name="Currency 6" xfId="72" xr:uid="{00000000-0005-0000-0000-000010000000}"/>
    <cellStyle name="Grey" xfId="14" xr:uid="{00000000-0005-0000-0000-000011000000}"/>
    <cellStyle name="Input [yellow]" xfId="15" xr:uid="{00000000-0005-0000-0000-000012000000}"/>
    <cellStyle name="no dec" xfId="16" xr:uid="{00000000-0005-0000-0000-000013000000}"/>
    <cellStyle name="Normal" xfId="0" builtinId="0"/>
    <cellStyle name="Normal - Style1" xfId="17" xr:uid="{00000000-0005-0000-0000-000015000000}"/>
    <cellStyle name="Normal 10" xfId="18" xr:uid="{00000000-0005-0000-0000-000016000000}"/>
    <cellStyle name="Normal 10 2" xfId="19" xr:uid="{00000000-0005-0000-0000-000017000000}"/>
    <cellStyle name="Normal 11" xfId="20" xr:uid="{00000000-0005-0000-0000-000018000000}"/>
    <cellStyle name="Normal 12" xfId="21" xr:uid="{00000000-0005-0000-0000-000019000000}"/>
    <cellStyle name="Normal 12 2" xfId="22" xr:uid="{00000000-0005-0000-0000-00001A000000}"/>
    <cellStyle name="Normal 12 2 2" xfId="23" xr:uid="{00000000-0005-0000-0000-00001B000000}"/>
    <cellStyle name="Normal 12 3" xfId="24" xr:uid="{00000000-0005-0000-0000-00001C000000}"/>
    <cellStyle name="Normal 13" xfId="25" xr:uid="{00000000-0005-0000-0000-00001D000000}"/>
    <cellStyle name="Normal 13 2" xfId="26" xr:uid="{00000000-0005-0000-0000-00001E000000}"/>
    <cellStyle name="Normal 13 2 2" xfId="27" xr:uid="{00000000-0005-0000-0000-00001F000000}"/>
    <cellStyle name="Normal 13 3" xfId="28" xr:uid="{00000000-0005-0000-0000-000020000000}"/>
    <cellStyle name="Normal 14" xfId="29" xr:uid="{00000000-0005-0000-0000-000021000000}"/>
    <cellStyle name="Normal 15" xfId="69" xr:uid="{00000000-0005-0000-0000-000022000000}"/>
    <cellStyle name="Normal 16" xfId="74" xr:uid="{00000000-0005-0000-0000-000023000000}"/>
    <cellStyle name="Normal 2" xfId="30" xr:uid="{00000000-0005-0000-0000-000024000000}"/>
    <cellStyle name="Normal 2 10" xfId="76" xr:uid="{00000000-0005-0000-0000-000025000000}"/>
    <cellStyle name="Normal 2 2" xfId="31" xr:uid="{00000000-0005-0000-0000-000026000000}"/>
    <cellStyle name="Normal 2 2 2" xfId="32" xr:uid="{00000000-0005-0000-0000-000027000000}"/>
    <cellStyle name="Normal 2 2 2 2" xfId="33" xr:uid="{00000000-0005-0000-0000-000028000000}"/>
    <cellStyle name="Normal 2 2 3" xfId="34" xr:uid="{00000000-0005-0000-0000-000029000000}"/>
    <cellStyle name="Normal 2 3" xfId="35" xr:uid="{00000000-0005-0000-0000-00002A000000}"/>
    <cellStyle name="Normal 2 3 2" xfId="36" xr:uid="{00000000-0005-0000-0000-00002B000000}"/>
    <cellStyle name="Normal 2 3 2 2" xfId="37" xr:uid="{00000000-0005-0000-0000-00002C000000}"/>
    <cellStyle name="Normal 2 3 3" xfId="38" xr:uid="{00000000-0005-0000-0000-00002D000000}"/>
    <cellStyle name="Normal 2 4" xfId="39" xr:uid="{00000000-0005-0000-0000-00002E000000}"/>
    <cellStyle name="Normal 2 5" xfId="66" xr:uid="{00000000-0005-0000-0000-00002F000000}"/>
    <cellStyle name="Normal 2 6" xfId="68" xr:uid="{00000000-0005-0000-0000-000030000000}"/>
    <cellStyle name="Normal 2 7" xfId="70" xr:uid="{00000000-0005-0000-0000-000031000000}"/>
    <cellStyle name="Normal 2 8" xfId="73" xr:uid="{00000000-0005-0000-0000-000032000000}"/>
    <cellStyle name="Normal 2 9" xfId="75" xr:uid="{00000000-0005-0000-0000-000033000000}"/>
    <cellStyle name="Normal 3" xfId="40" xr:uid="{00000000-0005-0000-0000-000034000000}"/>
    <cellStyle name="Normal 4" xfId="41" xr:uid="{00000000-0005-0000-0000-000035000000}"/>
    <cellStyle name="Normal 4 2" xfId="42" xr:uid="{00000000-0005-0000-0000-000036000000}"/>
    <cellStyle name="Normal 4 2 2" xfId="43" xr:uid="{00000000-0005-0000-0000-000037000000}"/>
    <cellStyle name="Normal 4 2 2 2" xfId="44" xr:uid="{00000000-0005-0000-0000-000038000000}"/>
    <cellStyle name="Normal 4 2 3" xfId="45" xr:uid="{00000000-0005-0000-0000-000039000000}"/>
    <cellStyle name="Normal 4 3" xfId="46" xr:uid="{00000000-0005-0000-0000-00003A000000}"/>
    <cellStyle name="Normal 4 3 2" xfId="47" xr:uid="{00000000-0005-0000-0000-00003B000000}"/>
    <cellStyle name="Normal 4 3 2 2" xfId="48" xr:uid="{00000000-0005-0000-0000-00003C000000}"/>
    <cellStyle name="Normal 4 3 3" xfId="49" xr:uid="{00000000-0005-0000-0000-00003D000000}"/>
    <cellStyle name="Normal 4 4" xfId="50" xr:uid="{00000000-0005-0000-0000-00003E000000}"/>
    <cellStyle name="Normal 5" xfId="51" xr:uid="{00000000-0005-0000-0000-00003F000000}"/>
    <cellStyle name="Normal 5 2" xfId="52" xr:uid="{00000000-0005-0000-0000-000040000000}"/>
    <cellStyle name="Normal 6" xfId="53" xr:uid="{00000000-0005-0000-0000-000041000000}"/>
    <cellStyle name="Normal 6 2" xfId="54" xr:uid="{00000000-0005-0000-0000-000042000000}"/>
    <cellStyle name="Normal 7" xfId="55" xr:uid="{00000000-0005-0000-0000-000043000000}"/>
    <cellStyle name="Normal 7 2" xfId="56" xr:uid="{00000000-0005-0000-0000-000044000000}"/>
    <cellStyle name="Normal 8" xfId="57" xr:uid="{00000000-0005-0000-0000-000045000000}"/>
    <cellStyle name="Normal 8 2" xfId="58" xr:uid="{00000000-0005-0000-0000-000046000000}"/>
    <cellStyle name="Normal 9" xfId="59" xr:uid="{00000000-0005-0000-0000-000047000000}"/>
    <cellStyle name="Normal 9 2" xfId="60" xr:uid="{00000000-0005-0000-0000-000048000000}"/>
    <cellStyle name="Percent" xfId="65" builtinId="5"/>
    <cellStyle name="Percent [2]" xfId="61" xr:uid="{00000000-0005-0000-0000-00004A000000}"/>
    <cellStyle name="Percent 2" xfId="62" xr:uid="{00000000-0005-0000-0000-00004B000000}"/>
    <cellStyle name="Percent 2 2" xfId="63" xr:uid="{00000000-0005-0000-0000-00004C000000}"/>
  </cellStyles>
  <dxfs count="2"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</dxfs>
  <tableStyles count="0" defaultTableStyle="TableStyleMedium2" defaultPivotStyle="PivotStyleLight16"/>
  <colors>
    <mruColors>
      <color rgb="FF99FF99"/>
      <color rgb="FF99FFCC"/>
      <color rgb="FF00B05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1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evada%20Files\Estimating\Templates\LIBRA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hluna\Local%20Settings\Temporary%20Internet%20Files\Content.Outlook\OH3RFG6E\PHES%20-%20Conceptual%20Estimate%20%231%201%20-%202-3-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FY'12-13\Capital_Bond\FINAL%205%20Year%20CIP%20Revised%20FY12-13%20for%20Apr%20Board%20Mtg%204-10-1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Facilities%20Master%20Plan/FMP%20Phase%202a/DHS%20Project/FF&amp;E/V2%20DHS%20-%20Furniture%20Rooms%2004-15-1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udits%20&amp;%20Budgets/FY15-16/Capital/StemCenterTechnology%20from%20JEndter%2003-19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UTDOWN.XLS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d Table"/>
      <sheetName val="ProdRates"/>
      <sheetName val="Structure - Steel"/>
      <sheetName val="Structure -TJ"/>
      <sheetName val="CONT FTG"/>
      <sheetName val="GRADE BM"/>
      <sheetName val="ISOL FTG"/>
      <sheetName val="PIERS"/>
      <sheetName val="SLAB"/>
      <sheetName val="WALLS"/>
      <sheetName val="COLUMNS"/>
      <sheetName val="STRUCT SLAB"/>
      <sheetName val="TILT"/>
      <sheetName val="RAT"/>
      <sheetName val="05400"/>
      <sheetName val="06100"/>
      <sheetName val="DOOR"/>
      <sheetName val="RELITE"/>
      <sheetName val="CMU"/>
      <sheetName val="ROOM"/>
      <sheetName val="SITE"/>
      <sheetName val="GC-240"/>
      <sheetName val="GC-90"/>
      <sheetName val="INDIRECT"/>
      <sheetName val="BUILDING"/>
      <sheetName val="Option Data"/>
      <sheetName val="Budget Summary"/>
      <sheetName val="SUMMARY"/>
      <sheetName val="PHES Assessment Breakdown"/>
      <sheetName val="PHES Budget Summary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Yr CIP - Revenues"/>
      <sheetName val="5 Yr CIP - Expenditures"/>
      <sheetName val="Budget Revised - Manual"/>
      <sheetName val="CCMES CIP Project History"/>
      <sheetName val="GES CIP Project History"/>
      <sheetName val="JVES CIP Project History "/>
      <sheetName val="MES CIP Project History  "/>
      <sheetName val="PHES CIP Project History"/>
      <sheetName val="SES CIP Project History"/>
      <sheetName val="ZCES CIP Project History"/>
      <sheetName val="CVMS CIP Project History "/>
      <sheetName val="PWLMS CIP Project History  "/>
      <sheetName val="DHS CIP Project History  "/>
      <sheetName val="WHS CIP Project History "/>
      <sheetName val="DW CIP Project History  "/>
    </sheetNames>
    <sheetDataSet>
      <sheetData sheetId="0">
        <row r="30">
          <cell r="H3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lass"/>
      <sheetName val="Flex"/>
      <sheetName val="Tech Lab"/>
      <sheetName val="Tech WR"/>
      <sheetName val="Graphic"/>
      <sheetName val="SPED Class"/>
      <sheetName val="SPED Office"/>
      <sheetName val="SPED Tutor"/>
      <sheetName val="Science Lab"/>
      <sheetName val="Science WR"/>
      <sheetName val="Commons"/>
      <sheetName val="SPED FSkills"/>
      <sheetName val="Hall"/>
      <sheetName val="MC"/>
    </sheetNames>
    <sheetDataSet>
      <sheetData sheetId="0"/>
      <sheetData sheetId="1">
        <row r="7">
          <cell r="B7">
            <v>54630</v>
          </cell>
        </row>
      </sheetData>
      <sheetData sheetId="2">
        <row r="7">
          <cell r="B7">
            <v>66209.899999999994</v>
          </cell>
        </row>
      </sheetData>
      <sheetData sheetId="3">
        <row r="7">
          <cell r="B7">
            <v>16640</v>
          </cell>
        </row>
      </sheetData>
      <sheetData sheetId="4">
        <row r="7">
          <cell r="B7">
            <v>721.18000000000006</v>
          </cell>
        </row>
      </sheetData>
      <sheetData sheetId="5">
        <row r="7">
          <cell r="B7">
            <v>25280</v>
          </cell>
        </row>
      </sheetData>
      <sheetData sheetId="6">
        <row r="7">
          <cell r="B7">
            <v>6080</v>
          </cell>
        </row>
      </sheetData>
      <sheetData sheetId="7">
        <row r="7">
          <cell r="B7">
            <v>6675</v>
          </cell>
        </row>
      </sheetData>
      <sheetData sheetId="8">
        <row r="7">
          <cell r="B7">
            <v>2240</v>
          </cell>
        </row>
      </sheetData>
      <sheetData sheetId="9">
        <row r="7">
          <cell r="B7">
            <v>39400</v>
          </cell>
        </row>
      </sheetData>
      <sheetData sheetId="10">
        <row r="7">
          <cell r="B7">
            <v>12318</v>
          </cell>
        </row>
      </sheetData>
      <sheetData sheetId="11">
        <row r="7">
          <cell r="B7">
            <v>72000</v>
          </cell>
        </row>
      </sheetData>
      <sheetData sheetId="12">
        <row r="7">
          <cell r="B7">
            <v>4523.8600000000006</v>
          </cell>
        </row>
      </sheetData>
      <sheetData sheetId="13">
        <row r="7">
          <cell r="B7">
            <v>4000</v>
          </cell>
        </row>
      </sheetData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Tech"/>
      <sheetName val="InfrastructureTech"/>
    </sheetNames>
    <sheetDataSet>
      <sheetData sheetId="0"/>
      <sheetData sheetId="1">
        <row r="15">
          <cell r="D15">
            <v>32950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STASK User" refreshedDate="42706.421042361108" createdVersion="4" refreshedVersion="4" minRefreshableVersion="3" recordCount="22" xr:uid="{00000000-000A-0000-FFFF-FFFF02000000}">
  <cacheSource type="worksheet">
    <worksheetSource ref="A2:C24" sheet="Budget Revised - Manual"/>
  </cacheSource>
  <cacheFields count="3">
    <cacheField name="Project" numFmtId="0">
      <sharedItems containsBlank="1"/>
    </cacheField>
    <cacheField name="Last Digits" numFmtId="0">
      <sharedItems containsBlank="1" count="8">
        <s v="2900.651"/>
        <s v="2900.652"/>
        <s v="2900.734"/>
        <s v="2900.735"/>
        <s v="4600.450"/>
        <s v="4700.340"/>
        <s v="4700.450"/>
        <m/>
      </sharedItems>
    </cacheField>
    <cacheField name="FY16-17" numFmtId="164">
      <sharedItems containsString="0" containsBlank="1" containsNumber="1" containsInteger="1" minValue="0" maxValue="17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STASK User" refreshedDate="42706.421213773145" createdVersion="4" refreshedVersion="4" minRefreshableVersion="3" recordCount="13" xr:uid="{00000000-000A-0000-FFFF-FFFF03000000}">
  <cacheSource type="worksheet">
    <worksheetSource ref="A33:C46" sheet="Budget Revised - Manual"/>
  </cacheSource>
  <cacheFields count="3">
    <cacheField name="Project" numFmtId="0">
      <sharedItems containsBlank="1"/>
    </cacheField>
    <cacheField name="Last 8 Digits" numFmtId="0">
      <sharedItems containsBlank="1" count="8">
        <s v="2900.612"/>
        <s v="4600.450"/>
        <s v="4600.340"/>
        <s v="4700.450"/>
        <s v="4700.340"/>
        <s v="2900.1XX"/>
        <s v="2900.2XX"/>
        <m/>
      </sharedItems>
    </cacheField>
    <cacheField name="FY16-17" numFmtId="0">
      <sharedItems containsString="0" containsBlank="1" containsNumber="1" containsInteger="1" minValue="0" maxValue="1778061" count="8">
        <n v="350000"/>
        <m/>
        <n v="1026061"/>
        <n v="0"/>
        <n v="25000"/>
        <n v="18900"/>
        <n v="8100"/>
        <n v="177806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2">
  <r>
    <s v="Tech - Replacement"/>
    <x v="0"/>
    <n v="16302"/>
  </r>
  <r>
    <s v="Tech - Replacement"/>
    <x v="1"/>
    <n v="182965"/>
  </r>
  <r>
    <s v="Tech - Replacement"/>
    <x v="2"/>
    <n v="164000"/>
  </r>
  <r>
    <s v="Tech - Replacement"/>
    <x v="3"/>
    <n v="0"/>
  </r>
  <r>
    <s v="CCMES - ADA Parking Lot Compliance"/>
    <x v="4"/>
    <n v="65000"/>
  </r>
  <r>
    <s v="Heritage Bldg - Infrastructure Repairs"/>
    <x v="5"/>
    <n v="2000"/>
  </r>
  <r>
    <s v="Heritage Bldg - Infrastructure Repairs"/>
    <x v="6"/>
    <n v="73000"/>
  </r>
  <r>
    <s v="ASPIRE - Modular"/>
    <x v="6"/>
    <n v="80000"/>
  </r>
  <r>
    <s v="DHS - HVAC system replacements (Bldg 300 - Media Center)"/>
    <x v="5"/>
    <n v="0"/>
  </r>
  <r>
    <s v="DHS - HVAC system replacements (Bldg 300 - Media Center)"/>
    <x v="6"/>
    <n v="400000"/>
  </r>
  <r>
    <s v="DHS - PHASE 2A FMP Upgrades"/>
    <x v="6"/>
    <n v="200000"/>
  </r>
  <r>
    <s v="CVMS - FMP"/>
    <x v="5"/>
    <n v="0"/>
  </r>
  <r>
    <s v="CVMS - FMP"/>
    <x v="6"/>
    <n v="0"/>
  </r>
  <r>
    <s v="PWLMS - Fan Coil Replacement"/>
    <x v="5"/>
    <n v="0"/>
  </r>
  <r>
    <s v="PWLMS - Fan Coil Replacement"/>
    <x v="6"/>
    <n v="450000"/>
  </r>
  <r>
    <s v="Chiller Tower Replacements (MES, PHES, PWL, SES)"/>
    <x v="5"/>
    <n v="100000"/>
  </r>
  <r>
    <s v="Chiller Tower Replacements (MES, PHES, PWL, SES)"/>
    <x v="6"/>
    <n v="1700000"/>
  </r>
  <r>
    <s v="DW - Fire Code Repairs, Upgrades"/>
    <x v="6"/>
    <n v="0"/>
  </r>
  <r>
    <s v="DW - Entrance Remodel (SPE)"/>
    <x v="5"/>
    <m/>
  </r>
  <r>
    <s v="DW - Entrance Remodel (SPE)"/>
    <x v="6"/>
    <n v="0"/>
  </r>
  <r>
    <m/>
    <x v="7"/>
    <m/>
  </r>
  <r>
    <m/>
    <x v="7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3">
  <r>
    <s v="          CVMS FMP - PHASE 2B (FF&amp;E)"/>
    <x v="0"/>
    <x v="0"/>
  </r>
  <r>
    <s v="          CVMS FMP - PHASE 2B (temp site improvements)"/>
    <x v="1"/>
    <x v="0"/>
  </r>
  <r>
    <s v="          CVMS FMP - PHASE 2B (prof. services)"/>
    <x v="2"/>
    <x v="1"/>
  </r>
  <r>
    <s v="          CVMS FMP - PHASE 2B (bldg renovations)"/>
    <x v="3"/>
    <x v="2"/>
  </r>
  <r>
    <s v="          CVMS FMP - PHASE 2B (prof. services)"/>
    <x v="4"/>
    <x v="3"/>
  </r>
  <r>
    <s v="          AF - PHASE 2A (FF&amp;E)"/>
    <x v="0"/>
    <x v="3"/>
  </r>
  <r>
    <s v="          AF - PHASE 2A (temp site improvements)"/>
    <x v="1"/>
    <x v="3"/>
  </r>
  <r>
    <s v="          Playgrounds - PHASE 2A (bldg improvements)"/>
    <x v="3"/>
    <x v="3"/>
  </r>
  <r>
    <s v="          Playgrounds - PHASE 2A (prof. services)"/>
    <x v="4"/>
    <x v="3"/>
  </r>
  <r>
    <s v="          Playgrounds - PHASE 2A (temp site improvements)"/>
    <x v="1"/>
    <x v="4"/>
  </r>
  <r>
    <s v="         DW Bond Related (2900) ON-GOING"/>
    <x v="5"/>
    <x v="5"/>
  </r>
  <r>
    <s v="         DW Bond Related (2900) ON-GOING"/>
    <x v="6"/>
    <x v="6"/>
  </r>
  <r>
    <m/>
    <x v="7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PivotTable2" cacheId="3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E32:F41" firstHeaderRow="1" firstDataRow="1" firstDataCol="1"/>
  <pivotFields count="3">
    <pivotField showAll="0"/>
    <pivotField axis="axisRow" showAll="0">
      <items count="9">
        <item x="5"/>
        <item x="6"/>
        <item x="0"/>
        <item x="2"/>
        <item x="1"/>
        <item x="4"/>
        <item x="3"/>
        <item x="7"/>
        <item t="default"/>
      </items>
    </pivotField>
    <pivotField dataField="1" showAll="0">
      <items count="9">
        <item x="3"/>
        <item x="6"/>
        <item x="5"/>
        <item x="4"/>
        <item x="0"/>
        <item x="2"/>
        <item x="7"/>
        <item x="1"/>
        <item t="default"/>
      </items>
    </pivotField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Sum of FY16-17" fld="2" baseField="1" baseItem="0" numFmtId="4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" cacheId="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E1:F10" firstHeaderRow="1" firstDataRow="1" firstDataCol="1"/>
  <pivotFields count="3">
    <pivotField showAll="0"/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Sum of FY16-17" fld="2" baseField="1" baseItem="0" numFmtId="44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AL45"/>
  <sheetViews>
    <sheetView tabSelected="1" zoomScaleNormal="100" workbookViewId="0">
      <selection activeCell="AJ24" sqref="AJ24"/>
    </sheetView>
  </sheetViews>
  <sheetFormatPr defaultRowHeight="12.75" outlineLevelCol="1" x14ac:dyDescent="0.2"/>
  <cols>
    <col min="1" max="1" width="36.5703125" bestFit="1" customWidth="1"/>
    <col min="2" max="2" width="1.7109375" customWidth="1" outlineLevel="1"/>
    <col min="3" max="3" width="12.42578125" hidden="1" customWidth="1" outlineLevel="1"/>
    <col min="4" max="4" width="1.7109375" hidden="1" customWidth="1" outlineLevel="1"/>
    <col min="5" max="5" width="12.85546875" hidden="1" customWidth="1" outlineLevel="1"/>
    <col min="6" max="6" width="1.7109375" hidden="1" customWidth="1" outlineLevel="1"/>
    <col min="7" max="7" width="12.42578125" hidden="1" customWidth="1" outlineLevel="1"/>
    <col min="8" max="8" width="1.7109375" hidden="1" customWidth="1" outlineLevel="1"/>
    <col min="9" max="9" width="12.42578125" hidden="1" customWidth="1" outlineLevel="1" collapsed="1"/>
    <col min="10" max="10" width="1.7109375" hidden="1" customWidth="1" outlineLevel="1"/>
    <col min="11" max="11" width="12.42578125" hidden="1" customWidth="1" outlineLevel="1"/>
    <col min="12" max="12" width="6" hidden="1" customWidth="1" outlineLevel="1"/>
    <col min="13" max="13" width="12.42578125" hidden="1" customWidth="1" outlineLevel="1"/>
    <col min="14" max="14" width="6" hidden="1" customWidth="1" outlineLevel="1"/>
    <col min="15" max="15" width="12.42578125" hidden="1" customWidth="1" outlineLevel="1"/>
    <col min="16" max="16" width="1.7109375" hidden="1" customWidth="1"/>
    <col min="17" max="17" width="11.5703125" hidden="1" customWidth="1"/>
    <col min="18" max="18" width="1.7109375" hidden="1" customWidth="1"/>
    <col min="19" max="19" width="11.5703125" hidden="1" customWidth="1" outlineLevel="1"/>
    <col min="20" max="20" width="1.7109375" hidden="1" customWidth="1" collapsed="1"/>
    <col min="21" max="21" width="11.5703125" hidden="1" customWidth="1"/>
    <col min="22" max="22" width="1.7109375" hidden="1" customWidth="1"/>
    <col min="23" max="23" width="11.5703125" style="7" hidden="1" customWidth="1"/>
    <col min="24" max="24" width="11.5703125" hidden="1" customWidth="1"/>
    <col min="25" max="25" width="1.7109375" hidden="1" customWidth="1"/>
    <col min="26" max="26" width="11.5703125" hidden="1" customWidth="1"/>
    <col min="27" max="27" width="1.7109375" hidden="1" customWidth="1"/>
    <col min="28" max="28" width="11.5703125" hidden="1" customWidth="1"/>
    <col min="29" max="32" width="12.28515625" hidden="1" customWidth="1"/>
    <col min="33" max="38" width="12.28515625" customWidth="1"/>
  </cols>
  <sheetData>
    <row r="1" spans="1:38" ht="15.75" x14ac:dyDescent="0.25">
      <c r="A1" s="9" t="s">
        <v>600</v>
      </c>
      <c r="B1" s="2"/>
      <c r="C1" s="1" t="s">
        <v>0</v>
      </c>
      <c r="D1" s="2"/>
      <c r="E1" s="3" t="s">
        <v>1</v>
      </c>
      <c r="F1" s="2"/>
      <c r="G1" s="1" t="s">
        <v>0</v>
      </c>
      <c r="H1" s="2"/>
      <c r="I1" s="3" t="s">
        <v>2</v>
      </c>
      <c r="J1" s="2"/>
      <c r="K1" s="1" t="s">
        <v>0</v>
      </c>
      <c r="L1" s="2"/>
      <c r="M1" s="3" t="s">
        <v>2</v>
      </c>
      <c r="N1" s="2"/>
      <c r="O1" s="1" t="s">
        <v>0</v>
      </c>
      <c r="P1" s="2"/>
      <c r="Q1" s="399" t="s">
        <v>499</v>
      </c>
      <c r="R1" s="2"/>
      <c r="S1" s="1" t="s">
        <v>0</v>
      </c>
      <c r="T1" s="2"/>
      <c r="U1" s="3" t="s">
        <v>2</v>
      </c>
      <c r="V1" s="2"/>
      <c r="W1" s="1" t="s">
        <v>0</v>
      </c>
      <c r="X1" s="3" t="s">
        <v>0</v>
      </c>
      <c r="Y1" s="2"/>
      <c r="Z1" s="3" t="s">
        <v>0</v>
      </c>
      <c r="AA1" s="2"/>
      <c r="AB1" s="5" t="s">
        <v>2</v>
      </c>
      <c r="AC1" s="550" t="s">
        <v>2</v>
      </c>
      <c r="AD1" s="550" t="s">
        <v>2</v>
      </c>
      <c r="AE1" s="550" t="s">
        <v>2</v>
      </c>
      <c r="AF1" s="550" t="s">
        <v>2</v>
      </c>
      <c r="AG1" s="550" t="s">
        <v>2</v>
      </c>
      <c r="AH1" s="550" t="s">
        <v>2</v>
      </c>
      <c r="AI1" s="550" t="s">
        <v>2</v>
      </c>
      <c r="AJ1" s="550" t="s">
        <v>2</v>
      </c>
      <c r="AK1" s="550" t="s">
        <v>2</v>
      </c>
      <c r="AL1" s="550" t="s">
        <v>2</v>
      </c>
    </row>
    <row r="2" spans="1:38" ht="15.75" x14ac:dyDescent="0.25">
      <c r="C2" s="4" t="s">
        <v>3</v>
      </c>
      <c r="E2" s="5" t="s">
        <v>4</v>
      </c>
      <c r="G2" s="4" t="s">
        <v>4</v>
      </c>
      <c r="I2" s="5" t="s">
        <v>5</v>
      </c>
      <c r="K2" s="4" t="s">
        <v>5</v>
      </c>
      <c r="M2" s="5" t="s">
        <v>6</v>
      </c>
      <c r="O2" s="4" t="str">
        <f>M2</f>
        <v>2014-2015</v>
      </c>
      <c r="Q2" s="400" t="s">
        <v>7</v>
      </c>
      <c r="S2" s="4" t="str">
        <f>Q2</f>
        <v>2015-2016</v>
      </c>
      <c r="U2" s="5" t="s">
        <v>8</v>
      </c>
      <c r="W2" s="4" t="s">
        <v>8</v>
      </c>
      <c r="X2" s="5" t="s">
        <v>9</v>
      </c>
      <c r="Z2" s="5" t="s">
        <v>146</v>
      </c>
      <c r="AB2" s="5" t="s">
        <v>451</v>
      </c>
      <c r="AC2" s="5" t="s">
        <v>500</v>
      </c>
      <c r="AD2" s="5" t="s">
        <v>588</v>
      </c>
      <c r="AE2" s="5" t="s">
        <v>589</v>
      </c>
      <c r="AF2" s="5" t="s">
        <v>590</v>
      </c>
      <c r="AG2" s="5" t="s">
        <v>591</v>
      </c>
      <c r="AH2" s="5" t="s">
        <v>594</v>
      </c>
      <c r="AI2" s="5" t="s">
        <v>597</v>
      </c>
      <c r="AJ2" s="5" t="s">
        <v>598</v>
      </c>
      <c r="AK2" s="5" t="s">
        <v>602</v>
      </c>
      <c r="AL2" s="5" t="s">
        <v>608</v>
      </c>
    </row>
    <row r="3" spans="1:38" x14ac:dyDescent="0.2">
      <c r="C3" s="7"/>
      <c r="E3" s="8"/>
      <c r="G3" s="7"/>
      <c r="I3" s="8"/>
      <c r="K3" s="7"/>
      <c r="M3" s="8"/>
      <c r="O3" s="7"/>
      <c r="Q3" s="459"/>
      <c r="S3" s="7"/>
      <c r="U3" s="8"/>
      <c r="X3" s="8"/>
      <c r="Z3" s="8"/>
      <c r="AB3" s="8"/>
      <c r="AC3" s="553" t="s">
        <v>0</v>
      </c>
      <c r="AD3" s="8"/>
      <c r="AE3" s="8"/>
      <c r="AF3" s="8"/>
      <c r="AG3" s="8"/>
      <c r="AH3" s="8"/>
      <c r="AI3" s="8"/>
      <c r="AJ3" s="8"/>
      <c r="AK3" s="8"/>
      <c r="AL3" s="8"/>
    </row>
    <row r="4" spans="1:38" x14ac:dyDescent="0.2">
      <c r="A4" s="9" t="s">
        <v>10</v>
      </c>
      <c r="C4" s="7"/>
      <c r="E4" s="8"/>
      <c r="G4" s="7"/>
      <c r="I4" s="8"/>
      <c r="K4" s="7"/>
      <c r="M4" s="8"/>
      <c r="O4" s="7"/>
      <c r="Q4" s="459"/>
      <c r="S4" s="7"/>
      <c r="U4" s="8"/>
      <c r="X4" s="8"/>
      <c r="Z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s="9" customFormat="1" x14ac:dyDescent="0.2">
      <c r="A5" s="9" t="s">
        <v>11</v>
      </c>
      <c r="B5" s="11"/>
      <c r="C5" s="10">
        <v>2745829</v>
      </c>
      <c r="D5" s="11"/>
      <c r="E5" s="12">
        <f>C21</f>
        <v>2834495</v>
      </c>
      <c r="F5" s="11"/>
      <c r="G5" s="10">
        <f>C21</f>
        <v>2834495</v>
      </c>
      <c r="H5" s="11"/>
      <c r="I5" s="12">
        <f>G21</f>
        <v>3333518.13</v>
      </c>
      <c r="J5" s="11"/>
      <c r="K5" s="10">
        <f>G21</f>
        <v>3333518.13</v>
      </c>
      <c r="L5" s="11"/>
      <c r="M5" s="12">
        <f>K21</f>
        <v>4018264.45</v>
      </c>
      <c r="N5" s="11"/>
      <c r="O5" s="10">
        <f>K21</f>
        <v>4018264.45</v>
      </c>
      <c r="P5" s="11"/>
      <c r="Q5" s="460">
        <f>O21</f>
        <v>4993262.28</v>
      </c>
      <c r="S5" s="10">
        <v>3784551.67</v>
      </c>
      <c r="T5" s="11"/>
      <c r="U5" s="12">
        <f>S21</f>
        <v>6100054.6699999999</v>
      </c>
      <c r="W5" s="12">
        <v>5252514</v>
      </c>
      <c r="X5" s="12">
        <v>7404495.2400000002</v>
      </c>
      <c r="Z5" s="12">
        <f>X21</f>
        <v>5098444.24</v>
      </c>
      <c r="AB5" s="12">
        <f>Z21</f>
        <v>3385179.24</v>
      </c>
      <c r="AC5" s="12">
        <f>AB21</f>
        <v>2977497.24</v>
      </c>
      <c r="AD5" s="12">
        <f>AC21</f>
        <v>4227892.24</v>
      </c>
      <c r="AE5" s="12">
        <v>4842007</v>
      </c>
      <c r="AF5" s="12">
        <v>5269634</v>
      </c>
      <c r="AG5" s="12">
        <v>4494212.17</v>
      </c>
      <c r="AH5" s="12">
        <v>2581089</v>
      </c>
      <c r="AI5" s="12">
        <f>SUM(AH21)</f>
        <v>2496461</v>
      </c>
      <c r="AJ5" s="12">
        <f>SUM(AI21)</f>
        <v>2420461</v>
      </c>
      <c r="AK5" s="12">
        <f>SUM(AJ21)</f>
        <v>2344461</v>
      </c>
      <c r="AL5" s="12">
        <f>SUM(AK21)</f>
        <v>2277263</v>
      </c>
    </row>
    <row r="6" spans="1:38" ht="6" customHeight="1" x14ac:dyDescent="0.2">
      <c r="B6" s="14"/>
      <c r="C6" s="13"/>
      <c r="D6" s="14"/>
      <c r="E6" s="15"/>
      <c r="F6" s="14"/>
      <c r="G6" s="13"/>
      <c r="H6" s="14"/>
      <c r="I6" s="15"/>
      <c r="J6" s="14"/>
      <c r="K6" s="13"/>
      <c r="L6" s="14"/>
      <c r="M6" s="15"/>
      <c r="N6" s="14"/>
      <c r="O6" s="13"/>
      <c r="P6" s="14"/>
      <c r="Q6" s="461"/>
      <c r="S6" s="13"/>
      <c r="T6" s="14"/>
      <c r="U6" s="15"/>
      <c r="X6" s="15"/>
      <c r="Z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x14ac:dyDescent="0.2">
      <c r="A7" s="9" t="s">
        <v>12</v>
      </c>
      <c r="B7" s="14"/>
      <c r="C7" s="16"/>
      <c r="D7" s="14"/>
      <c r="E7" s="17"/>
      <c r="F7" s="14"/>
      <c r="G7" s="16"/>
      <c r="H7" s="14"/>
      <c r="I7" s="17"/>
      <c r="J7" s="14"/>
      <c r="K7" s="16"/>
      <c r="L7" s="14"/>
      <c r="M7" s="17"/>
      <c r="N7" s="14"/>
      <c r="O7" s="16"/>
      <c r="P7" s="14"/>
      <c r="Q7" s="462"/>
      <c r="S7" s="16"/>
      <c r="T7" s="14"/>
      <c r="U7" s="17"/>
      <c r="X7" s="17"/>
      <c r="Z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x14ac:dyDescent="0.2">
      <c r="A8" t="s">
        <v>595</v>
      </c>
      <c r="B8" s="18"/>
      <c r="C8" s="13">
        <v>895600</v>
      </c>
      <c r="D8" s="18"/>
      <c r="E8" s="15">
        <v>900000</v>
      </c>
      <c r="F8" s="18"/>
      <c r="G8" s="13">
        <v>901647</v>
      </c>
      <c r="H8" s="18"/>
      <c r="I8" s="15">
        <v>901000</v>
      </c>
      <c r="J8" s="18"/>
      <c r="K8" s="13">
        <v>975376.1</v>
      </c>
      <c r="L8" s="18"/>
      <c r="M8" s="15">
        <v>1037840</v>
      </c>
      <c r="N8" s="18"/>
      <c r="O8" s="13">
        <v>1073895</v>
      </c>
      <c r="P8" s="18"/>
      <c r="Q8" s="461">
        <v>1072894</v>
      </c>
      <c r="R8" s="19"/>
      <c r="S8" s="13">
        <v>1163782</v>
      </c>
      <c r="T8" s="18"/>
      <c r="U8" s="15">
        <v>1170000</v>
      </c>
      <c r="V8" s="19"/>
      <c r="W8" s="528">
        <v>1208611.4099999999</v>
      </c>
      <c r="X8" s="15">
        <v>1323184</v>
      </c>
      <c r="Y8" s="20"/>
      <c r="Z8" s="15">
        <v>1444524</v>
      </c>
      <c r="AA8" s="315"/>
      <c r="AB8" s="15">
        <v>1451705</v>
      </c>
      <c r="AC8" s="15">
        <v>1671500</v>
      </c>
      <c r="AD8" s="15">
        <v>1728760</v>
      </c>
      <c r="AE8" s="15">
        <v>1707290</v>
      </c>
      <c r="AF8" s="15">
        <v>1724363</v>
      </c>
      <c r="AG8" s="15">
        <v>1781143</v>
      </c>
      <c r="AH8" s="15">
        <v>1798955</v>
      </c>
      <c r="AI8" s="15">
        <v>1798955</v>
      </c>
      <c r="AJ8" s="15">
        <v>1798955</v>
      </c>
      <c r="AK8" s="15">
        <v>1798956</v>
      </c>
      <c r="AL8" s="15">
        <v>1798956</v>
      </c>
    </row>
    <row r="9" spans="1:38" x14ac:dyDescent="0.2">
      <c r="A9" t="s">
        <v>13</v>
      </c>
      <c r="B9" s="18"/>
      <c r="C9" s="13">
        <v>61819</v>
      </c>
      <c r="D9" s="18"/>
      <c r="E9" s="15">
        <v>65000</v>
      </c>
      <c r="F9" s="18"/>
      <c r="G9" s="13">
        <v>141966</v>
      </c>
      <c r="H9" s="18"/>
      <c r="I9" s="15">
        <v>160000</v>
      </c>
      <c r="J9" s="18"/>
      <c r="K9" s="13">
        <v>212847.62</v>
      </c>
      <c r="L9" s="18"/>
      <c r="M9" s="15">
        <v>220000</v>
      </c>
      <c r="N9" s="18"/>
      <c r="O9" s="13">
        <v>223344</v>
      </c>
      <c r="P9" s="18"/>
      <c r="Q9" s="461">
        <v>210000</v>
      </c>
      <c r="R9" s="19"/>
      <c r="S9" s="13">
        <v>230274</v>
      </c>
      <c r="T9" s="18"/>
      <c r="U9" s="15">
        <v>230000</v>
      </c>
      <c r="V9" s="19"/>
      <c r="W9" s="528">
        <v>327556.34999999998</v>
      </c>
      <c r="X9" s="15">
        <v>384560</v>
      </c>
      <c r="Y9" s="20"/>
      <c r="Z9" s="314">
        <v>312048</v>
      </c>
      <c r="AA9" s="315"/>
      <c r="AB9" s="314">
        <v>346896</v>
      </c>
      <c r="AC9" s="314">
        <v>562320</v>
      </c>
      <c r="AD9" s="314">
        <v>470532</v>
      </c>
      <c r="AE9" s="314">
        <v>505000</v>
      </c>
      <c r="AF9" s="314">
        <v>350960</v>
      </c>
      <c r="AG9" s="314">
        <v>422958</v>
      </c>
      <c r="AH9" s="314">
        <v>431417</v>
      </c>
      <c r="AI9" s="314">
        <v>440045</v>
      </c>
      <c r="AJ9" s="314">
        <v>440045</v>
      </c>
      <c r="AK9" s="314">
        <v>448846</v>
      </c>
      <c r="AL9" s="314">
        <v>448846</v>
      </c>
    </row>
    <row r="10" spans="1:38" x14ac:dyDescent="0.2">
      <c r="A10" t="s">
        <v>14</v>
      </c>
      <c r="B10" s="18"/>
      <c r="C10" s="13">
        <v>50000</v>
      </c>
      <c r="D10" s="18"/>
      <c r="E10" s="15">
        <v>0</v>
      </c>
      <c r="F10" s="18"/>
      <c r="G10" s="140"/>
      <c r="H10" s="18"/>
      <c r="I10" s="15">
        <v>0</v>
      </c>
      <c r="J10" s="18"/>
      <c r="K10" s="13"/>
      <c r="L10" s="18"/>
      <c r="M10" s="15">
        <v>0</v>
      </c>
      <c r="N10" s="18"/>
      <c r="O10" s="13"/>
      <c r="P10" s="18"/>
      <c r="Q10" s="461">
        <v>0</v>
      </c>
      <c r="R10" s="20"/>
      <c r="S10" s="13"/>
      <c r="T10" s="18"/>
      <c r="U10" s="15">
        <v>0</v>
      </c>
      <c r="V10" s="20"/>
      <c r="W10" s="7">
        <v>0</v>
      </c>
      <c r="X10" s="15">
        <v>0</v>
      </c>
      <c r="Y10" s="20"/>
      <c r="Z10" s="15">
        <v>0</v>
      </c>
      <c r="AA10" s="20"/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</row>
    <row r="11" spans="1:38" x14ac:dyDescent="0.2">
      <c r="A11" s="21" t="s">
        <v>15</v>
      </c>
      <c r="B11" s="18"/>
      <c r="C11" s="13">
        <v>0</v>
      </c>
      <c r="D11" s="18"/>
      <c r="E11" s="15">
        <v>0</v>
      </c>
      <c r="F11" s="18"/>
      <c r="G11" s="13"/>
      <c r="H11" s="18"/>
      <c r="I11" s="15">
        <v>0</v>
      </c>
      <c r="J11" s="18"/>
      <c r="K11" s="13"/>
      <c r="L11" s="18"/>
      <c r="M11" s="15">
        <v>0</v>
      </c>
      <c r="N11" s="18"/>
      <c r="O11" s="13"/>
      <c r="P11" s="18"/>
      <c r="Q11" s="461">
        <v>0</v>
      </c>
      <c r="R11" s="20"/>
      <c r="S11" s="13"/>
      <c r="T11" s="18"/>
      <c r="U11" s="15">
        <v>0</v>
      </c>
      <c r="V11" s="20"/>
      <c r="W11" s="7">
        <v>0</v>
      </c>
      <c r="X11" s="15">
        <v>0</v>
      </c>
      <c r="Y11" s="20"/>
      <c r="Z11" s="15">
        <v>0</v>
      </c>
      <c r="AA11" s="20"/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</row>
    <row r="12" spans="1:38" x14ac:dyDescent="0.2">
      <c r="A12" s="21" t="s">
        <v>16</v>
      </c>
      <c r="B12" s="18"/>
      <c r="C12" s="13">
        <v>0</v>
      </c>
      <c r="D12" s="18"/>
      <c r="E12" s="15">
        <v>0</v>
      </c>
      <c r="F12" s="18"/>
      <c r="G12" s="13"/>
      <c r="H12" s="18"/>
      <c r="I12" s="15">
        <v>0</v>
      </c>
      <c r="J12" s="18"/>
      <c r="K12" s="13"/>
      <c r="L12" s="18"/>
      <c r="M12" s="15">
        <v>0</v>
      </c>
      <c r="N12" s="18"/>
      <c r="O12" s="13"/>
      <c r="P12" s="18"/>
      <c r="Q12" s="461">
        <v>0</v>
      </c>
      <c r="R12" s="18"/>
      <c r="S12" s="13"/>
      <c r="T12" s="18"/>
      <c r="U12" s="15">
        <v>0</v>
      </c>
      <c r="V12" s="18"/>
      <c r="W12" s="13">
        <v>0</v>
      </c>
      <c r="X12" s="15">
        <v>0</v>
      </c>
      <c r="Y12" s="20"/>
      <c r="Z12" s="15">
        <v>0</v>
      </c>
      <c r="AA12" s="20"/>
      <c r="AB12" s="15" t="s">
        <v>593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</row>
    <row r="13" spans="1:38" x14ac:dyDescent="0.2">
      <c r="A13" s="21" t="s">
        <v>17</v>
      </c>
      <c r="B13" s="18"/>
      <c r="C13" s="13">
        <v>0</v>
      </c>
      <c r="D13" s="18"/>
      <c r="E13" s="22">
        <v>0</v>
      </c>
      <c r="F13" s="18"/>
      <c r="G13" s="13"/>
      <c r="H13" s="18"/>
      <c r="I13" s="127">
        <v>500000</v>
      </c>
      <c r="J13" s="18"/>
      <c r="K13" s="13">
        <v>0</v>
      </c>
      <c r="L13" s="18">
        <v>0</v>
      </c>
      <c r="M13" s="15">
        <v>0</v>
      </c>
      <c r="N13" s="18">
        <v>0</v>
      </c>
      <c r="O13" s="13">
        <v>0</v>
      </c>
      <c r="P13" s="18"/>
      <c r="Q13" s="461">
        <v>1300000</v>
      </c>
      <c r="R13" s="18"/>
      <c r="S13" s="13">
        <v>1300000</v>
      </c>
      <c r="T13" s="18"/>
      <c r="U13" s="13">
        <v>1300000</v>
      </c>
      <c r="V13" s="18"/>
      <c r="W13" s="13">
        <v>1300000</v>
      </c>
      <c r="X13" s="467">
        <v>100000</v>
      </c>
      <c r="Y13" s="20"/>
      <c r="Z13" s="467">
        <v>100000</v>
      </c>
      <c r="AA13" s="20"/>
      <c r="AB13" s="467">
        <v>100000</v>
      </c>
      <c r="AC13" s="467">
        <v>100000</v>
      </c>
      <c r="AD13" s="467">
        <v>100000</v>
      </c>
      <c r="AE13" s="467">
        <v>100000</v>
      </c>
      <c r="AF13" s="467">
        <v>100000</v>
      </c>
      <c r="AG13" s="467">
        <v>300000</v>
      </c>
      <c r="AH13" s="467">
        <v>1100000</v>
      </c>
      <c r="AI13" s="467">
        <v>500000</v>
      </c>
      <c r="AJ13" s="467">
        <v>500000</v>
      </c>
      <c r="AK13" s="467">
        <v>500000</v>
      </c>
      <c r="AL13" s="467">
        <v>500000</v>
      </c>
    </row>
    <row r="14" spans="1:38" x14ac:dyDescent="0.2">
      <c r="A14" t="s">
        <v>18</v>
      </c>
      <c r="B14" s="18"/>
      <c r="C14" s="23">
        <v>4129</v>
      </c>
      <c r="D14" s="18"/>
      <c r="E14" s="24">
        <v>4000</v>
      </c>
      <c r="F14" s="18"/>
      <c r="G14" s="23">
        <v>5287</v>
      </c>
      <c r="H14" s="18"/>
      <c r="I14" s="24">
        <v>4000</v>
      </c>
      <c r="J14" s="18"/>
      <c r="K14" s="23">
        <v>4570.7700000000004</v>
      </c>
      <c r="L14" s="18"/>
      <c r="M14" s="24">
        <v>4000</v>
      </c>
      <c r="N14" s="18"/>
      <c r="O14" s="23">
        <v>6484</v>
      </c>
      <c r="P14" s="18"/>
      <c r="Q14" s="463">
        <v>9000</v>
      </c>
      <c r="R14" s="18"/>
      <c r="S14" s="23">
        <v>17814</v>
      </c>
      <c r="T14" s="18"/>
      <c r="U14" s="24">
        <v>15000</v>
      </c>
      <c r="V14" s="18"/>
      <c r="W14" s="23">
        <v>39010.01</v>
      </c>
      <c r="X14" s="24">
        <v>62633</v>
      </c>
      <c r="Y14" s="20"/>
      <c r="Z14" s="24">
        <v>58809</v>
      </c>
      <c r="AA14" s="20"/>
      <c r="AB14" s="24">
        <v>38955</v>
      </c>
      <c r="AC14" s="24">
        <v>9847</v>
      </c>
      <c r="AD14" s="24">
        <v>4000</v>
      </c>
      <c r="AE14" s="24">
        <v>10000</v>
      </c>
      <c r="AF14" s="24">
        <v>20000</v>
      </c>
      <c r="AG14" s="24">
        <v>20000</v>
      </c>
      <c r="AH14" s="24">
        <v>20000</v>
      </c>
      <c r="AI14" s="24">
        <v>20000</v>
      </c>
      <c r="AJ14" s="24">
        <v>20000</v>
      </c>
      <c r="AK14" s="24">
        <v>20000</v>
      </c>
      <c r="AL14" s="24">
        <v>20000</v>
      </c>
    </row>
    <row r="15" spans="1:38" s="9" customFormat="1" x14ac:dyDescent="0.2">
      <c r="A15" s="25" t="s">
        <v>19</v>
      </c>
      <c r="B15" s="27"/>
      <c r="C15" s="26">
        <f>SUM(C8:C14)</f>
        <v>1011548</v>
      </c>
      <c r="D15" s="27"/>
      <c r="E15" s="28">
        <f>SUM(E8:E14)</f>
        <v>969000</v>
      </c>
      <c r="F15" s="27"/>
      <c r="G15" s="26">
        <f>SUM(G8:G14)</f>
        <v>1048900</v>
      </c>
      <c r="H15" s="27"/>
      <c r="I15" s="28">
        <f>SUM(I8:I14)</f>
        <v>1565000</v>
      </c>
      <c r="J15" s="18"/>
      <c r="K15" s="26">
        <f>SUM(K8:K14)</f>
        <v>1192794.49</v>
      </c>
      <c r="L15" s="27"/>
      <c r="M15" s="28">
        <f>SUM(M8:M14)</f>
        <v>1261840</v>
      </c>
      <c r="N15" s="27"/>
      <c r="O15" s="26">
        <f>SUM(O8:O14)</f>
        <v>1303723</v>
      </c>
      <c r="P15" s="18"/>
      <c r="Q15" s="464">
        <f>SUM(Q8:Q14)</f>
        <v>2591894</v>
      </c>
      <c r="R15" s="18"/>
      <c r="S15" s="26">
        <f>SUM(S8:S14)</f>
        <v>2711870</v>
      </c>
      <c r="T15" s="18"/>
      <c r="U15" s="28">
        <f>SUM(U8:U14)</f>
        <v>2715000</v>
      </c>
      <c r="V15" s="18"/>
      <c r="W15" s="28">
        <f>SUM(W8:W14)</f>
        <v>2875177.7699999996</v>
      </c>
      <c r="X15" s="28">
        <f>SUM(X8:X14)</f>
        <v>1870377</v>
      </c>
      <c r="Y15" s="29"/>
      <c r="Z15" s="28">
        <f>SUM(Z8:Z14)</f>
        <v>1915381</v>
      </c>
      <c r="AA15" s="29"/>
      <c r="AB15" s="28">
        <f t="shared" ref="AB15:AK15" si="0">SUM(AB8:AB14)</f>
        <v>1937556</v>
      </c>
      <c r="AC15" s="28">
        <f t="shared" si="0"/>
        <v>2343667</v>
      </c>
      <c r="AD15" s="28">
        <f t="shared" si="0"/>
        <v>2303292</v>
      </c>
      <c r="AE15" s="28">
        <f t="shared" si="0"/>
        <v>2322290</v>
      </c>
      <c r="AF15" s="28">
        <f t="shared" si="0"/>
        <v>2195323</v>
      </c>
      <c r="AG15" s="28">
        <f t="shared" si="0"/>
        <v>2524101</v>
      </c>
      <c r="AH15" s="28">
        <f t="shared" si="0"/>
        <v>3350372</v>
      </c>
      <c r="AI15" s="28">
        <f t="shared" si="0"/>
        <v>2759000</v>
      </c>
      <c r="AJ15" s="28">
        <f t="shared" si="0"/>
        <v>2759000</v>
      </c>
      <c r="AK15" s="28">
        <f t="shared" si="0"/>
        <v>2767802</v>
      </c>
      <c r="AL15" s="28">
        <f t="shared" ref="AL15" si="1">SUM(AL8:AL14)</f>
        <v>2767802</v>
      </c>
    </row>
    <row r="16" spans="1:38" ht="6" customHeight="1" x14ac:dyDescent="0.2">
      <c r="B16" s="14"/>
      <c r="C16" s="13"/>
      <c r="D16" s="14"/>
      <c r="E16" s="15"/>
      <c r="F16" s="14"/>
      <c r="G16" s="13"/>
      <c r="H16" s="14"/>
      <c r="I16" s="15"/>
      <c r="J16" s="14"/>
      <c r="K16" s="13"/>
      <c r="L16" s="14"/>
      <c r="M16" s="15"/>
      <c r="N16" s="14"/>
      <c r="O16" s="13"/>
      <c r="P16" s="14"/>
      <c r="Q16" s="461"/>
      <c r="S16" s="13"/>
      <c r="T16" s="14"/>
      <c r="U16" s="15"/>
      <c r="X16" s="15"/>
      <c r="Z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</row>
    <row r="17" spans="1:38" x14ac:dyDescent="0.2">
      <c r="A17" s="9" t="s">
        <v>20</v>
      </c>
      <c r="B17" s="27"/>
      <c r="C17" s="30">
        <f>SUM(C5,C15)</f>
        <v>3757377</v>
      </c>
      <c r="D17" s="27"/>
      <c r="E17" s="31">
        <f>SUM(E5,E15)</f>
        <v>3803495</v>
      </c>
      <c r="F17" s="27"/>
      <c r="G17" s="30">
        <f>SUM(G5,G15)</f>
        <v>3883395</v>
      </c>
      <c r="H17" s="27"/>
      <c r="I17" s="31">
        <f>SUM(I5,I15)</f>
        <v>4898518.13</v>
      </c>
      <c r="J17" s="27"/>
      <c r="K17" s="30">
        <f>SUM(K5,K15)</f>
        <v>4526312.62</v>
      </c>
      <c r="L17" s="27"/>
      <c r="M17" s="31">
        <f>SUM(M5,M15)</f>
        <v>5280104.45</v>
      </c>
      <c r="N17" s="27"/>
      <c r="O17" s="30">
        <f>SUM(O5,O15)</f>
        <v>5321987.45</v>
      </c>
      <c r="P17" s="27"/>
      <c r="Q17" s="465">
        <f>SUM(Q5,Q15)</f>
        <v>7585156.2800000003</v>
      </c>
      <c r="R17" s="29"/>
      <c r="S17" s="30">
        <f>SUM(S5,S15)</f>
        <v>6496421.6699999999</v>
      </c>
      <c r="T17" s="27"/>
      <c r="U17" s="31">
        <f>SUM(U5,U15)</f>
        <v>8815054.6699999999</v>
      </c>
      <c r="V17" s="29"/>
      <c r="W17" s="31">
        <f>SUM(W5,W15)</f>
        <v>8127691.7699999996</v>
      </c>
      <c r="X17" s="31">
        <f>SUM(X5,X15)</f>
        <v>9274872.2400000002</v>
      </c>
      <c r="Y17" s="29"/>
      <c r="Z17" s="31">
        <f>SUM(Z5,Z15)</f>
        <v>7013825.2400000002</v>
      </c>
      <c r="AA17" s="29"/>
      <c r="AB17" s="31">
        <f t="shared" ref="AB17:AK17" si="2">SUM(AB5,AB15)</f>
        <v>5322735.24</v>
      </c>
      <c r="AC17" s="31">
        <f t="shared" si="2"/>
        <v>5321164.24</v>
      </c>
      <c r="AD17" s="31">
        <f t="shared" si="2"/>
        <v>6531184.2400000002</v>
      </c>
      <c r="AE17" s="31">
        <f t="shared" si="2"/>
        <v>7164297</v>
      </c>
      <c r="AF17" s="31">
        <f t="shared" si="2"/>
        <v>7464957</v>
      </c>
      <c r="AG17" s="31">
        <f t="shared" si="2"/>
        <v>7018313.1699999999</v>
      </c>
      <c r="AH17" s="31">
        <f t="shared" si="2"/>
        <v>5931461</v>
      </c>
      <c r="AI17" s="31">
        <f t="shared" si="2"/>
        <v>5255461</v>
      </c>
      <c r="AJ17" s="31">
        <f t="shared" si="2"/>
        <v>5179461</v>
      </c>
      <c r="AK17" s="31">
        <f t="shared" si="2"/>
        <v>5112263</v>
      </c>
      <c r="AL17" s="31">
        <f t="shared" ref="AL17" si="3">SUM(AL5,AL15)</f>
        <v>5045065</v>
      </c>
    </row>
    <row r="18" spans="1:38" ht="6" customHeight="1" x14ac:dyDescent="0.2">
      <c r="B18" s="14"/>
      <c r="C18" s="13"/>
      <c r="D18" s="14"/>
      <c r="E18" s="15"/>
      <c r="F18" s="14"/>
      <c r="G18" s="13"/>
      <c r="H18" s="14"/>
      <c r="I18" s="15"/>
      <c r="J18" s="14"/>
      <c r="K18" s="13"/>
      <c r="L18" s="14"/>
      <c r="M18" s="15"/>
      <c r="N18" s="14"/>
      <c r="O18" s="13"/>
      <c r="P18" s="14"/>
      <c r="Q18" s="461"/>
      <c r="S18" s="13"/>
      <c r="T18" s="14"/>
      <c r="U18" s="15"/>
      <c r="X18" s="15"/>
      <c r="Z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</row>
    <row r="19" spans="1:38" s="9" customFormat="1" x14ac:dyDescent="0.2">
      <c r="A19" s="9" t="s">
        <v>21</v>
      </c>
      <c r="B19" s="27"/>
      <c r="C19" s="26">
        <v>922882</v>
      </c>
      <c r="D19" s="27"/>
      <c r="E19" s="28">
        <f>'5 Yr CIP - Add''l Exp'!C52</f>
        <v>662000</v>
      </c>
      <c r="F19" s="27"/>
      <c r="G19" s="26">
        <f>'5 Yr CIP - Add''l Exp'!D52</f>
        <v>549876.87</v>
      </c>
      <c r="H19" s="18"/>
      <c r="I19" s="28">
        <f>'5 Yr CIP - Add''l Exp'!E52</f>
        <v>743815</v>
      </c>
      <c r="J19" s="18"/>
      <c r="K19" s="239">
        <f>'5 Yr CIP - Add''l Exp'!F52</f>
        <v>508048.17</v>
      </c>
      <c r="L19" s="18"/>
      <c r="M19" s="28">
        <f>'5 Yr CIP - Add''l Exp'!G52</f>
        <v>488343</v>
      </c>
      <c r="N19" s="18"/>
      <c r="O19" s="26">
        <f>'5 Yr CIP - Add''l Exp'!H52-0.75</f>
        <v>328725.16999999993</v>
      </c>
      <c r="P19" s="18"/>
      <c r="Q19" s="464">
        <f>'5 Yr CIP - Add''l Exp'!I52</f>
        <v>548114.99649999989</v>
      </c>
      <c r="R19" s="20"/>
      <c r="S19" s="26">
        <f>'5 Yr CIP - Add''l Exp'!J52</f>
        <v>396367</v>
      </c>
      <c r="T19" s="18"/>
      <c r="U19" s="28">
        <f>'5 Yr CIP - Add''l Exp'!K52</f>
        <v>363267</v>
      </c>
      <c r="V19" s="20"/>
      <c r="W19" s="28">
        <f>'5 Yr CIP - Add''l Exp'!L52</f>
        <v>308969.87</v>
      </c>
      <c r="X19" s="28">
        <v>4176428</v>
      </c>
      <c r="Y19" s="20"/>
      <c r="Z19" s="28">
        <v>3628646</v>
      </c>
      <c r="AA19" s="20"/>
      <c r="AB19" s="28">
        <v>2345238</v>
      </c>
      <c r="AC19" s="28">
        <v>1093272</v>
      </c>
      <c r="AD19" s="28">
        <f>'5 Yr CIP - Add''l Exp'!Q52</f>
        <v>2446000</v>
      </c>
      <c r="AE19" s="28">
        <f>'5 Yr CIP - Add''l Exp'!R52</f>
        <v>1239535</v>
      </c>
      <c r="AF19" s="28">
        <f>'5 Yr CIP - Add''l Exp'!S52</f>
        <v>924000</v>
      </c>
      <c r="AG19" s="28">
        <v>4310000</v>
      </c>
      <c r="AH19" s="28">
        <v>3435000</v>
      </c>
      <c r="AI19" s="28">
        <f>'5 Yr CIP - Add''l Exp'!V52</f>
        <v>2835000</v>
      </c>
      <c r="AJ19" s="28">
        <f>'5 Yr CIP - Add''l Exp'!W52</f>
        <v>2835000</v>
      </c>
      <c r="AK19" s="28">
        <f>'5 Yr CIP - Add''l Exp'!X52</f>
        <v>2835000</v>
      </c>
      <c r="AL19" s="28">
        <f>'5 Yr CIP - Add''l Exp'!Y52</f>
        <v>2835000</v>
      </c>
    </row>
    <row r="20" spans="1:38" ht="6" customHeight="1" x14ac:dyDescent="0.2">
      <c r="B20" s="14"/>
      <c r="C20" s="13"/>
      <c r="D20" s="14"/>
      <c r="E20" s="15"/>
      <c r="F20" s="14"/>
      <c r="G20" s="13"/>
      <c r="H20" s="14"/>
      <c r="I20" s="15"/>
      <c r="J20" s="14"/>
      <c r="K20" s="13"/>
      <c r="L20" s="14"/>
      <c r="M20" s="15"/>
      <c r="N20" s="14"/>
      <c r="O20" s="13"/>
      <c r="P20" s="14"/>
      <c r="Q20" s="461"/>
      <c r="S20" s="13"/>
      <c r="T20" s="14"/>
      <c r="U20" s="15"/>
      <c r="W20" s="545"/>
      <c r="X20" s="15"/>
      <c r="Z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</row>
    <row r="21" spans="1:38" s="9" customFormat="1" ht="13.5" thickBot="1" x14ac:dyDescent="0.25">
      <c r="A21" s="9" t="s">
        <v>22</v>
      </c>
      <c r="B21" s="27"/>
      <c r="C21" s="32">
        <f>C17-C19</f>
        <v>2834495</v>
      </c>
      <c r="D21" s="27"/>
      <c r="E21" s="33">
        <f>E17-E19</f>
        <v>3141495</v>
      </c>
      <c r="F21" s="27"/>
      <c r="G21" s="32">
        <f>G17-G19</f>
        <v>3333518.13</v>
      </c>
      <c r="H21" s="27"/>
      <c r="I21" s="33">
        <f>I17-I19</f>
        <v>4154703.13</v>
      </c>
      <c r="J21" s="18"/>
      <c r="K21" s="32">
        <f>K17-K19</f>
        <v>4018264.45</v>
      </c>
      <c r="L21" s="27"/>
      <c r="M21" s="33">
        <f>M17-M19</f>
        <v>4791761.45</v>
      </c>
      <c r="N21" s="27"/>
      <c r="O21" s="32">
        <f>O17-O19</f>
        <v>4993262.28</v>
      </c>
      <c r="P21" s="18"/>
      <c r="Q21" s="466">
        <f>Q17-Q19</f>
        <v>7037041.2835000008</v>
      </c>
      <c r="R21" s="20"/>
      <c r="S21" s="32">
        <f>S17-S19</f>
        <v>6100054.6699999999</v>
      </c>
      <c r="T21" s="18"/>
      <c r="U21" s="33">
        <f>U17-U19</f>
        <v>8451787.6699999999</v>
      </c>
      <c r="V21" s="20"/>
      <c r="W21" s="33">
        <f>W17-W19</f>
        <v>7818721.8999999994</v>
      </c>
      <c r="X21" s="33">
        <f>X17-X19</f>
        <v>5098444.24</v>
      </c>
      <c r="Y21" s="20"/>
      <c r="Z21" s="33">
        <f>Z17-Z19</f>
        <v>3385179.24</v>
      </c>
      <c r="AA21" s="20"/>
      <c r="AB21" s="33">
        <f t="shared" ref="AB21:AK21" si="4">AB17-AB19</f>
        <v>2977497.24</v>
      </c>
      <c r="AC21" s="33">
        <f t="shared" si="4"/>
        <v>4227892.24</v>
      </c>
      <c r="AD21" s="33">
        <f t="shared" si="4"/>
        <v>4085184.24</v>
      </c>
      <c r="AE21" s="33">
        <f t="shared" si="4"/>
        <v>5924762</v>
      </c>
      <c r="AF21" s="33">
        <f t="shared" si="4"/>
        <v>6540957</v>
      </c>
      <c r="AG21" s="33">
        <f t="shared" si="4"/>
        <v>2708313.17</v>
      </c>
      <c r="AH21" s="33">
        <f t="shared" si="4"/>
        <v>2496461</v>
      </c>
      <c r="AI21" s="33">
        <f t="shared" si="4"/>
        <v>2420461</v>
      </c>
      <c r="AJ21" s="33">
        <f t="shared" si="4"/>
        <v>2344461</v>
      </c>
      <c r="AK21" s="33">
        <f t="shared" si="4"/>
        <v>2277263</v>
      </c>
      <c r="AL21" s="33">
        <f t="shared" ref="AL21" si="5">AL17-AL19</f>
        <v>2210065</v>
      </c>
    </row>
    <row r="22" spans="1:38" ht="13.5" thickTop="1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18"/>
      <c r="Q22" s="461"/>
      <c r="R22" s="20"/>
      <c r="S22" s="35"/>
      <c r="T22" s="18"/>
      <c r="U22" s="35"/>
      <c r="V22" s="20"/>
      <c r="X22" s="35"/>
      <c r="Y22" s="20"/>
      <c r="Z22" s="35"/>
      <c r="AA22" s="20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</row>
    <row r="23" spans="1:38" x14ac:dyDescent="0.2">
      <c r="A23" s="9" t="s">
        <v>23</v>
      </c>
      <c r="B23" s="18"/>
      <c r="C23" s="13"/>
      <c r="D23" s="27"/>
      <c r="E23" s="15"/>
      <c r="F23" s="27"/>
      <c r="G23" s="13"/>
      <c r="H23" s="27"/>
      <c r="I23" s="15"/>
      <c r="J23" s="18"/>
      <c r="K23" s="13"/>
      <c r="L23" s="27"/>
      <c r="M23" s="15"/>
      <c r="N23" s="27"/>
      <c r="O23" s="13"/>
      <c r="P23" s="18"/>
      <c r="Q23" s="461"/>
      <c r="R23" s="20"/>
      <c r="S23" s="13"/>
      <c r="T23" s="18"/>
      <c r="U23" s="15"/>
      <c r="V23" s="20"/>
      <c r="X23" s="15"/>
      <c r="Y23" s="20"/>
      <c r="Z23" s="15"/>
      <c r="AA23" s="20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</row>
    <row r="24" spans="1:38" s="9" customFormat="1" x14ac:dyDescent="0.2">
      <c r="A24" s="9" t="s">
        <v>11</v>
      </c>
      <c r="B24" s="27"/>
      <c r="C24" s="10">
        <v>62013</v>
      </c>
      <c r="D24" s="27"/>
      <c r="E24" s="12">
        <f>C33</f>
        <v>63908</v>
      </c>
      <c r="F24" s="27"/>
      <c r="G24" s="10">
        <f>C33</f>
        <v>63908</v>
      </c>
      <c r="H24" s="27"/>
      <c r="I24" s="12">
        <f>G33</f>
        <v>68853</v>
      </c>
      <c r="J24" s="27"/>
      <c r="K24" s="10">
        <f>G33</f>
        <v>68853</v>
      </c>
      <c r="L24" s="27"/>
      <c r="M24" s="12">
        <f>K33</f>
        <v>73080</v>
      </c>
      <c r="N24" s="27"/>
      <c r="O24" s="10">
        <f>K33</f>
        <v>73080</v>
      </c>
      <c r="P24" s="27"/>
      <c r="Q24" s="460">
        <v>77343.97</v>
      </c>
      <c r="R24" s="36"/>
      <c r="S24" s="460">
        <v>77344</v>
      </c>
      <c r="T24" s="27"/>
      <c r="U24" s="12">
        <f>S33</f>
        <v>80153</v>
      </c>
      <c r="V24" s="36"/>
      <c r="W24" s="529">
        <v>80153</v>
      </c>
      <c r="X24" s="12">
        <f>W33</f>
        <v>81991.62</v>
      </c>
      <c r="Y24" s="36"/>
      <c r="Z24" s="12">
        <f>X33</f>
        <v>94037.62</v>
      </c>
      <c r="AA24" s="36"/>
      <c r="AB24" s="12">
        <f>Z33</f>
        <v>-52791.380000000005</v>
      </c>
      <c r="AC24" s="12">
        <v>3388055</v>
      </c>
      <c r="AD24" s="12">
        <f>AC33</f>
        <v>2119038</v>
      </c>
      <c r="AE24" s="12">
        <v>1884478</v>
      </c>
      <c r="AF24" s="12">
        <v>1654902</v>
      </c>
      <c r="AG24" s="12">
        <v>586863.57999999996</v>
      </c>
      <c r="AH24" s="12">
        <v>384468</v>
      </c>
      <c r="AI24" s="12">
        <f>AH33</f>
        <v>77414</v>
      </c>
      <c r="AJ24" s="12">
        <f>AI33</f>
        <v>78491</v>
      </c>
      <c r="AK24" s="12">
        <f>AJ33</f>
        <v>79133.455000000002</v>
      </c>
      <c r="AL24" s="12">
        <f>AK33</f>
        <v>79779.122275000002</v>
      </c>
    </row>
    <row r="25" spans="1:38" ht="6" customHeight="1" x14ac:dyDescent="0.2">
      <c r="B25" s="18"/>
      <c r="C25" s="13"/>
      <c r="D25" s="27"/>
      <c r="E25" s="15"/>
      <c r="F25" s="27"/>
      <c r="G25" s="13"/>
      <c r="H25" s="27"/>
      <c r="I25" s="15"/>
      <c r="J25" s="18"/>
      <c r="K25" s="13"/>
      <c r="L25" s="27"/>
      <c r="M25" s="15"/>
      <c r="N25" s="27"/>
      <c r="O25" s="13"/>
      <c r="P25" s="18"/>
      <c r="Q25" s="461"/>
      <c r="R25" s="20"/>
      <c r="S25" s="13"/>
      <c r="T25" s="18"/>
      <c r="U25" s="15"/>
      <c r="V25" s="20"/>
      <c r="W25" s="546"/>
      <c r="X25" s="15"/>
      <c r="Y25" s="20"/>
      <c r="Z25" s="15"/>
      <c r="AA25" s="20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</row>
    <row r="26" spans="1:38" ht="6" customHeight="1" x14ac:dyDescent="0.2">
      <c r="B26" s="18"/>
      <c r="C26" s="13"/>
      <c r="D26" s="27"/>
      <c r="E26" s="15"/>
      <c r="F26" s="27"/>
      <c r="G26" s="13"/>
      <c r="H26" s="27"/>
      <c r="I26" s="15"/>
      <c r="J26" s="18"/>
      <c r="K26" s="13"/>
      <c r="L26" s="27"/>
      <c r="M26" s="15"/>
      <c r="N26" s="27"/>
      <c r="O26" s="13"/>
      <c r="P26" s="18"/>
      <c r="Q26" s="461"/>
      <c r="R26" s="20"/>
      <c r="S26" s="13"/>
      <c r="T26" s="18"/>
      <c r="U26" s="15"/>
      <c r="V26" s="20"/>
      <c r="W26" s="546"/>
      <c r="X26" s="15"/>
      <c r="Y26" s="20"/>
      <c r="Z26" s="15"/>
      <c r="AA26" s="20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</row>
    <row r="27" spans="1:38" x14ac:dyDescent="0.2">
      <c r="A27" t="s">
        <v>24</v>
      </c>
      <c r="B27" s="18"/>
      <c r="C27" s="13">
        <v>1804</v>
      </c>
      <c r="D27" s="27"/>
      <c r="E27" s="15">
        <f>C27</f>
        <v>1804</v>
      </c>
      <c r="F27" s="27"/>
      <c r="G27" s="13">
        <v>4945</v>
      </c>
      <c r="H27" s="27"/>
      <c r="I27" s="15">
        <v>1200</v>
      </c>
      <c r="J27" s="18"/>
      <c r="K27" s="13">
        <v>4227</v>
      </c>
      <c r="L27" s="27"/>
      <c r="M27" s="15">
        <f>I27</f>
        <v>1200</v>
      </c>
      <c r="N27" s="27"/>
      <c r="O27" s="13">
        <v>4264</v>
      </c>
      <c r="P27" s="18"/>
      <c r="Q27" s="461">
        <v>2400</v>
      </c>
      <c r="R27" s="20"/>
      <c r="S27" s="13">
        <v>2485.5</v>
      </c>
      <c r="T27" s="18"/>
      <c r="U27" s="15">
        <f>Q27</f>
        <v>2400</v>
      </c>
      <c r="V27" s="20"/>
      <c r="W27" s="546">
        <v>1229.5</v>
      </c>
      <c r="X27" s="15">
        <v>10498</v>
      </c>
      <c r="Y27" s="20"/>
      <c r="Z27" s="15">
        <v>32726</v>
      </c>
      <c r="AA27" s="20"/>
      <c r="AB27" s="15">
        <v>14030</v>
      </c>
      <c r="AC27" s="15">
        <v>885</v>
      </c>
      <c r="AD27" s="15">
        <f>AC27</f>
        <v>885</v>
      </c>
      <c r="AE27" s="15">
        <v>5000</v>
      </c>
      <c r="AF27" s="15">
        <v>5000</v>
      </c>
      <c r="AG27" s="15">
        <v>2400</v>
      </c>
      <c r="AH27" s="15">
        <v>40000</v>
      </c>
      <c r="AI27" s="15">
        <v>50000</v>
      </c>
      <c r="AJ27" s="15">
        <v>50000</v>
      </c>
      <c r="AK27" s="15">
        <v>50000</v>
      </c>
      <c r="AL27" s="15">
        <v>50000</v>
      </c>
    </row>
    <row r="28" spans="1:38" x14ac:dyDescent="0.2">
      <c r="A28" t="s">
        <v>18</v>
      </c>
      <c r="B28" s="18"/>
      <c r="C28" s="23">
        <v>91</v>
      </c>
      <c r="D28" s="27"/>
      <c r="E28" s="24">
        <f>0.005*SUM(E24:E27)</f>
        <v>328.56</v>
      </c>
      <c r="F28" s="27"/>
      <c r="G28" s="23"/>
      <c r="H28" s="27"/>
      <c r="I28" s="24">
        <v>0</v>
      </c>
      <c r="J28" s="18"/>
      <c r="K28" s="23">
        <f>I28</f>
        <v>0</v>
      </c>
      <c r="L28" s="27"/>
      <c r="M28" s="24">
        <f>0.005*SUM(M24:M27)</f>
        <v>371.40000000000003</v>
      </c>
      <c r="N28" s="27"/>
      <c r="O28" s="23">
        <f>L28</f>
        <v>0</v>
      </c>
      <c r="P28" s="18"/>
      <c r="Q28" s="463">
        <v>300</v>
      </c>
      <c r="R28" s="20"/>
      <c r="S28" s="23">
        <v>323.5</v>
      </c>
      <c r="T28" s="18"/>
      <c r="U28" s="24">
        <v>300</v>
      </c>
      <c r="V28" s="20"/>
      <c r="W28" s="547">
        <v>609.12</v>
      </c>
      <c r="X28" s="24">
        <v>1548</v>
      </c>
      <c r="Y28" s="20"/>
      <c r="Z28" s="24">
        <v>54039</v>
      </c>
      <c r="AA28" s="20"/>
      <c r="AB28" s="24">
        <v>44775</v>
      </c>
      <c r="AC28" s="24">
        <v>10128</v>
      </c>
      <c r="AD28" s="24">
        <v>2000</v>
      </c>
      <c r="AE28" s="24">
        <v>5000</v>
      </c>
      <c r="AF28" s="24">
        <v>5000</v>
      </c>
      <c r="AG28" s="24">
        <f>0.005*SUM(AG24:AG27)</f>
        <v>2946.3179</v>
      </c>
      <c r="AH28" s="24">
        <v>2946</v>
      </c>
      <c r="AI28" s="24">
        <v>1077</v>
      </c>
      <c r="AJ28" s="24">
        <f>0.005*SUM(AJ24:AJ27)</f>
        <v>642.45500000000004</v>
      </c>
      <c r="AK28" s="24">
        <f>0.005*SUM(AK24:AK27)</f>
        <v>645.66727500000002</v>
      </c>
      <c r="AL28" s="24">
        <f>0.005*SUM(AL24:AL27)</f>
        <v>648.89561137500004</v>
      </c>
    </row>
    <row r="29" spans="1:38" s="9" customFormat="1" x14ac:dyDescent="0.2">
      <c r="A29" s="9" t="s">
        <v>20</v>
      </c>
      <c r="B29" s="27"/>
      <c r="C29" s="10">
        <f>SUM(C24:C28)</f>
        <v>63908</v>
      </c>
      <c r="D29" s="27"/>
      <c r="E29" s="12">
        <f>SUM(E24:E28)</f>
        <v>66040.56</v>
      </c>
      <c r="F29" s="27"/>
      <c r="G29" s="10">
        <f>SUM(G24:G28)</f>
        <v>68853</v>
      </c>
      <c r="H29" s="27"/>
      <c r="I29" s="12">
        <f>SUM(I24:I28)</f>
        <v>70053</v>
      </c>
      <c r="J29" s="27"/>
      <c r="K29" s="10">
        <f>SUM(K24:K28)</f>
        <v>73080</v>
      </c>
      <c r="L29" s="27"/>
      <c r="M29" s="12">
        <f>SUM(M24:M28)</f>
        <v>74651.399999999994</v>
      </c>
      <c r="N29" s="27"/>
      <c r="O29" s="10">
        <f>SUM(O24:O28)</f>
        <v>77344</v>
      </c>
      <c r="P29" s="27"/>
      <c r="Q29" s="460">
        <f>SUM(Q24:Q28)</f>
        <v>80043.97</v>
      </c>
      <c r="R29" s="36"/>
      <c r="S29" s="10">
        <f>SUM(S24:S28)</f>
        <v>80153</v>
      </c>
      <c r="T29" s="27"/>
      <c r="U29" s="12">
        <f>SUM(U24:U28)</f>
        <v>82853</v>
      </c>
      <c r="V29" s="36"/>
      <c r="W29" s="12">
        <f>SUM(W24:W28)</f>
        <v>81991.62</v>
      </c>
      <c r="X29" s="12">
        <f>SUM(X24:X28)</f>
        <v>94037.62</v>
      </c>
      <c r="Y29" s="36"/>
      <c r="Z29" s="12">
        <f>SUM(Z24:Z28)</f>
        <v>180802.62</v>
      </c>
      <c r="AA29" s="36"/>
      <c r="AB29" s="12">
        <f t="shared" ref="AB29:AK29" si="6">SUM(AB24:AB28)</f>
        <v>6013.6199999999953</v>
      </c>
      <c r="AC29" s="12">
        <f t="shared" si="6"/>
        <v>3399068</v>
      </c>
      <c r="AD29" s="12">
        <f t="shared" si="6"/>
        <v>2121923</v>
      </c>
      <c r="AE29" s="12">
        <f t="shared" si="6"/>
        <v>1894478</v>
      </c>
      <c r="AF29" s="12">
        <f t="shared" si="6"/>
        <v>1664902</v>
      </c>
      <c r="AG29" s="12">
        <f t="shared" si="6"/>
        <v>592209.89789999998</v>
      </c>
      <c r="AH29" s="12">
        <f t="shared" si="6"/>
        <v>427414</v>
      </c>
      <c r="AI29" s="12">
        <f t="shared" si="6"/>
        <v>128491</v>
      </c>
      <c r="AJ29" s="12">
        <f t="shared" si="6"/>
        <v>129133.455</v>
      </c>
      <c r="AK29" s="12">
        <f t="shared" si="6"/>
        <v>129779.122275</v>
      </c>
      <c r="AL29" s="12">
        <f t="shared" ref="AL29" si="7">SUM(AL24:AL28)</f>
        <v>130428.017886375</v>
      </c>
    </row>
    <row r="30" spans="1:38" ht="6" customHeight="1" x14ac:dyDescent="0.2">
      <c r="B30" s="14"/>
      <c r="C30" s="13"/>
      <c r="D30" s="27"/>
      <c r="E30" s="15"/>
      <c r="F30" s="27"/>
      <c r="G30" s="13"/>
      <c r="H30" s="27"/>
      <c r="I30" s="15"/>
      <c r="J30" s="14"/>
      <c r="K30" s="13"/>
      <c r="L30" s="27"/>
      <c r="M30" s="15"/>
      <c r="N30" s="27"/>
      <c r="O30" s="13"/>
      <c r="P30" s="14"/>
      <c r="Q30" s="461"/>
      <c r="S30" s="13"/>
      <c r="T30" s="14"/>
      <c r="U30" s="15"/>
      <c r="X30" s="15"/>
      <c r="Z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</row>
    <row r="31" spans="1:38" s="9" customFormat="1" x14ac:dyDescent="0.2">
      <c r="A31" s="9" t="s">
        <v>21</v>
      </c>
      <c r="B31" s="27"/>
      <c r="C31" s="10">
        <v>0</v>
      </c>
      <c r="D31" s="27"/>
      <c r="E31" s="12">
        <f>'5 Yr CIP - Add''l Exp'!C64</f>
        <v>0</v>
      </c>
      <c r="F31" s="27"/>
      <c r="G31" s="10">
        <v>0</v>
      </c>
      <c r="H31" s="27"/>
      <c r="I31" s="12">
        <f>'5 Yr CIP - Add''l Exp'!E64</f>
        <v>0</v>
      </c>
      <c r="J31" s="27"/>
      <c r="K31" s="10">
        <v>0</v>
      </c>
      <c r="L31" s="27"/>
      <c r="M31" s="12">
        <f>'5 Yr CIP - Add''l Exp'!G64</f>
        <v>0</v>
      </c>
      <c r="N31" s="27"/>
      <c r="O31" s="10">
        <v>0</v>
      </c>
      <c r="P31" s="27"/>
      <c r="Q31" s="460">
        <v>0</v>
      </c>
      <c r="R31" s="36"/>
      <c r="S31" s="10">
        <f>'5 Yr CIP - Add''l Exp'!J64</f>
        <v>0</v>
      </c>
      <c r="T31" s="27"/>
      <c r="U31" s="12">
        <v>81545</v>
      </c>
      <c r="V31" s="36"/>
      <c r="W31" s="527">
        <v>0</v>
      </c>
      <c r="X31" s="12">
        <v>0</v>
      </c>
      <c r="Y31" s="36"/>
      <c r="Z31" s="12">
        <v>233594</v>
      </c>
      <c r="AA31" s="36"/>
      <c r="AB31" s="12">
        <v>341008</v>
      </c>
      <c r="AC31" s="12">
        <v>1280030</v>
      </c>
      <c r="AD31" s="12">
        <f>SUM('5 Yr CIP - Add''l Exp'!Q64)</f>
        <v>0</v>
      </c>
      <c r="AE31" s="12">
        <f>SUM('5 Yr CIP - Add''l Exp'!R64)</f>
        <v>0</v>
      </c>
      <c r="AF31" s="12">
        <f>'5 Yr CIP - Add''l Exp'!S64</f>
        <v>10000</v>
      </c>
      <c r="AG31" s="12">
        <v>470500</v>
      </c>
      <c r="AH31" s="12">
        <v>350000</v>
      </c>
      <c r="AI31" s="12">
        <v>50000</v>
      </c>
      <c r="AJ31" s="12">
        <v>50000</v>
      </c>
      <c r="AK31" s="12">
        <v>50000</v>
      </c>
      <c r="AL31" s="12">
        <v>50000</v>
      </c>
    </row>
    <row r="32" spans="1:38" ht="6" customHeight="1" x14ac:dyDescent="0.2">
      <c r="B32" s="14"/>
      <c r="C32" s="13"/>
      <c r="D32" s="27"/>
      <c r="E32" s="15"/>
      <c r="F32" s="27"/>
      <c r="G32" s="13"/>
      <c r="H32" s="27"/>
      <c r="I32" s="15"/>
      <c r="J32" s="14"/>
      <c r="K32" s="13"/>
      <c r="L32" s="27"/>
      <c r="M32" s="15"/>
      <c r="N32" s="27"/>
      <c r="O32" s="13"/>
      <c r="P32" s="14"/>
      <c r="Q32" s="461"/>
      <c r="S32" s="13"/>
      <c r="T32" s="14"/>
      <c r="U32" s="15"/>
      <c r="W32" s="545"/>
      <c r="X32" s="15"/>
      <c r="Z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</row>
    <row r="33" spans="1:38" s="9" customFormat="1" ht="13.5" thickBot="1" x14ac:dyDescent="0.25">
      <c r="A33" s="9" t="s">
        <v>22</v>
      </c>
      <c r="B33" s="27"/>
      <c r="C33" s="32">
        <f>C29-C31</f>
        <v>63908</v>
      </c>
      <c r="D33" s="27"/>
      <c r="E33" s="33">
        <f>E29-E31</f>
        <v>66040.56</v>
      </c>
      <c r="F33" s="27"/>
      <c r="G33" s="32">
        <f>G29-G31</f>
        <v>68853</v>
      </c>
      <c r="H33" s="27"/>
      <c r="I33" s="33">
        <f>I29-I31</f>
        <v>70053</v>
      </c>
      <c r="J33" s="27"/>
      <c r="K33" s="32">
        <f>K29-K31</f>
        <v>73080</v>
      </c>
      <c r="L33" s="27"/>
      <c r="M33" s="33">
        <f>M29-M31</f>
        <v>74651.399999999994</v>
      </c>
      <c r="N33" s="27"/>
      <c r="O33" s="32">
        <f>O29-O31</f>
        <v>77344</v>
      </c>
      <c r="P33" s="27"/>
      <c r="Q33" s="466">
        <f>Q29-Q31</f>
        <v>80043.97</v>
      </c>
      <c r="R33" s="36"/>
      <c r="S33" s="32">
        <f>S29-S31</f>
        <v>80153</v>
      </c>
      <c r="T33" s="27"/>
      <c r="U33" s="33">
        <f>U29-U31</f>
        <v>1308</v>
      </c>
      <c r="V33" s="36"/>
      <c r="W33" s="33">
        <f>W29-W31</f>
        <v>81991.62</v>
      </c>
      <c r="X33" s="33">
        <f>X29-X31</f>
        <v>94037.62</v>
      </c>
      <c r="Y33" s="36"/>
      <c r="Z33" s="33">
        <f>Z29-Z31</f>
        <v>-52791.380000000005</v>
      </c>
      <c r="AA33" s="36"/>
      <c r="AB33" s="33">
        <f t="shared" ref="AB33:AK33" si="8">AB29-AB31</f>
        <v>-334994.38</v>
      </c>
      <c r="AC33" s="33">
        <f t="shared" si="8"/>
        <v>2119038</v>
      </c>
      <c r="AD33" s="33">
        <f t="shared" si="8"/>
        <v>2121923</v>
      </c>
      <c r="AE33" s="33">
        <f t="shared" si="8"/>
        <v>1894478</v>
      </c>
      <c r="AF33" s="33">
        <f t="shared" si="8"/>
        <v>1654902</v>
      </c>
      <c r="AG33" s="33">
        <f t="shared" si="8"/>
        <v>121709.89789999998</v>
      </c>
      <c r="AH33" s="33">
        <f t="shared" si="8"/>
        <v>77414</v>
      </c>
      <c r="AI33" s="33">
        <f t="shared" si="8"/>
        <v>78491</v>
      </c>
      <c r="AJ33" s="33">
        <f t="shared" si="8"/>
        <v>79133.455000000002</v>
      </c>
      <c r="AK33" s="33">
        <f t="shared" si="8"/>
        <v>79779.122275000002</v>
      </c>
      <c r="AL33" s="33">
        <f t="shared" ref="AL33" si="9">AL29-AL31</f>
        <v>80428.017886375004</v>
      </c>
    </row>
    <row r="34" spans="1:38" ht="13.5" thickTop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27"/>
      <c r="Q34" s="461"/>
      <c r="R34" s="36"/>
      <c r="S34" s="35"/>
      <c r="T34" s="27"/>
      <c r="U34" s="35"/>
      <c r="V34" s="36"/>
      <c r="W34" s="527"/>
      <c r="X34" s="35"/>
      <c r="Y34" s="36"/>
      <c r="Z34" s="35"/>
      <c r="AA34" s="36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</row>
    <row r="35" spans="1:38" x14ac:dyDescent="0.2">
      <c r="A35" s="9" t="s">
        <v>25</v>
      </c>
      <c r="B35" s="18"/>
      <c r="C35" s="13"/>
      <c r="D35" s="27"/>
      <c r="E35" s="15"/>
      <c r="F35" s="27"/>
      <c r="G35" s="13"/>
      <c r="H35" s="27"/>
      <c r="I35" s="15"/>
      <c r="J35" s="18"/>
      <c r="K35" s="13"/>
      <c r="L35" s="27"/>
      <c r="M35" s="15"/>
      <c r="N35" s="27"/>
      <c r="O35" s="13"/>
      <c r="P35" s="18"/>
      <c r="Q35" s="461"/>
      <c r="R35" s="20"/>
      <c r="S35" s="13"/>
      <c r="T35" s="18"/>
      <c r="U35" s="15"/>
      <c r="V35" s="20"/>
      <c r="X35" s="15"/>
      <c r="Y35" s="20"/>
      <c r="Z35" s="15"/>
      <c r="AA35" s="20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</row>
    <row r="36" spans="1:38" s="9" customFormat="1" x14ac:dyDescent="0.2">
      <c r="A36" s="9" t="s">
        <v>11</v>
      </c>
      <c r="B36" s="27"/>
      <c r="C36" s="10">
        <v>13681904</v>
      </c>
      <c r="D36" s="27"/>
      <c r="E36" s="12">
        <f>C44</f>
        <v>3894384</v>
      </c>
      <c r="F36" s="27"/>
      <c r="G36" s="10">
        <f>C44</f>
        <v>3894384</v>
      </c>
      <c r="H36" s="27"/>
      <c r="I36" s="12">
        <f>G44</f>
        <v>10119760.609999999</v>
      </c>
      <c r="J36" s="27"/>
      <c r="K36" s="10">
        <f>G44</f>
        <v>10119760.609999999</v>
      </c>
      <c r="L36" s="27"/>
      <c r="M36" s="12">
        <f>K44</f>
        <v>15235700.959999999</v>
      </c>
      <c r="N36" s="27"/>
      <c r="O36" s="10">
        <f>K44</f>
        <v>15235700.959999999</v>
      </c>
      <c r="P36" s="27"/>
      <c r="Q36" s="460">
        <f>O44</f>
        <v>4455385.82</v>
      </c>
      <c r="R36" s="36"/>
      <c r="S36" s="10">
        <f>O44</f>
        <v>4455385.82</v>
      </c>
      <c r="T36" s="27"/>
      <c r="U36" s="12">
        <f>S44</f>
        <v>1777061.8199999998</v>
      </c>
      <c r="V36" s="36"/>
      <c r="W36" s="529">
        <v>1777061.52</v>
      </c>
      <c r="X36" s="12">
        <f>W44</f>
        <v>394775.74</v>
      </c>
      <c r="Y36" s="36"/>
      <c r="Z36" s="12">
        <f>X44</f>
        <v>-0.26000000000931323</v>
      </c>
      <c r="AA36" s="36"/>
      <c r="AB36" s="12">
        <f>Z44</f>
        <v>-0.26000000000931323</v>
      </c>
      <c r="AC36" s="12">
        <f>AB44</f>
        <v>-0.26000000000931323</v>
      </c>
      <c r="AD36" s="12">
        <f>AC44</f>
        <v>-0.26000000000931323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</row>
    <row r="37" spans="1:38" ht="6" customHeight="1" x14ac:dyDescent="0.2">
      <c r="B37" s="18"/>
      <c r="C37" s="13"/>
      <c r="D37" s="18"/>
      <c r="E37" s="15"/>
      <c r="F37" s="27"/>
      <c r="G37" s="13"/>
      <c r="H37" s="27"/>
      <c r="I37" s="15"/>
      <c r="J37" s="18"/>
      <c r="K37" s="13"/>
      <c r="L37" s="27"/>
      <c r="M37" s="15"/>
      <c r="N37" s="27"/>
      <c r="O37" s="13"/>
      <c r="P37" s="18"/>
      <c r="Q37" s="461"/>
      <c r="R37" s="20"/>
      <c r="S37" s="13"/>
      <c r="T37" s="18"/>
      <c r="U37" s="15"/>
      <c r="V37" s="20"/>
      <c r="W37" s="546"/>
      <c r="X37" s="15"/>
      <c r="Y37" s="20"/>
      <c r="Z37" s="15"/>
      <c r="AA37" s="20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</row>
    <row r="38" spans="1:38" x14ac:dyDescent="0.2">
      <c r="A38" s="116" t="s">
        <v>147</v>
      </c>
      <c r="B38" s="18"/>
      <c r="C38" s="13"/>
      <c r="D38" s="18"/>
      <c r="E38" s="15">
        <v>9000000</v>
      </c>
      <c r="F38" s="18"/>
      <c r="G38" s="13">
        <f>8910104.5+90000</f>
        <v>9000104.5</v>
      </c>
      <c r="H38" s="18"/>
      <c r="I38" s="15">
        <v>8588388.8000000007</v>
      </c>
      <c r="J38" s="18"/>
      <c r="K38" s="13">
        <f>8500000+263603.8</f>
        <v>8763603.8000000007</v>
      </c>
      <c r="L38" s="18"/>
      <c r="M38" s="15">
        <v>5052851.9000000004</v>
      </c>
      <c r="N38" s="18"/>
      <c r="O38" s="13">
        <v>5077201.9000000004</v>
      </c>
      <c r="P38" s="18"/>
      <c r="Q38" s="461"/>
      <c r="R38" s="20"/>
      <c r="S38" s="13">
        <v>0</v>
      </c>
      <c r="T38" s="18"/>
      <c r="U38" s="15"/>
      <c r="V38" s="20"/>
      <c r="W38" s="546"/>
      <c r="X38" s="15"/>
      <c r="Y38" s="20"/>
      <c r="Z38" s="15"/>
      <c r="AA38" s="20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</row>
    <row r="39" spans="1:38" x14ac:dyDescent="0.2">
      <c r="A39" t="s">
        <v>18</v>
      </c>
      <c r="B39" s="18"/>
      <c r="C39" s="23">
        <v>14076</v>
      </c>
      <c r="D39" s="18"/>
      <c r="E39" s="24">
        <f>0.005*SUM(E36:E37)</f>
        <v>19471.920000000002</v>
      </c>
      <c r="F39" s="18"/>
      <c r="G39" s="23">
        <v>13437</v>
      </c>
      <c r="H39" s="18"/>
      <c r="I39" s="24">
        <f>0.005*SUM(I36:I37)</f>
        <v>50598.803049999995</v>
      </c>
      <c r="J39" s="18"/>
      <c r="K39" s="23">
        <v>21197.15</v>
      </c>
      <c r="L39" s="18"/>
      <c r="M39" s="24">
        <v>14000</v>
      </c>
      <c r="N39" s="18"/>
      <c r="O39" s="23">
        <v>14363.11</v>
      </c>
      <c r="P39" s="18"/>
      <c r="Q39" s="463">
        <v>10000</v>
      </c>
      <c r="R39" s="20"/>
      <c r="S39" s="23">
        <v>11093</v>
      </c>
      <c r="T39" s="18"/>
      <c r="U39" s="24">
        <v>1000</v>
      </c>
      <c r="V39" s="20"/>
      <c r="W39" s="547">
        <v>11825.01</v>
      </c>
      <c r="X39" s="24">
        <v>0</v>
      </c>
      <c r="Y39" s="20"/>
      <c r="Z39" s="24"/>
      <c r="AA39" s="20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</row>
    <row r="40" spans="1:38" s="9" customFormat="1" x14ac:dyDescent="0.2">
      <c r="A40" s="9" t="s">
        <v>20</v>
      </c>
      <c r="B40" s="27"/>
      <c r="C40" s="10">
        <f>SUM(C36:C39)</f>
        <v>13695980</v>
      </c>
      <c r="D40" s="27"/>
      <c r="E40" s="12">
        <f>SUM(E36:E39)</f>
        <v>12913855.92</v>
      </c>
      <c r="F40" s="27"/>
      <c r="G40" s="10">
        <f>SUM(G36:G39)</f>
        <v>12907925.5</v>
      </c>
      <c r="H40" s="27"/>
      <c r="I40" s="12">
        <f>SUM(I36:I39)</f>
        <v>18758748.21305</v>
      </c>
      <c r="J40" s="27"/>
      <c r="K40" s="10">
        <f>SUM(K36:K39)</f>
        <v>18904561.559999999</v>
      </c>
      <c r="L40" s="27"/>
      <c r="M40" s="12">
        <f>SUM(M36:M39)</f>
        <v>20302552.859999999</v>
      </c>
      <c r="N40" s="27"/>
      <c r="O40" s="10">
        <f>SUM(O36:O39)</f>
        <v>20327265.969999999</v>
      </c>
      <c r="P40" s="27"/>
      <c r="Q40" s="460">
        <f>SUM(Q36:Q39)</f>
        <v>4465385.82</v>
      </c>
      <c r="R40" s="36"/>
      <c r="S40" s="10">
        <f>SUM(S36:S39)</f>
        <v>4466478.82</v>
      </c>
      <c r="T40" s="27"/>
      <c r="U40" s="12">
        <f>SUM(U36:U39)</f>
        <v>1778061.8199999998</v>
      </c>
      <c r="V40" s="36"/>
      <c r="W40" s="12">
        <f>SUM(W36:W39)</f>
        <v>1788886.53</v>
      </c>
      <c r="X40" s="12">
        <f>SUM(X36:X39)</f>
        <v>394775.74</v>
      </c>
      <c r="Y40" s="36"/>
      <c r="Z40" s="12">
        <f>SUM(Z36:Z39)</f>
        <v>-0.26000000000931323</v>
      </c>
      <c r="AA40" s="36"/>
      <c r="AB40" s="12">
        <f t="shared" ref="AB40:AK40" si="10">SUM(AB36:AB39)</f>
        <v>-0.26000000000931323</v>
      </c>
      <c r="AC40" s="12">
        <f t="shared" si="10"/>
        <v>-0.26000000000931323</v>
      </c>
      <c r="AD40" s="12">
        <f t="shared" si="10"/>
        <v>-0.26000000000931323</v>
      </c>
      <c r="AE40" s="12">
        <f t="shared" si="10"/>
        <v>0</v>
      </c>
      <c r="AF40" s="12">
        <f t="shared" si="10"/>
        <v>0</v>
      </c>
      <c r="AG40" s="12">
        <f t="shared" si="10"/>
        <v>0</v>
      </c>
      <c r="AH40" s="12">
        <f t="shared" si="10"/>
        <v>0</v>
      </c>
      <c r="AI40" s="12">
        <f t="shared" si="10"/>
        <v>0</v>
      </c>
      <c r="AJ40" s="12">
        <f t="shared" si="10"/>
        <v>0</v>
      </c>
      <c r="AK40" s="12">
        <f t="shared" si="10"/>
        <v>0</v>
      </c>
      <c r="AL40" s="12">
        <f t="shared" ref="AL40" si="11">SUM(AL36:AL39)</f>
        <v>0</v>
      </c>
    </row>
    <row r="41" spans="1:38" ht="6" customHeight="1" x14ac:dyDescent="0.2">
      <c r="B41" s="14"/>
      <c r="C41" s="13"/>
      <c r="D41" s="14"/>
      <c r="E41" s="15"/>
      <c r="F41" s="14"/>
      <c r="G41" s="13"/>
      <c r="H41" s="14"/>
      <c r="I41" s="15"/>
      <c r="J41" s="14"/>
      <c r="K41" s="13"/>
      <c r="L41" s="14"/>
      <c r="M41" s="15"/>
      <c r="N41" s="14"/>
      <c r="O41" s="13"/>
      <c r="P41" s="14"/>
      <c r="Q41" s="461"/>
      <c r="S41" s="13"/>
      <c r="T41" s="14"/>
      <c r="U41" s="15"/>
      <c r="W41" s="546"/>
      <c r="X41" s="15"/>
      <c r="Z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</row>
    <row r="42" spans="1:38" s="9" customFormat="1" x14ac:dyDescent="0.2">
      <c r="A42" s="9" t="s">
        <v>21</v>
      </c>
      <c r="B42" s="27"/>
      <c r="C42" s="10">
        <v>9801596</v>
      </c>
      <c r="D42" s="27"/>
      <c r="E42" s="12">
        <f>'5 Yr CIP - Add''l Exp'!C230</f>
        <v>2326200</v>
      </c>
      <c r="F42" s="27"/>
      <c r="G42" s="10">
        <f>'5 Yr CIP - Add''l Exp'!D230</f>
        <v>2788164.8900000006</v>
      </c>
      <c r="H42" s="27"/>
      <c r="I42" s="12" t="e">
        <f>'5 Yr CIP - Add''l Exp'!E230</f>
        <v>#REF!</v>
      </c>
      <c r="J42" s="27"/>
      <c r="K42" s="10">
        <f>'5 Yr CIP - Add''l Exp'!F230</f>
        <v>3668860.5999999996</v>
      </c>
      <c r="L42" s="27"/>
      <c r="M42" s="12">
        <f>'5 Yr CIP - Add''l Exp'!G230</f>
        <v>14292462.800000001</v>
      </c>
      <c r="N42" s="27"/>
      <c r="O42" s="10">
        <f>'5 Yr CIP - Add''l Exp'!H230</f>
        <v>15871880.149999999</v>
      </c>
      <c r="P42" s="27"/>
      <c r="Q42" s="460">
        <f>'5 Yr CIP - Add''l Exp'!I230</f>
        <v>3183350</v>
      </c>
      <c r="R42" s="36"/>
      <c r="S42" s="10">
        <f>'5 Yr CIP - Add''l Exp'!J230</f>
        <v>2689417.0000000005</v>
      </c>
      <c r="T42" s="27"/>
      <c r="U42" s="12">
        <f>'5 Yr CIP - Add''l Exp'!K230</f>
        <v>1726062</v>
      </c>
      <c r="V42" s="36"/>
      <c r="W42" s="12">
        <f>'5 Yr CIP - Add''l Exp'!L230</f>
        <v>1394110.79</v>
      </c>
      <c r="X42" s="12">
        <f>'5 Yr CIP - Add''l Exp'!M230</f>
        <v>394776</v>
      </c>
      <c r="Y42" s="36"/>
      <c r="Z42" s="12">
        <f>'5 Yr CIP - Add''l Exp'!N230</f>
        <v>0</v>
      </c>
      <c r="AA42" s="36"/>
      <c r="AB42" s="12">
        <f>'5 Yr CIP - Add''l Exp'!O230</f>
        <v>0</v>
      </c>
      <c r="AC42" s="12">
        <f>'5 Yr CIP - Add''l Exp'!R230</f>
        <v>0</v>
      </c>
      <c r="AD42" s="12">
        <f>'5 Yr CIP - Add''l Exp'!T230</f>
        <v>0</v>
      </c>
      <c r="AE42" s="12">
        <f>'5 Yr CIP - Add''l Exp'!U230</f>
        <v>0</v>
      </c>
      <c r="AF42" s="12">
        <f>'5 Yr CIP - Add''l Exp'!V230</f>
        <v>0</v>
      </c>
      <c r="AG42" s="12">
        <f>'5 Yr CIP - Add''l Exp'!W230</f>
        <v>0</v>
      </c>
      <c r="AH42" s="12">
        <f>'5 Yr CIP - Add''l Exp'!X230</f>
        <v>0</v>
      </c>
      <c r="AI42" s="12">
        <f>'5 Yr CIP - Add''l Exp'!Y230</f>
        <v>0</v>
      </c>
      <c r="AJ42" s="12">
        <f>'5 Yr CIP - Add''l Exp'!Z230</f>
        <v>0</v>
      </c>
      <c r="AK42" s="12">
        <f>'5 Yr CIP - Add''l Exp'!AA230</f>
        <v>0</v>
      </c>
      <c r="AL42" s="12">
        <f>'5 Yr CIP - Add''l Exp'!AB230</f>
        <v>0</v>
      </c>
    </row>
    <row r="43" spans="1:38" ht="6" customHeight="1" x14ac:dyDescent="0.2">
      <c r="B43" s="14"/>
      <c r="C43" s="13"/>
      <c r="D43" s="14"/>
      <c r="E43" s="15"/>
      <c r="F43" s="14"/>
      <c r="G43" s="13"/>
      <c r="H43" s="14"/>
      <c r="I43" s="15"/>
      <c r="J43" s="14"/>
      <c r="K43" s="13"/>
      <c r="L43" s="14"/>
      <c r="M43" s="15"/>
      <c r="N43" s="14"/>
      <c r="O43" s="13"/>
      <c r="P43" s="14"/>
      <c r="Q43" s="461"/>
      <c r="S43" s="13"/>
      <c r="T43" s="14"/>
      <c r="U43" s="15"/>
      <c r="W43" s="547"/>
      <c r="X43" s="15"/>
      <c r="Z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</row>
    <row r="44" spans="1:38" s="9" customFormat="1" ht="13.5" thickBot="1" x14ac:dyDescent="0.25">
      <c r="A44" s="9" t="s">
        <v>22</v>
      </c>
      <c r="B44" s="27"/>
      <c r="C44" s="32">
        <f>C40-C42</f>
        <v>3894384</v>
      </c>
      <c r="D44" s="27"/>
      <c r="E44" s="33">
        <f>E40-E42</f>
        <v>10587655.92</v>
      </c>
      <c r="F44" s="27"/>
      <c r="G44" s="32">
        <f>G40-G42</f>
        <v>10119760.609999999</v>
      </c>
      <c r="H44" s="27"/>
      <c r="I44" s="33" t="e">
        <f>I40-I42</f>
        <v>#REF!</v>
      </c>
      <c r="J44" s="27"/>
      <c r="K44" s="32">
        <f>K40-K42</f>
        <v>15235700.959999999</v>
      </c>
      <c r="L44" s="27"/>
      <c r="M44" s="33">
        <f>M40-M42</f>
        <v>6010090.0599999987</v>
      </c>
      <c r="N44" s="27"/>
      <c r="O44" s="32">
        <f>O40-O42</f>
        <v>4455385.82</v>
      </c>
      <c r="P44" s="27"/>
      <c r="Q44" s="466">
        <f>Q40-Q42</f>
        <v>1282035.8200000003</v>
      </c>
      <c r="R44" s="36"/>
      <c r="S44" s="32">
        <f>S40-S42</f>
        <v>1777061.8199999998</v>
      </c>
      <c r="T44" s="27"/>
      <c r="U44" s="33">
        <f>U40-U42</f>
        <v>51999.819999999832</v>
      </c>
      <c r="V44" s="36"/>
      <c r="W44" s="33">
        <f>W40-W42</f>
        <v>394775.74</v>
      </c>
      <c r="X44" s="33">
        <f>X40-X42</f>
        <v>-0.26000000000931323</v>
      </c>
      <c r="Y44" s="36"/>
      <c r="Z44" s="33">
        <f>Z40-Z42</f>
        <v>-0.26000000000931323</v>
      </c>
      <c r="AA44" s="36"/>
      <c r="AB44" s="33">
        <f t="shared" ref="AB44:AK44" si="12">AB40-AB42</f>
        <v>-0.26000000000931323</v>
      </c>
      <c r="AC44" s="33">
        <f t="shared" si="12"/>
        <v>-0.26000000000931323</v>
      </c>
      <c r="AD44" s="33">
        <f t="shared" si="12"/>
        <v>-0.26000000000931323</v>
      </c>
      <c r="AE44" s="33">
        <f t="shared" si="12"/>
        <v>0</v>
      </c>
      <c r="AF44" s="33">
        <f t="shared" si="12"/>
        <v>0</v>
      </c>
      <c r="AG44" s="33">
        <f t="shared" si="12"/>
        <v>0</v>
      </c>
      <c r="AH44" s="33">
        <f t="shared" si="12"/>
        <v>0</v>
      </c>
      <c r="AI44" s="33">
        <f t="shared" si="12"/>
        <v>0</v>
      </c>
      <c r="AJ44" s="33">
        <f t="shared" si="12"/>
        <v>0</v>
      </c>
      <c r="AK44" s="33">
        <f t="shared" si="12"/>
        <v>0</v>
      </c>
      <c r="AL44" s="33">
        <f t="shared" ref="AL44" si="13">AL40-AL42</f>
        <v>0</v>
      </c>
    </row>
    <row r="45" spans="1:38" ht="13.5" thickTop="1" x14ac:dyDescent="0.2"/>
  </sheetData>
  <printOptions headings="1" gridLines="1"/>
  <pageMargins left="0.25" right="0.25" top="1" bottom="1" header="0.5" footer="0.5"/>
  <pageSetup scale="90" fitToHeight="2" orientation="landscape" r:id="rId1"/>
  <headerFooter alignWithMargins="0">
    <oddHeader xml:space="preserve">&amp;L&amp;"Arial,Bold"&amp;14                        
                     5-YEAR CAPITAL IMPROVEMENT PLAN&amp;C&amp;"Arial,Bold"&amp;14 &amp;"Arial,Regular"&amp;10
</oddHeader>
    <oddFooter>&amp;LDouglas County School District
Business Services - SYE&amp;C&amp;F
&amp;D&amp;R&amp;"Arial,Bold"&amp;A&amp;"Arial,Regular"
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Y232"/>
  <sheetViews>
    <sheetView zoomScaleNormal="100" workbookViewId="0">
      <selection activeCell="U60" sqref="U60"/>
    </sheetView>
  </sheetViews>
  <sheetFormatPr defaultRowHeight="12.75" outlineLevelRow="1" outlineLevelCol="1" x14ac:dyDescent="0.2"/>
  <cols>
    <col min="1" max="1" width="59.28515625" customWidth="1"/>
    <col min="2" max="2" width="42.28515625" style="20" hidden="1" customWidth="1" outlineLevel="1"/>
    <col min="3" max="3" width="15.140625" hidden="1" customWidth="1" outlineLevel="1"/>
    <col min="4" max="4" width="20.28515625" style="20" hidden="1" customWidth="1" outlineLevel="1"/>
    <col min="5" max="5" width="14.28515625" hidden="1" customWidth="1" outlineLevel="1"/>
    <col min="6" max="6" width="20.28515625" style="20" hidden="1" customWidth="1" outlineLevel="1"/>
    <col min="7" max="8" width="15.5703125" hidden="1" customWidth="1" outlineLevel="1"/>
    <col min="9" max="9" width="15.5703125" hidden="1" customWidth="1" collapsed="1"/>
    <col min="10" max="10" width="16.140625" style="502" hidden="1" customWidth="1" outlineLevel="1"/>
    <col min="11" max="11" width="14.28515625" hidden="1" customWidth="1" collapsed="1"/>
    <col min="12" max="16" width="14.28515625" hidden="1" customWidth="1"/>
    <col min="17" max="20" width="14.28515625" style="548" hidden="1" customWidth="1"/>
    <col min="21" max="25" width="14.28515625" style="548" customWidth="1"/>
  </cols>
  <sheetData>
    <row r="1" spans="1:25" ht="17.25" thickTop="1" thickBot="1" x14ac:dyDescent="0.3">
      <c r="A1" s="37" t="s">
        <v>600</v>
      </c>
      <c r="B1" s="38" t="s">
        <v>27</v>
      </c>
      <c r="C1" s="39" t="s">
        <v>102</v>
      </c>
      <c r="D1" s="93" t="s">
        <v>92</v>
      </c>
      <c r="E1" s="39" t="s">
        <v>2</v>
      </c>
      <c r="F1" s="93" t="s">
        <v>92</v>
      </c>
      <c r="G1" s="39" t="s">
        <v>2</v>
      </c>
      <c r="H1" s="93" t="s">
        <v>92</v>
      </c>
      <c r="I1" s="456" t="s">
        <v>499</v>
      </c>
      <c r="J1" s="498" t="s">
        <v>92</v>
      </c>
      <c r="K1" s="39" t="s">
        <v>2</v>
      </c>
      <c r="L1" s="39" t="s">
        <v>92</v>
      </c>
      <c r="M1" s="39" t="s">
        <v>2</v>
      </c>
      <c r="N1" s="39" t="s">
        <v>2</v>
      </c>
      <c r="O1" s="39" t="s">
        <v>2</v>
      </c>
      <c r="P1" s="39" t="s">
        <v>2</v>
      </c>
      <c r="Q1" s="551" t="s">
        <v>2</v>
      </c>
      <c r="R1" s="551" t="s">
        <v>2</v>
      </c>
      <c r="S1" s="551" t="s">
        <v>2</v>
      </c>
      <c r="T1" s="551" t="s">
        <v>2</v>
      </c>
      <c r="U1" s="551" t="s">
        <v>2</v>
      </c>
      <c r="V1" s="551" t="s">
        <v>2</v>
      </c>
      <c r="W1" s="551" t="s">
        <v>2</v>
      </c>
      <c r="X1" s="551" t="s">
        <v>2</v>
      </c>
      <c r="Y1" s="551" t="s">
        <v>2</v>
      </c>
    </row>
    <row r="2" spans="1:25" ht="16.5" thickBot="1" x14ac:dyDescent="0.3">
      <c r="A2" s="37" t="s">
        <v>26</v>
      </c>
      <c r="B2" s="458"/>
      <c r="C2" s="42" t="s">
        <v>4</v>
      </c>
      <c r="D2" s="111" t="s">
        <v>4</v>
      </c>
      <c r="E2" s="42" t="s">
        <v>5</v>
      </c>
      <c r="F2" s="111" t="str">
        <f>E2</f>
        <v>2013-2014</v>
      </c>
      <c r="G2" s="42" t="s">
        <v>6</v>
      </c>
      <c r="H2" s="111" t="str">
        <f>G2</f>
        <v>2014-2015</v>
      </c>
      <c r="I2" s="457" t="s">
        <v>7</v>
      </c>
      <c r="J2" s="499" t="str">
        <f>I2</f>
        <v>2015-2016</v>
      </c>
      <c r="K2" s="42" t="s">
        <v>8</v>
      </c>
      <c r="L2" s="42" t="s">
        <v>8</v>
      </c>
      <c r="M2" s="42" t="s">
        <v>9</v>
      </c>
      <c r="N2" s="42" t="s">
        <v>146</v>
      </c>
      <c r="O2" s="42" t="s">
        <v>451</v>
      </c>
      <c r="P2" s="42" t="str">
        <f>'5 Yr CIP - Add''l Rev'!AC2</f>
        <v>2020-2021</v>
      </c>
      <c r="Q2" s="42" t="s">
        <v>588</v>
      </c>
      <c r="R2" s="42" t="s">
        <v>589</v>
      </c>
      <c r="S2" s="42" t="s">
        <v>590</v>
      </c>
      <c r="T2" s="42" t="s">
        <v>591</v>
      </c>
      <c r="U2" s="42" t="s">
        <v>594</v>
      </c>
      <c r="V2" s="42" t="s">
        <v>597</v>
      </c>
      <c r="W2" s="42" t="s">
        <v>598</v>
      </c>
      <c r="X2" s="42" t="s">
        <v>602</v>
      </c>
      <c r="Y2" s="42" t="s">
        <v>608</v>
      </c>
    </row>
    <row r="3" spans="1:25" ht="6" customHeight="1" x14ac:dyDescent="0.2">
      <c r="A3" s="40"/>
      <c r="B3" s="41"/>
      <c r="C3" s="43"/>
      <c r="D3" s="94"/>
      <c r="E3" s="43"/>
      <c r="F3" s="94"/>
      <c r="G3" s="43"/>
      <c r="H3" s="43"/>
      <c r="I3" s="468"/>
      <c r="J3" s="500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2.75" hidden="1" customHeight="1" outlineLevel="1" x14ac:dyDescent="0.2">
      <c r="A4" s="48" t="s">
        <v>139</v>
      </c>
      <c r="B4" s="44" t="s">
        <v>28</v>
      </c>
      <c r="C4" s="45">
        <v>7000</v>
      </c>
      <c r="D4" s="90">
        <v>0</v>
      </c>
      <c r="E4" s="45"/>
      <c r="F4" s="109">
        <v>0</v>
      </c>
      <c r="G4" s="45"/>
      <c r="H4" s="45"/>
      <c r="I4" s="401"/>
      <c r="J4" s="501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2.75" hidden="1" customHeight="1" outlineLevel="1" x14ac:dyDescent="0.2">
      <c r="A5" s="48" t="s">
        <v>140</v>
      </c>
      <c r="B5" s="44" t="s">
        <v>28</v>
      </c>
      <c r="C5" s="45">
        <v>100000</v>
      </c>
      <c r="D5" s="94">
        <f>66617.7+779.61+17680</f>
        <v>85077.31</v>
      </c>
      <c r="E5" s="45"/>
      <c r="F5" s="109">
        <v>0</v>
      </c>
      <c r="G5" s="45"/>
      <c r="H5" s="45"/>
      <c r="I5" s="401"/>
      <c r="J5" s="501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hidden="1" customHeight="1" outlineLevel="1" x14ac:dyDescent="0.2">
      <c r="A6" s="46" t="s">
        <v>141</v>
      </c>
      <c r="B6" s="44" t="s">
        <v>29</v>
      </c>
      <c r="C6" s="45">
        <v>95000</v>
      </c>
      <c r="D6" s="90">
        <f>1288.5+1288.5+56439.17+35644+98.45+98.44</f>
        <v>94857.06</v>
      </c>
      <c r="E6" s="45"/>
      <c r="F6" s="109">
        <v>0</v>
      </c>
      <c r="G6" s="45"/>
      <c r="H6" s="45"/>
      <c r="I6" s="401"/>
      <c r="J6" s="501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2.75" hidden="1" customHeight="1" outlineLevel="1" x14ac:dyDescent="0.2">
      <c r="A7" s="46" t="s">
        <v>30</v>
      </c>
      <c r="B7" s="44" t="s">
        <v>31</v>
      </c>
      <c r="C7" s="45">
        <v>60000</v>
      </c>
      <c r="D7" s="108"/>
      <c r="E7" s="45"/>
      <c r="F7" s="109">
        <v>0</v>
      </c>
      <c r="G7" s="45"/>
      <c r="H7" s="45"/>
      <c r="I7" s="401"/>
      <c r="J7" s="501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2.75" hidden="1" customHeight="1" outlineLevel="1" x14ac:dyDescent="0.2">
      <c r="A8" s="46" t="s">
        <v>142</v>
      </c>
      <c r="B8" s="99" t="s">
        <v>93</v>
      </c>
      <c r="C8" s="45"/>
      <c r="D8" s="107">
        <v>59938</v>
      </c>
      <c r="E8" s="45"/>
      <c r="F8" s="109">
        <v>0</v>
      </c>
      <c r="G8" s="45"/>
      <c r="H8" s="45"/>
      <c r="I8" s="401"/>
      <c r="J8" s="501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collapsed="1" x14ac:dyDescent="0.2">
      <c r="A9" s="46" t="s">
        <v>605</v>
      </c>
      <c r="B9" s="99" t="s">
        <v>385</v>
      </c>
      <c r="C9" s="143"/>
      <c r="D9" s="108"/>
      <c r="E9" s="45"/>
      <c r="F9" s="109">
        <v>0</v>
      </c>
      <c r="G9" s="45"/>
      <c r="H9" s="45"/>
      <c r="I9" s="401">
        <v>25000</v>
      </c>
      <c r="J9" s="530"/>
      <c r="K9" s="45"/>
      <c r="L9" s="45">
        <v>109538.47</v>
      </c>
      <c r="M9" s="45"/>
      <c r="N9" s="45"/>
      <c r="O9" s="45"/>
      <c r="P9" s="45">
        <v>35000</v>
      </c>
      <c r="Q9" s="45">
        <v>793200</v>
      </c>
      <c r="R9" s="45"/>
      <c r="S9" s="45"/>
      <c r="T9" s="45"/>
      <c r="U9" s="45"/>
      <c r="V9" s="45"/>
      <c r="W9" s="45"/>
      <c r="X9" s="45"/>
      <c r="Y9" s="45"/>
    </row>
    <row r="10" spans="1:25" x14ac:dyDescent="0.2">
      <c r="A10" s="46" t="s">
        <v>610</v>
      </c>
      <c r="B10" s="99"/>
      <c r="C10" s="143"/>
      <c r="D10" s="108"/>
      <c r="E10" s="45"/>
      <c r="F10" s="109"/>
      <c r="G10" s="45"/>
      <c r="H10" s="45"/>
      <c r="I10" s="401"/>
      <c r="J10" s="530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>
        <v>200000</v>
      </c>
      <c r="V10" s="45"/>
      <c r="W10" s="45"/>
      <c r="X10" s="45"/>
      <c r="Y10" s="45"/>
    </row>
    <row r="11" spans="1:25" x14ac:dyDescent="0.2">
      <c r="A11" s="46" t="s">
        <v>614</v>
      </c>
      <c r="B11" s="99"/>
      <c r="C11" s="143"/>
      <c r="D11" s="108"/>
      <c r="E11" s="45"/>
      <c r="F11" s="109"/>
      <c r="G11" s="45"/>
      <c r="H11" s="45"/>
      <c r="I11" s="401"/>
      <c r="J11" s="530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>
        <v>200000</v>
      </c>
      <c r="W11" s="45"/>
      <c r="X11" s="45"/>
      <c r="Y11" s="45"/>
    </row>
    <row r="12" spans="1:25" x14ac:dyDescent="0.2">
      <c r="A12" s="46" t="s">
        <v>611</v>
      </c>
      <c r="B12" s="99"/>
      <c r="C12" s="143"/>
      <c r="D12" s="108"/>
      <c r="E12" s="45"/>
      <c r="F12" s="109"/>
      <c r="G12" s="45"/>
      <c r="H12" s="45"/>
      <c r="I12" s="401"/>
      <c r="J12" s="530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>
        <v>200000</v>
      </c>
      <c r="X12" s="45"/>
      <c r="Y12" s="45"/>
    </row>
    <row r="13" spans="1:25" x14ac:dyDescent="0.2">
      <c r="A13" s="46" t="s">
        <v>612</v>
      </c>
      <c r="B13" s="99"/>
      <c r="C13" s="143"/>
      <c r="D13" s="108"/>
      <c r="E13" s="45"/>
      <c r="F13" s="109"/>
      <c r="G13" s="45"/>
      <c r="H13" s="45"/>
      <c r="I13" s="401"/>
      <c r="J13" s="530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>
        <v>200000</v>
      </c>
      <c r="Y13" s="45"/>
    </row>
    <row r="14" spans="1:25" x14ac:dyDescent="0.2">
      <c r="A14" s="46" t="s">
        <v>613</v>
      </c>
      <c r="B14" s="99"/>
      <c r="C14" s="143"/>
      <c r="D14" s="108"/>
      <c r="E14" s="45"/>
      <c r="F14" s="109"/>
      <c r="G14" s="45"/>
      <c r="H14" s="45"/>
      <c r="I14" s="401"/>
      <c r="J14" s="530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>
        <v>200000</v>
      </c>
    </row>
    <row r="15" spans="1:25" x14ac:dyDescent="0.2">
      <c r="A15" s="46" t="s">
        <v>617</v>
      </c>
      <c r="B15" s="99"/>
      <c r="C15" s="143"/>
      <c r="D15" s="108"/>
      <c r="E15" s="45"/>
      <c r="F15" s="109"/>
      <c r="G15" s="45"/>
      <c r="H15" s="45"/>
      <c r="I15" s="401"/>
      <c r="J15" s="530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>
        <v>100000</v>
      </c>
      <c r="W15" s="45"/>
      <c r="X15" s="45"/>
      <c r="Y15" s="45"/>
    </row>
    <row r="16" spans="1:25" collapsed="1" x14ac:dyDescent="0.2">
      <c r="A16" s="46" t="s">
        <v>603</v>
      </c>
      <c r="B16" s="99" t="s">
        <v>180</v>
      </c>
      <c r="C16" s="143"/>
      <c r="D16" s="108"/>
      <c r="E16" s="45"/>
      <c r="F16" s="109">
        <v>0</v>
      </c>
      <c r="G16" s="45"/>
      <c r="H16" s="45"/>
      <c r="I16" s="401"/>
      <c r="J16" s="530"/>
      <c r="K16" s="45"/>
      <c r="L16" s="45">
        <v>6440.01</v>
      </c>
      <c r="M16" s="45"/>
      <c r="N16" s="45"/>
      <c r="O16" s="45">
        <v>599705</v>
      </c>
      <c r="P16" s="45">
        <v>929295</v>
      </c>
      <c r="Q16" s="45">
        <v>6800</v>
      </c>
      <c r="R16" s="45">
        <v>20000</v>
      </c>
      <c r="S16" s="45"/>
      <c r="T16" s="45"/>
      <c r="U16" s="45">
        <v>1500000</v>
      </c>
      <c r="V16" s="45"/>
      <c r="W16" s="45"/>
      <c r="X16" s="45"/>
      <c r="Y16" s="45"/>
    </row>
    <row r="17" spans="1:25" x14ac:dyDescent="0.2">
      <c r="A17" s="46" t="s">
        <v>615</v>
      </c>
      <c r="B17" s="99"/>
      <c r="C17" s="143"/>
      <c r="D17" s="108"/>
      <c r="E17" s="45"/>
      <c r="F17" s="109"/>
      <c r="G17" s="45"/>
      <c r="H17" s="45"/>
      <c r="I17" s="401"/>
      <c r="J17" s="530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>
        <v>1950000</v>
      </c>
      <c r="W17" s="45"/>
      <c r="X17" s="45"/>
      <c r="Y17" s="45"/>
    </row>
    <row r="18" spans="1:25" x14ac:dyDescent="0.2">
      <c r="A18" s="46" t="s">
        <v>601</v>
      </c>
      <c r="B18" s="99"/>
      <c r="C18" s="143"/>
      <c r="D18" s="108"/>
      <c r="E18" s="45"/>
      <c r="F18" s="109"/>
      <c r="G18" s="45"/>
      <c r="H18" s="45"/>
      <c r="I18" s="401"/>
      <c r="J18" s="530"/>
      <c r="K18" s="45"/>
      <c r="L18" s="45"/>
      <c r="M18" s="45"/>
      <c r="N18" s="45"/>
      <c r="O18" s="45"/>
      <c r="P18" s="45"/>
      <c r="Q18" s="45">
        <v>35000</v>
      </c>
      <c r="R18" s="45">
        <v>53873</v>
      </c>
      <c r="S18" s="45"/>
      <c r="T18" s="45"/>
      <c r="U18" s="45"/>
      <c r="V18" s="45"/>
      <c r="W18" s="45">
        <v>1450000</v>
      </c>
      <c r="X18" s="45"/>
      <c r="Y18" s="45"/>
    </row>
    <row r="19" spans="1:25" x14ac:dyDescent="0.2">
      <c r="A19" s="46" t="s">
        <v>606</v>
      </c>
      <c r="B19" s="99"/>
      <c r="C19" s="143"/>
      <c r="D19" s="108"/>
      <c r="E19" s="45"/>
      <c r="F19" s="109"/>
      <c r="G19" s="45"/>
      <c r="H19" s="45"/>
      <c r="I19" s="401"/>
      <c r="J19" s="530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>
        <v>2050000</v>
      </c>
      <c r="Y19" s="45"/>
    </row>
    <row r="20" spans="1:25" x14ac:dyDescent="0.2">
      <c r="A20" s="46" t="s">
        <v>607</v>
      </c>
      <c r="B20" s="99"/>
      <c r="C20" s="143"/>
      <c r="D20" s="108"/>
      <c r="E20" s="45"/>
      <c r="F20" s="109"/>
      <c r="G20" s="45"/>
      <c r="H20" s="45"/>
      <c r="I20" s="401"/>
      <c r="J20" s="530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>
        <v>2050000</v>
      </c>
    </row>
    <row r="21" spans="1:25" x14ac:dyDescent="0.2">
      <c r="A21" s="46" t="s">
        <v>609</v>
      </c>
      <c r="B21" s="99"/>
      <c r="C21" s="143"/>
      <c r="D21" s="108"/>
      <c r="E21" s="45"/>
      <c r="F21" s="109"/>
      <c r="G21" s="45"/>
      <c r="H21" s="45"/>
      <c r="I21" s="401"/>
      <c r="J21" s="530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x14ac:dyDescent="0.2">
      <c r="A22" s="46" t="s">
        <v>616</v>
      </c>
      <c r="B22" s="99"/>
      <c r="C22" s="143"/>
      <c r="D22" s="108"/>
      <c r="E22" s="45"/>
      <c r="F22" s="109"/>
      <c r="G22" s="45"/>
      <c r="H22" s="45"/>
      <c r="I22" s="401"/>
      <c r="J22" s="530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>
        <v>600000</v>
      </c>
      <c r="X22" s="45"/>
      <c r="Y22" s="45"/>
    </row>
    <row r="23" spans="1:25" x14ac:dyDescent="0.2">
      <c r="A23" s="48" t="s">
        <v>604</v>
      </c>
      <c r="B23" s="44"/>
      <c r="C23" s="45"/>
      <c r="D23" s="104"/>
      <c r="E23" s="45"/>
      <c r="F23" s="104"/>
      <c r="G23" s="45"/>
      <c r="H23" s="45"/>
      <c r="I23" s="401"/>
      <c r="J23" s="531"/>
      <c r="K23" s="45"/>
      <c r="L23" s="45"/>
      <c r="M23" s="45"/>
      <c r="N23" s="45"/>
      <c r="O23" s="45"/>
      <c r="P23" s="45"/>
      <c r="Q23" s="45"/>
      <c r="R23" s="45">
        <v>50356</v>
      </c>
      <c r="S23" s="45">
        <v>20000</v>
      </c>
      <c r="T23" s="45"/>
      <c r="U23" s="45">
        <v>250000</v>
      </c>
      <c r="V23" s="45"/>
      <c r="W23" s="45"/>
      <c r="X23" s="45"/>
      <c r="Y23" s="45"/>
    </row>
    <row r="24" spans="1:25" x14ac:dyDescent="0.2">
      <c r="A24" s="48" t="s">
        <v>621</v>
      </c>
      <c r="B24" s="44"/>
      <c r="C24" s="45"/>
      <c r="D24" s="104"/>
      <c r="E24" s="45"/>
      <c r="F24" s="104"/>
      <c r="G24" s="45"/>
      <c r="H24" s="45"/>
      <c r="I24" s="401"/>
      <c r="J24" s="531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>
        <v>240000</v>
      </c>
      <c r="V24" s="45"/>
      <c r="W24" s="45"/>
      <c r="X24" s="45"/>
      <c r="Y24" s="45"/>
    </row>
    <row r="25" spans="1:25" x14ac:dyDescent="0.2">
      <c r="A25" s="48" t="s">
        <v>622</v>
      </c>
      <c r="B25" s="44"/>
      <c r="C25" s="45"/>
      <c r="D25" s="104"/>
      <c r="E25" s="45"/>
      <c r="F25" s="104"/>
      <c r="G25" s="45"/>
      <c r="H25" s="45"/>
      <c r="I25" s="401"/>
      <c r="J25" s="531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>
        <v>600000</v>
      </c>
      <c r="V25" s="45"/>
      <c r="W25" s="45"/>
      <c r="X25" s="45"/>
      <c r="Y25" s="45"/>
    </row>
    <row r="26" spans="1:25" x14ac:dyDescent="0.2">
      <c r="A26" s="46" t="s">
        <v>592</v>
      </c>
      <c r="B26" s="99"/>
      <c r="C26" s="143"/>
      <c r="D26" s="108"/>
      <c r="E26" s="45"/>
      <c r="F26" s="109"/>
      <c r="G26" s="45"/>
      <c r="H26" s="45"/>
      <c r="I26" s="401"/>
      <c r="J26" s="530"/>
      <c r="K26" s="45"/>
      <c r="L26" s="45"/>
      <c r="M26" s="45"/>
      <c r="N26" s="45"/>
      <c r="O26" s="45"/>
      <c r="P26" s="45"/>
      <c r="Q26" s="45"/>
      <c r="R26" s="45"/>
      <c r="S26" s="45">
        <v>0</v>
      </c>
      <c r="T26" s="45">
        <v>1950000</v>
      </c>
      <c r="U26" s="45">
        <v>40000</v>
      </c>
      <c r="V26" s="45"/>
      <c r="W26" s="45"/>
      <c r="X26" s="45"/>
      <c r="Y26" s="45"/>
    </row>
    <row r="27" spans="1:25" x14ac:dyDescent="0.2">
      <c r="A27" s="46" t="s">
        <v>623</v>
      </c>
      <c r="B27" s="99"/>
      <c r="C27" s="143"/>
      <c r="D27" s="108"/>
      <c r="E27" s="45"/>
      <c r="F27" s="109"/>
      <c r="G27" s="45"/>
      <c r="H27" s="45"/>
      <c r="I27" s="401"/>
      <c r="J27" s="530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>
        <v>20000</v>
      </c>
      <c r="V27" s="45"/>
      <c r="W27" s="45"/>
      <c r="X27" s="45"/>
      <c r="Y27" s="45"/>
    </row>
    <row r="28" spans="1:25" hidden="1" x14ac:dyDescent="0.2">
      <c r="A28" s="46" t="s">
        <v>618</v>
      </c>
      <c r="B28" s="99"/>
      <c r="C28" s="143"/>
      <c r="D28" s="108"/>
      <c r="E28" s="45"/>
      <c r="F28" s="109"/>
      <c r="G28" s="45"/>
      <c r="H28" s="45"/>
      <c r="I28" s="401"/>
      <c r="J28" s="530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idden="1" x14ac:dyDescent="0.2">
      <c r="A29" s="46" t="s">
        <v>619</v>
      </c>
      <c r="B29" s="99"/>
      <c r="C29" s="143"/>
      <c r="D29" s="108"/>
      <c r="E29" s="45"/>
      <c r="F29" s="109"/>
      <c r="G29" s="45"/>
      <c r="H29" s="45"/>
      <c r="I29" s="401"/>
      <c r="J29" s="530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idden="1" x14ac:dyDescent="0.2">
      <c r="A30" s="46" t="s">
        <v>596</v>
      </c>
      <c r="B30" s="99"/>
      <c r="C30" s="143"/>
      <c r="D30" s="108"/>
      <c r="E30" s="45"/>
      <c r="F30" s="109"/>
      <c r="G30" s="45"/>
      <c r="H30" s="45"/>
      <c r="I30" s="401"/>
      <c r="J30" s="530"/>
      <c r="K30" s="45"/>
      <c r="L30" s="45"/>
      <c r="M30" s="45"/>
      <c r="N30" s="45"/>
      <c r="O30" s="45">
        <v>3106</v>
      </c>
      <c r="P30" s="45"/>
      <c r="Q30" s="45">
        <v>1000000</v>
      </c>
      <c r="R30" s="45">
        <v>818577</v>
      </c>
      <c r="S30" s="45"/>
      <c r="T30" s="45"/>
      <c r="U30" s="45"/>
      <c r="V30" s="45"/>
      <c r="W30" s="45"/>
      <c r="X30" s="45"/>
      <c r="Y30" s="45"/>
    </row>
    <row r="31" spans="1:25" hidden="1" x14ac:dyDescent="0.2">
      <c r="A31" s="48" t="s">
        <v>599</v>
      </c>
      <c r="B31" s="44"/>
      <c r="C31" s="45"/>
      <c r="D31" s="104"/>
      <c r="E31" s="45"/>
      <c r="F31" s="104"/>
      <c r="G31" s="45"/>
      <c r="H31" s="45"/>
      <c r="I31" s="401"/>
      <c r="J31" s="531"/>
      <c r="K31" s="45"/>
      <c r="L31" s="45"/>
      <c r="M31" s="45"/>
      <c r="N31" s="45"/>
      <c r="O31" s="45"/>
      <c r="P31" s="45"/>
      <c r="Q31" s="45"/>
      <c r="R31" s="45">
        <v>3630</v>
      </c>
      <c r="S31" s="45">
        <v>5000</v>
      </c>
      <c r="T31" s="45"/>
      <c r="U31" s="45"/>
      <c r="V31" s="45"/>
      <c r="W31" s="45"/>
      <c r="X31" s="45"/>
      <c r="Y31" s="45"/>
    </row>
    <row r="32" spans="1:25" x14ac:dyDescent="0.2">
      <c r="A32" s="46" t="s">
        <v>620</v>
      </c>
      <c r="B32" s="44"/>
      <c r="C32" s="45"/>
      <c r="D32" s="104"/>
      <c r="E32" s="45"/>
      <c r="F32" s="104"/>
      <c r="G32" s="45"/>
      <c r="H32" s="45"/>
      <c r="I32" s="401"/>
      <c r="J32" s="531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s="9" customFormat="1" x14ac:dyDescent="0.2">
      <c r="A33" s="96" t="s">
        <v>164</v>
      </c>
      <c r="B33" s="97" t="s">
        <v>542</v>
      </c>
      <c r="C33" s="45">
        <f>SUM(C34:C51)</f>
        <v>400000</v>
      </c>
      <c r="D33" s="106">
        <f>SUM(D34:D50)</f>
        <v>310004.5</v>
      </c>
      <c r="E33" s="45">
        <f>SUM(E34:E51)</f>
        <v>743815</v>
      </c>
      <c r="F33" s="106">
        <f>SUM(F34:F50)</f>
        <v>508048.17</v>
      </c>
      <c r="G33" s="45">
        <f>SUM(G34:G51)</f>
        <v>488343</v>
      </c>
      <c r="H33" s="391">
        <f>SUM(H34:H51)</f>
        <v>328725.91999999993</v>
      </c>
      <c r="I33" s="401">
        <f t="shared" ref="I33:K33" si="0">SUM(I34:I51)</f>
        <v>523114.99649999995</v>
      </c>
      <c r="J33" s="533">
        <v>396367</v>
      </c>
      <c r="K33" s="45">
        <f t="shared" si="0"/>
        <v>363267</v>
      </c>
      <c r="L33" s="45">
        <v>192991.39</v>
      </c>
      <c r="M33" s="45">
        <v>424203</v>
      </c>
      <c r="N33" s="45">
        <v>623904</v>
      </c>
      <c r="O33" s="45">
        <v>784668</v>
      </c>
      <c r="P33" s="45">
        <v>257000</v>
      </c>
      <c r="Q33" s="45">
        <v>611000</v>
      </c>
      <c r="R33" s="45">
        <v>293099</v>
      </c>
      <c r="S33" s="45">
        <v>899000</v>
      </c>
      <c r="T33" s="45">
        <f t="shared" ref="T33" si="1">SUM(T34:T51)</f>
        <v>585000</v>
      </c>
      <c r="U33" s="45">
        <f t="shared" ref="U33:V33" si="2">SUM(U34:U51)</f>
        <v>585000</v>
      </c>
      <c r="V33" s="45">
        <f t="shared" si="2"/>
        <v>585000</v>
      </c>
      <c r="W33" s="45">
        <f t="shared" ref="W33:X33" si="3">SUM(W34:W51)</f>
        <v>585000</v>
      </c>
      <c r="X33" s="45">
        <f t="shared" si="3"/>
        <v>585000</v>
      </c>
      <c r="Y33" s="45">
        <f t="shared" ref="Y33" si="4">SUM(Y34:Y51)</f>
        <v>585000</v>
      </c>
    </row>
    <row r="34" spans="1:25" ht="12.75" hidden="1" customHeight="1" outlineLevel="1" x14ac:dyDescent="0.2">
      <c r="A34" s="234" t="s">
        <v>346</v>
      </c>
      <c r="B34" s="235">
        <v>650</v>
      </c>
      <c r="C34" s="45"/>
      <c r="D34" s="236"/>
      <c r="E34" s="45"/>
      <c r="F34" s="236">
        <v>4382.2900000000009</v>
      </c>
      <c r="G34" s="45"/>
      <c r="H34" s="45"/>
      <c r="I34" s="401"/>
      <c r="J34" s="530"/>
      <c r="K34" s="45"/>
      <c r="L34" s="45"/>
      <c r="M34" s="45">
        <v>350000</v>
      </c>
      <c r="N34" s="45">
        <v>350000</v>
      </c>
      <c r="O34" s="45">
        <v>350000</v>
      </c>
      <c r="P34" s="45">
        <v>350000</v>
      </c>
      <c r="Q34" s="45">
        <v>350000</v>
      </c>
      <c r="R34" s="45">
        <v>350000</v>
      </c>
      <c r="S34" s="45">
        <v>350000</v>
      </c>
      <c r="T34" s="45">
        <v>350000</v>
      </c>
      <c r="U34" s="45">
        <v>350000</v>
      </c>
      <c r="V34" s="45">
        <v>350000</v>
      </c>
      <c r="W34" s="45">
        <v>350000</v>
      </c>
      <c r="X34" s="45">
        <v>350000</v>
      </c>
      <c r="Y34" s="45">
        <v>350000</v>
      </c>
    </row>
    <row r="35" spans="1:25" ht="12.75" hidden="1" customHeight="1" outlineLevel="1" x14ac:dyDescent="0.2">
      <c r="A35" s="232" t="s">
        <v>35</v>
      </c>
      <c r="B35" s="51">
        <v>651</v>
      </c>
      <c r="C35" s="45">
        <v>250000</v>
      </c>
      <c r="D35" s="84">
        <v>12883.2</v>
      </c>
      <c r="E35" s="45">
        <v>54815</v>
      </c>
      <c r="F35" s="84">
        <f>56606.42-840</f>
        <v>55766.42</v>
      </c>
      <c r="G35" s="45">
        <v>38000</v>
      </c>
      <c r="H35" s="45">
        <f>'Summer ''14 REVISED'!D56</f>
        <v>38654.450000000004</v>
      </c>
      <c r="I35" s="401">
        <f>'Summer ''15 (FY15_16)'!C75</f>
        <v>22392.559999999998</v>
      </c>
      <c r="J35" s="531">
        <f>'Summer ''15 (FY15_16)'!D75</f>
        <v>19608.02</v>
      </c>
      <c r="K35" s="45">
        <f>'Summer ''16 REVISED'!C65</f>
        <v>16302</v>
      </c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2.75" hidden="1" customHeight="1" outlineLevel="1" x14ac:dyDescent="0.2">
      <c r="A36" s="232" t="s">
        <v>347</v>
      </c>
      <c r="B36" s="51">
        <v>651</v>
      </c>
      <c r="C36" s="45"/>
      <c r="D36" s="84"/>
      <c r="E36" s="45"/>
      <c r="F36" s="84">
        <v>840</v>
      </c>
      <c r="G36" s="45"/>
      <c r="H36" s="45"/>
      <c r="I36" s="401"/>
      <c r="J36" s="531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2.75" hidden="1" customHeight="1" outlineLevel="1" x14ac:dyDescent="0.2">
      <c r="A37" s="52" t="s">
        <v>36</v>
      </c>
      <c r="B37" s="53">
        <v>652</v>
      </c>
      <c r="C37" s="45"/>
      <c r="D37" s="95">
        <v>17163.07</v>
      </c>
      <c r="E37" s="45">
        <v>78000</v>
      </c>
      <c r="F37" s="85">
        <v>51770.75</v>
      </c>
      <c r="G37" s="45">
        <v>16000</v>
      </c>
      <c r="H37" s="45">
        <f>'Summer ''14 REVISED'!D57</f>
        <v>5074.95</v>
      </c>
      <c r="I37" s="401">
        <f>'Summer ''15 (FY15_16)'!C76</f>
        <v>26500</v>
      </c>
      <c r="J37" s="531">
        <f>'Summer ''15 (FY15_16)'!D76</f>
        <v>27181.079999999998</v>
      </c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2.75" hidden="1" customHeight="1" outlineLevel="1" x14ac:dyDescent="0.2">
      <c r="A38" s="54" t="s">
        <v>37</v>
      </c>
      <c r="B38" s="53">
        <v>652</v>
      </c>
      <c r="C38" s="45"/>
      <c r="D38" s="85">
        <v>148910.57</v>
      </c>
      <c r="E38" s="45">
        <v>184000</v>
      </c>
      <c r="F38" s="85">
        <v>183119.56</v>
      </c>
      <c r="G38" s="45">
        <v>186000</v>
      </c>
      <c r="H38" s="45">
        <f>'Summer ''14 REVISED'!D58</f>
        <v>185415.3</v>
      </c>
      <c r="I38" s="401">
        <f>'Summer ''15 (FY15_16)'!C77</f>
        <v>120628.83</v>
      </c>
      <c r="J38" s="531">
        <f>'Summer ''15 (FY15_16)'!D77</f>
        <v>120347.94999999998</v>
      </c>
      <c r="K38" s="45">
        <f>'Summer ''16 REVISED'!C66</f>
        <v>8935.5199999999986</v>
      </c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2.75" hidden="1" customHeight="1" outlineLevel="1" x14ac:dyDescent="0.2">
      <c r="A39" s="54" t="s">
        <v>38</v>
      </c>
      <c r="B39" s="53">
        <v>652</v>
      </c>
      <c r="C39" s="45"/>
      <c r="D39" s="110">
        <v>0</v>
      </c>
      <c r="E39" s="45">
        <v>10000</v>
      </c>
      <c r="F39" s="85">
        <v>0</v>
      </c>
      <c r="G39" s="45">
        <v>91000</v>
      </c>
      <c r="H39" s="45">
        <f>'Summer ''14 REVISED'!D59</f>
        <v>90562</v>
      </c>
      <c r="I39" s="401">
        <f>'Summer ''15 (FY15_16)'!C78</f>
        <v>139250.72</v>
      </c>
      <c r="J39" s="531">
        <f>'Summer ''15 (FY15_16)'!D78</f>
        <v>139250.72</v>
      </c>
      <c r="K39" s="45">
        <f>'Summer ''16 REVISED'!C67</f>
        <v>148567.98000000001</v>
      </c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2.75" hidden="1" customHeight="1" outlineLevel="1" x14ac:dyDescent="0.2">
      <c r="A40" s="105" t="s">
        <v>348</v>
      </c>
      <c r="B40" s="53">
        <v>652</v>
      </c>
      <c r="C40" s="45"/>
      <c r="D40" s="110"/>
      <c r="E40" s="45"/>
      <c r="F40" s="85">
        <v>9773.11</v>
      </c>
      <c r="G40" s="45">
        <f>-'Summer ''14 REVISED'!H48</f>
        <v>-62000</v>
      </c>
      <c r="H40" s="45"/>
      <c r="I40" s="401"/>
      <c r="J40" s="531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hidden="1" customHeight="1" outlineLevel="1" x14ac:dyDescent="0.2">
      <c r="A41" s="54" t="s">
        <v>39</v>
      </c>
      <c r="B41" s="53">
        <v>652</v>
      </c>
      <c r="C41" s="45"/>
      <c r="D41" s="110">
        <v>0</v>
      </c>
      <c r="E41" s="45">
        <v>50000</v>
      </c>
      <c r="F41" s="85">
        <v>0</v>
      </c>
      <c r="G41" s="45"/>
      <c r="H41" s="45">
        <v>1981.29</v>
      </c>
      <c r="I41" s="401">
        <f>'Summer ''15 (FY15_16)'!C79</f>
        <v>11884.036500000002</v>
      </c>
      <c r="J41" s="531">
        <f>'Summer ''15 (FY15_16)'!D79</f>
        <v>16211.32</v>
      </c>
      <c r="K41" s="45"/>
      <c r="L41" s="45"/>
      <c r="M41" s="45"/>
      <c r="N41" s="45">
        <v>50000</v>
      </c>
      <c r="O41" s="45"/>
      <c r="P41" s="45">
        <v>50000</v>
      </c>
      <c r="Q41" s="45">
        <v>50000</v>
      </c>
      <c r="R41" s="45">
        <v>50000</v>
      </c>
      <c r="S41" s="45">
        <v>50000</v>
      </c>
      <c r="T41" s="45">
        <v>50000</v>
      </c>
      <c r="U41" s="45">
        <v>50000</v>
      </c>
      <c r="V41" s="45">
        <v>50000</v>
      </c>
      <c r="W41" s="45">
        <v>50000</v>
      </c>
      <c r="X41" s="45">
        <v>50000</v>
      </c>
      <c r="Y41" s="45">
        <v>50000</v>
      </c>
    </row>
    <row r="42" spans="1:25" ht="12.75" hidden="1" customHeight="1" outlineLevel="1" x14ac:dyDescent="0.2">
      <c r="A42" s="105" t="s">
        <v>44</v>
      </c>
      <c r="B42" s="53">
        <v>652</v>
      </c>
      <c r="C42" s="45"/>
      <c r="D42" s="85">
        <v>2055</v>
      </c>
      <c r="E42" s="45">
        <v>50000</v>
      </c>
      <c r="F42" s="85">
        <v>57751.040000000001</v>
      </c>
      <c r="G42" s="45"/>
      <c r="H42" s="45"/>
      <c r="I42" s="401">
        <f>'Summer ''15 (FY15_16)'!C81</f>
        <v>19008.849999999999</v>
      </c>
      <c r="J42" s="531">
        <f>'Summer ''15 (FY15_16)'!D80</f>
        <v>2690</v>
      </c>
      <c r="K42" s="45">
        <f>'Summer ''16 REVISED'!C70</f>
        <v>4500</v>
      </c>
      <c r="L42" s="45"/>
      <c r="M42" s="45">
        <v>75000</v>
      </c>
      <c r="N42" s="45">
        <v>75000</v>
      </c>
      <c r="O42" s="45">
        <v>75000</v>
      </c>
      <c r="P42" s="45">
        <v>75000</v>
      </c>
      <c r="Q42" s="45">
        <v>75000</v>
      </c>
      <c r="R42" s="45">
        <v>75000</v>
      </c>
      <c r="S42" s="45">
        <v>75000</v>
      </c>
      <c r="T42" s="45">
        <v>75000</v>
      </c>
      <c r="U42" s="45">
        <v>75000</v>
      </c>
      <c r="V42" s="45">
        <v>75000</v>
      </c>
      <c r="W42" s="45">
        <v>75000</v>
      </c>
      <c r="X42" s="45">
        <v>75000</v>
      </c>
      <c r="Y42" s="45">
        <v>75000</v>
      </c>
    </row>
    <row r="43" spans="1:25" ht="12.75" hidden="1" customHeight="1" outlineLevel="1" x14ac:dyDescent="0.2">
      <c r="A43" s="54" t="s">
        <v>40</v>
      </c>
      <c r="B43" s="53">
        <v>652</v>
      </c>
      <c r="C43" s="45"/>
      <c r="D43" s="85">
        <v>2199.98</v>
      </c>
      <c r="E43" s="45">
        <v>100000</v>
      </c>
      <c r="F43" s="85"/>
      <c r="G43" s="45">
        <v>5000</v>
      </c>
      <c r="H43" s="45"/>
      <c r="I43" s="401"/>
      <c r="J43" s="531"/>
      <c r="K43" s="45"/>
      <c r="L43" s="45"/>
      <c r="M43" s="45"/>
      <c r="N43" s="45">
        <v>100000</v>
      </c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2.75" hidden="1" customHeight="1" outlineLevel="1" x14ac:dyDescent="0.2">
      <c r="A44" s="54" t="s">
        <v>41</v>
      </c>
      <c r="B44" s="53">
        <v>652</v>
      </c>
      <c r="C44" s="45"/>
      <c r="D44" s="110">
        <v>0</v>
      </c>
      <c r="E44" s="45">
        <v>52000</v>
      </c>
      <c r="F44" s="85">
        <v>5254</v>
      </c>
      <c r="G44" s="45">
        <v>18000</v>
      </c>
      <c r="H44" s="45"/>
      <c r="I44" s="401">
        <f>'Summer ''15 (FY15_16)'!C82</f>
        <v>32450</v>
      </c>
      <c r="J44" s="531">
        <f>'Summer ''15 (FY15_16)'!D82</f>
        <v>21921.040000000001</v>
      </c>
      <c r="K44" s="45">
        <f>'Summer ''16 REVISED'!C72</f>
        <v>20961.5</v>
      </c>
      <c r="L44" s="45"/>
      <c r="M44" s="45">
        <v>5000</v>
      </c>
      <c r="N44" s="45">
        <v>5000</v>
      </c>
      <c r="O44" s="45">
        <v>5000</v>
      </c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2.75" hidden="1" customHeight="1" outlineLevel="1" x14ac:dyDescent="0.2">
      <c r="A45" s="105" t="s">
        <v>163</v>
      </c>
      <c r="B45" s="53">
        <v>652</v>
      </c>
      <c r="C45" s="45"/>
      <c r="D45" s="110"/>
      <c r="E45" s="45">
        <v>15000</v>
      </c>
      <c r="F45" s="85">
        <v>19539</v>
      </c>
      <c r="G45" s="45"/>
      <c r="H45" s="45"/>
      <c r="I45" s="401"/>
      <c r="J45" s="531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2.75" hidden="1" customHeight="1" outlineLevel="1" x14ac:dyDescent="0.2">
      <c r="A46" s="105" t="s">
        <v>387</v>
      </c>
      <c r="B46" s="53"/>
      <c r="C46" s="45"/>
      <c r="D46" s="110"/>
      <c r="E46" s="45"/>
      <c r="F46" s="85"/>
      <c r="G46" s="45"/>
      <c r="H46" s="45"/>
      <c r="I46" s="401"/>
      <c r="J46" s="531"/>
      <c r="K46" s="45"/>
      <c r="L46" s="45"/>
      <c r="M46" s="45">
        <v>35000</v>
      </c>
      <c r="N46" s="45">
        <v>35000</v>
      </c>
      <c r="O46" s="45">
        <v>35000</v>
      </c>
      <c r="P46" s="45">
        <v>35000</v>
      </c>
      <c r="Q46" s="45">
        <v>35000</v>
      </c>
      <c r="R46" s="45">
        <v>35000</v>
      </c>
      <c r="S46" s="45">
        <v>35000</v>
      </c>
      <c r="T46" s="45">
        <v>35000</v>
      </c>
      <c r="U46" s="45">
        <v>35000</v>
      </c>
      <c r="V46" s="45">
        <v>35000</v>
      </c>
      <c r="W46" s="45">
        <v>35000</v>
      </c>
      <c r="X46" s="45">
        <v>35000</v>
      </c>
      <c r="Y46" s="45">
        <v>35000</v>
      </c>
    </row>
    <row r="47" spans="1:25" ht="12.75" hidden="1" customHeight="1" outlineLevel="1" x14ac:dyDescent="0.2">
      <c r="A47" s="55" t="s">
        <v>42</v>
      </c>
      <c r="B47" s="56">
        <v>734</v>
      </c>
      <c r="C47" s="45">
        <v>150000</v>
      </c>
      <c r="D47" s="86">
        <v>104535.8</v>
      </c>
      <c r="E47" s="45"/>
      <c r="F47" s="86">
        <f>390+87968</f>
        <v>88358</v>
      </c>
      <c r="G47" s="45"/>
      <c r="H47" s="45"/>
      <c r="I47" s="401"/>
      <c r="J47" s="531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2.75" hidden="1" customHeight="1" outlineLevel="1" x14ac:dyDescent="0.2">
      <c r="A48" s="57" t="s">
        <v>43</v>
      </c>
      <c r="B48" s="56">
        <v>734</v>
      </c>
      <c r="C48" s="45"/>
      <c r="D48" s="86">
        <v>15507.38</v>
      </c>
      <c r="E48" s="45">
        <v>10000</v>
      </c>
      <c r="F48" s="86">
        <v>11494</v>
      </c>
      <c r="G48" s="45">
        <v>58000</v>
      </c>
      <c r="H48" s="45">
        <f>'Summer ''14 REVISED'!D65</f>
        <v>7037.93</v>
      </c>
      <c r="I48" s="401">
        <f>'Summer ''15 (FY15_16)'!C84</f>
        <v>59000</v>
      </c>
      <c r="J48" s="531">
        <f>'Summer ''15 (FY15_16)'!D84</f>
        <v>27616.93</v>
      </c>
      <c r="K48" s="45">
        <f>'Summer ''16 REVISED'!C74</f>
        <v>164000</v>
      </c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hidden="1" customHeight="1" outlineLevel="1" x14ac:dyDescent="0.2">
      <c r="A49" s="233" t="s">
        <v>349</v>
      </c>
      <c r="B49" s="237" t="s">
        <v>350</v>
      </c>
      <c r="C49" s="45"/>
      <c r="D49" s="110"/>
      <c r="E49" s="45">
        <v>140000</v>
      </c>
      <c r="F49" s="86">
        <v>20000</v>
      </c>
      <c r="G49" s="45">
        <v>138343</v>
      </c>
      <c r="H49" s="45"/>
      <c r="I49" s="401">
        <v>75000</v>
      </c>
      <c r="J49" s="531">
        <f>'Summer ''15 (FY15_16)'!D85</f>
        <v>21540</v>
      </c>
      <c r="K49" s="45"/>
      <c r="L49" s="45"/>
      <c r="M49" s="45">
        <v>75000</v>
      </c>
      <c r="N49" s="45">
        <v>75000</v>
      </c>
      <c r="O49" s="45">
        <v>75000</v>
      </c>
      <c r="P49" s="45">
        <v>75000</v>
      </c>
      <c r="Q49" s="45">
        <v>75000</v>
      </c>
      <c r="R49" s="45">
        <v>75000</v>
      </c>
      <c r="S49" s="45">
        <v>75000</v>
      </c>
      <c r="T49" s="45">
        <v>75000</v>
      </c>
      <c r="U49" s="45">
        <v>75000</v>
      </c>
      <c r="V49" s="45">
        <v>75000</v>
      </c>
      <c r="W49" s="45">
        <v>75000</v>
      </c>
      <c r="X49" s="45">
        <v>75000</v>
      </c>
      <c r="Y49" s="45">
        <v>75000</v>
      </c>
    </row>
    <row r="50" spans="1:25" ht="12.75" hidden="1" customHeight="1" outlineLevel="1" x14ac:dyDescent="0.2">
      <c r="A50" s="58" t="s">
        <v>45</v>
      </c>
      <c r="B50" s="59">
        <v>735</v>
      </c>
      <c r="C50" s="45"/>
      <c r="D50" s="87">
        <v>6749.5</v>
      </c>
      <c r="E50" s="45"/>
      <c r="F50" s="87">
        <v>0</v>
      </c>
      <c r="G50" s="45"/>
      <c r="H50" s="45"/>
      <c r="I50" s="401">
        <f>'Summer ''15 (FY15_16)'!C86</f>
        <v>17000</v>
      </c>
      <c r="J50" s="530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6" customHeight="1" collapsed="1" x14ac:dyDescent="0.2">
      <c r="A51" s="49"/>
      <c r="B51" s="50"/>
      <c r="C51" s="45"/>
      <c r="D51" s="83"/>
      <c r="E51" s="45"/>
      <c r="F51" s="83"/>
      <c r="G51" s="45"/>
      <c r="H51" s="45"/>
      <c r="I51" s="401"/>
      <c r="J51" s="530"/>
      <c r="K51" s="45"/>
      <c r="L51" s="45"/>
      <c r="M51" s="45"/>
      <c r="N51" s="45"/>
      <c r="O51" s="45"/>
      <c r="P51" s="45"/>
      <c r="Q51" s="549"/>
      <c r="R51" s="549"/>
      <c r="S51" s="549"/>
      <c r="T51" s="549"/>
      <c r="U51" s="549"/>
      <c r="V51" s="549"/>
      <c r="W51" s="549"/>
      <c r="X51" s="549"/>
      <c r="Y51" s="549"/>
    </row>
    <row r="52" spans="1:25" ht="13.5" thickBot="1" x14ac:dyDescent="0.25">
      <c r="A52" s="60" t="s">
        <v>46</v>
      </c>
      <c r="B52" s="61"/>
      <c r="C52" s="62">
        <f t="shared" ref="C52:Y52" si="5">SUM(C4:C33)</f>
        <v>662000</v>
      </c>
      <c r="D52" s="89">
        <f t="shared" si="5"/>
        <v>549876.87</v>
      </c>
      <c r="E52" s="62">
        <f t="shared" si="5"/>
        <v>743815</v>
      </c>
      <c r="F52" s="89">
        <f t="shared" si="5"/>
        <v>508048.17</v>
      </c>
      <c r="G52" s="62">
        <f t="shared" si="5"/>
        <v>488343</v>
      </c>
      <c r="H52" s="89">
        <f t="shared" si="5"/>
        <v>328725.91999999993</v>
      </c>
      <c r="I52" s="469">
        <f t="shared" si="5"/>
        <v>548114.99649999989</v>
      </c>
      <c r="J52" s="534">
        <f t="shared" si="5"/>
        <v>396367</v>
      </c>
      <c r="K52" s="62">
        <f t="shared" si="5"/>
        <v>363267</v>
      </c>
      <c r="L52" s="62">
        <f t="shared" si="5"/>
        <v>308969.87</v>
      </c>
      <c r="M52" s="62">
        <f t="shared" si="5"/>
        <v>424203</v>
      </c>
      <c r="N52" s="62">
        <f t="shared" si="5"/>
        <v>623904</v>
      </c>
      <c r="O52" s="62">
        <f t="shared" si="5"/>
        <v>1387479</v>
      </c>
      <c r="P52" s="62">
        <f t="shared" si="5"/>
        <v>1221295</v>
      </c>
      <c r="Q52" s="62">
        <f t="shared" si="5"/>
        <v>2446000</v>
      </c>
      <c r="R52" s="62">
        <f t="shared" si="5"/>
        <v>1239535</v>
      </c>
      <c r="S52" s="62">
        <f t="shared" si="5"/>
        <v>924000</v>
      </c>
      <c r="T52" s="62">
        <f t="shared" si="5"/>
        <v>2535000</v>
      </c>
      <c r="U52" s="62">
        <f t="shared" si="5"/>
        <v>3435000</v>
      </c>
      <c r="V52" s="62">
        <f t="shared" si="5"/>
        <v>2835000</v>
      </c>
      <c r="W52" s="62">
        <f t="shared" si="5"/>
        <v>2835000</v>
      </c>
      <c r="X52" s="62">
        <f t="shared" si="5"/>
        <v>2835000</v>
      </c>
      <c r="Y52" s="62">
        <f t="shared" si="5"/>
        <v>2835000</v>
      </c>
    </row>
    <row r="53" spans="1:25" s="6" customFormat="1" ht="15" customHeight="1" thickBot="1" x14ac:dyDescent="0.25">
      <c r="A53" s="98"/>
      <c r="I53" s="459"/>
      <c r="J53" s="535"/>
      <c r="Q53" s="552"/>
      <c r="R53" s="552"/>
      <c r="S53" s="552"/>
      <c r="T53" s="554"/>
      <c r="U53" s="554"/>
      <c r="V53" s="554"/>
      <c r="W53" s="554"/>
      <c r="X53" s="554"/>
      <c r="Y53" s="554"/>
    </row>
    <row r="54" spans="1:25" s="6" customFormat="1" ht="15" customHeight="1" x14ac:dyDescent="0.2">
      <c r="A54" s="98"/>
      <c r="I54" s="459"/>
      <c r="J54" s="535"/>
      <c r="Q54" s="554"/>
      <c r="R54" s="554"/>
      <c r="S54" s="554"/>
      <c r="T54" s="554"/>
      <c r="U54" s="554"/>
      <c r="V54" s="554"/>
      <c r="W54" s="554"/>
      <c r="X54" s="554"/>
      <c r="Y54" s="554"/>
    </row>
    <row r="55" spans="1:25" s="6" customFormat="1" ht="15" customHeight="1" x14ac:dyDescent="0.2">
      <c r="A55" s="98"/>
      <c r="I55" s="459"/>
      <c r="J55" s="535"/>
      <c r="Q55" s="554"/>
      <c r="R55" s="554"/>
      <c r="S55" s="554"/>
      <c r="T55" s="554"/>
      <c r="U55" s="554"/>
      <c r="V55" s="554"/>
      <c r="W55" s="554"/>
      <c r="X55" s="554"/>
      <c r="Y55" s="554"/>
    </row>
    <row r="56" spans="1:25" s="6" customFormat="1" ht="15" customHeight="1" x14ac:dyDescent="0.2">
      <c r="A56" s="98"/>
      <c r="I56" s="459"/>
      <c r="J56" s="535"/>
      <c r="Q56" s="554"/>
      <c r="R56" s="554"/>
      <c r="S56" s="554"/>
      <c r="T56" s="554"/>
      <c r="U56" s="554"/>
      <c r="V56" s="554"/>
      <c r="W56" s="554"/>
      <c r="X56" s="554"/>
      <c r="Y56" s="554"/>
    </row>
    <row r="57" spans="1:25" s="6" customFormat="1" ht="15" customHeight="1" thickBot="1" x14ac:dyDescent="0.25">
      <c r="A57" s="98"/>
      <c r="I57" s="459"/>
      <c r="J57" s="535"/>
      <c r="Q57" s="554"/>
      <c r="R57" s="554"/>
      <c r="S57" s="554"/>
      <c r="T57" s="555"/>
      <c r="U57" s="555"/>
      <c r="V57" s="555"/>
      <c r="W57" s="555"/>
      <c r="X57" s="555"/>
      <c r="Y57" s="555"/>
    </row>
    <row r="58" spans="1:25" x14ac:dyDescent="0.2">
      <c r="A58" s="63" t="s">
        <v>47</v>
      </c>
      <c r="B58" s="64"/>
      <c r="C58" s="65"/>
      <c r="D58" s="64"/>
      <c r="E58" s="65"/>
      <c r="F58" s="64"/>
      <c r="G58" s="65"/>
      <c r="H58" s="65"/>
      <c r="I58" s="470"/>
      <c r="J58" s="536"/>
      <c r="K58" s="65"/>
      <c r="L58" s="65"/>
      <c r="M58" s="65"/>
      <c r="N58" s="65"/>
      <c r="O58" s="65"/>
      <c r="P58" s="65"/>
    </row>
    <row r="59" spans="1:25" ht="12.75" customHeight="1" x14ac:dyDescent="0.2">
      <c r="A59" s="548" t="s">
        <v>620</v>
      </c>
      <c r="B59" s="41"/>
      <c r="C59" s="43"/>
      <c r="D59" s="94"/>
      <c r="E59" s="43"/>
      <c r="F59" s="94"/>
      <c r="G59" s="43"/>
      <c r="H59" s="88"/>
      <c r="I59" s="468"/>
      <c r="J59" s="532"/>
      <c r="K59" s="43"/>
      <c r="L59" s="43"/>
      <c r="M59" s="43"/>
      <c r="N59" s="43"/>
      <c r="O59" s="43"/>
      <c r="P59" s="43"/>
      <c r="Q59" s="43"/>
      <c r="R59" s="556"/>
      <c r="S59" s="556">
        <v>10000</v>
      </c>
      <c r="T59" s="557">
        <v>40000</v>
      </c>
      <c r="U59" s="556">
        <v>50000</v>
      </c>
      <c r="V59" s="556">
        <v>50000</v>
      </c>
      <c r="W59" s="556">
        <v>50000</v>
      </c>
      <c r="X59" s="556">
        <v>50000</v>
      </c>
      <c r="Y59" s="556">
        <v>50000</v>
      </c>
    </row>
    <row r="60" spans="1:25" ht="12.75" customHeight="1" x14ac:dyDescent="0.2">
      <c r="A60" s="548" t="s">
        <v>624</v>
      </c>
      <c r="B60" s="41"/>
      <c r="C60" s="43"/>
      <c r="D60" s="94"/>
      <c r="E60" s="43"/>
      <c r="F60" s="94"/>
      <c r="G60" s="43"/>
      <c r="H60" s="88"/>
      <c r="I60" s="468"/>
      <c r="J60" s="532"/>
      <c r="K60" s="43"/>
      <c r="L60" s="43"/>
      <c r="M60" s="43"/>
      <c r="N60" s="43"/>
      <c r="O60" s="43"/>
      <c r="P60" s="43"/>
      <c r="Q60" s="43"/>
      <c r="R60" s="556"/>
      <c r="S60" s="556"/>
      <c r="T60" s="557"/>
      <c r="U60" s="556">
        <v>300000</v>
      </c>
      <c r="V60" s="556"/>
      <c r="W60" s="556"/>
      <c r="X60" s="556"/>
      <c r="Y60" s="556"/>
    </row>
    <row r="61" spans="1:25" ht="12.75" customHeight="1" x14ac:dyDescent="0.2">
      <c r="A61" s="548"/>
      <c r="B61" s="41"/>
      <c r="C61" s="43"/>
      <c r="D61" s="94"/>
      <c r="E61" s="43"/>
      <c r="F61" s="94"/>
      <c r="G61" s="43"/>
      <c r="H61" s="88"/>
      <c r="I61" s="468"/>
      <c r="J61" s="532"/>
      <c r="K61" s="43"/>
      <c r="L61" s="43"/>
      <c r="M61" s="43"/>
      <c r="N61" s="43"/>
      <c r="O61" s="43"/>
      <c r="P61" s="43"/>
      <c r="Q61" s="43"/>
      <c r="R61" s="556"/>
      <c r="S61" s="556"/>
      <c r="T61" s="557"/>
      <c r="U61" s="556"/>
      <c r="V61" s="556"/>
      <c r="W61" s="556"/>
      <c r="X61" s="556"/>
      <c r="Y61" s="556"/>
    </row>
    <row r="62" spans="1:25" ht="12.75" customHeight="1" x14ac:dyDescent="0.2">
      <c r="A62" s="40"/>
      <c r="B62" s="41"/>
      <c r="C62" s="43"/>
      <c r="D62" s="94"/>
      <c r="E62" s="43"/>
      <c r="F62" s="94"/>
      <c r="G62" s="43"/>
      <c r="H62" s="88"/>
      <c r="I62" s="468"/>
      <c r="J62" s="532"/>
      <c r="K62" s="43"/>
      <c r="L62" s="43"/>
      <c r="M62" s="43"/>
      <c r="N62" s="43"/>
      <c r="O62" s="43"/>
      <c r="P62" s="43"/>
      <c r="Q62" s="43"/>
      <c r="R62" s="556"/>
      <c r="S62" s="556"/>
      <c r="T62" s="557"/>
      <c r="U62" s="556"/>
      <c r="V62" s="556"/>
      <c r="W62" s="556"/>
      <c r="X62" s="556"/>
      <c r="Y62" s="556"/>
    </row>
    <row r="63" spans="1:25" ht="6" customHeight="1" x14ac:dyDescent="0.2">
      <c r="A63" s="40"/>
      <c r="B63" s="41"/>
      <c r="C63" s="43"/>
      <c r="D63" s="94"/>
      <c r="E63" s="43"/>
      <c r="F63" s="94"/>
      <c r="G63" s="43"/>
      <c r="H63" s="88"/>
      <c r="I63" s="468"/>
      <c r="J63" s="532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3.5" thickBot="1" x14ac:dyDescent="0.25">
      <c r="A64" s="60" t="s">
        <v>48</v>
      </c>
      <c r="B64" s="61"/>
      <c r="C64" s="66">
        <f>SUM(C59:C59)</f>
        <v>0</v>
      </c>
      <c r="D64" s="91"/>
      <c r="E64" s="66">
        <f>SUM(E59:E59)</f>
        <v>0</v>
      </c>
      <c r="F64" s="91"/>
      <c r="G64" s="66">
        <f>SUM(G59:G59)</f>
        <v>0</v>
      </c>
      <c r="H64" s="394"/>
      <c r="I64" s="471">
        <f t="shared" ref="I64:T64" si="6">SUM(I59:I59)</f>
        <v>0</v>
      </c>
      <c r="J64" s="471">
        <f t="shared" si="6"/>
        <v>0</v>
      </c>
      <c r="K64" s="66">
        <f t="shared" si="6"/>
        <v>0</v>
      </c>
      <c r="L64" s="66">
        <f t="shared" si="6"/>
        <v>0</v>
      </c>
      <c r="M64" s="66">
        <f t="shared" si="6"/>
        <v>0</v>
      </c>
      <c r="N64" s="66">
        <f t="shared" si="6"/>
        <v>0</v>
      </c>
      <c r="O64" s="66">
        <f t="shared" si="6"/>
        <v>0</v>
      </c>
      <c r="P64" s="66">
        <f t="shared" si="6"/>
        <v>0</v>
      </c>
      <c r="Q64" s="66">
        <f t="shared" si="6"/>
        <v>0</v>
      </c>
      <c r="R64" s="66">
        <f t="shared" si="6"/>
        <v>0</v>
      </c>
      <c r="S64" s="66">
        <f t="shared" si="6"/>
        <v>10000</v>
      </c>
      <c r="T64" s="66">
        <f t="shared" si="6"/>
        <v>40000</v>
      </c>
      <c r="U64" s="66">
        <f>SUM(U59:U63)</f>
        <v>350000</v>
      </c>
      <c r="V64" s="66">
        <f>SUM(V59:V59)</f>
        <v>50000</v>
      </c>
      <c r="W64" s="66">
        <f>SUM(W59:W59)</f>
        <v>50000</v>
      </c>
      <c r="X64" s="66">
        <f>SUM(X59:X59)</f>
        <v>50000</v>
      </c>
      <c r="Y64" s="66">
        <f>SUM(Y59:Y59)</f>
        <v>50000</v>
      </c>
    </row>
    <row r="65" spans="1:25" hidden="1" x14ac:dyDescent="0.2">
      <c r="A65" s="67" t="s">
        <v>49</v>
      </c>
      <c r="B65" s="68"/>
      <c r="C65" s="65"/>
      <c r="D65" s="68"/>
      <c r="E65" s="65"/>
      <c r="F65" s="68"/>
      <c r="G65" s="65"/>
      <c r="H65" s="65"/>
      <c r="I65" s="470"/>
      <c r="J65" s="536"/>
      <c r="K65" s="65"/>
      <c r="L65" s="65"/>
      <c r="M65" s="65"/>
      <c r="N65" s="65"/>
      <c r="O65" s="65"/>
      <c r="P65" s="65"/>
    </row>
    <row r="66" spans="1:25" ht="6" hidden="1" customHeight="1" x14ac:dyDescent="0.2">
      <c r="A66" s="69"/>
      <c r="B66" s="70"/>
      <c r="C66" s="70"/>
      <c r="D66" s="70"/>
      <c r="E66" s="70"/>
      <c r="F66" s="70"/>
      <c r="G66" s="70"/>
      <c r="H66" s="70"/>
      <c r="I66" s="472"/>
      <c r="J66" s="537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</row>
    <row r="67" spans="1:25" ht="12.75" hidden="1" customHeight="1" outlineLevel="1" x14ac:dyDescent="0.2">
      <c r="A67" s="71" t="s">
        <v>50</v>
      </c>
      <c r="B67" s="72" t="s">
        <v>51</v>
      </c>
      <c r="C67" s="73"/>
      <c r="D67" s="73"/>
      <c r="E67" s="73"/>
      <c r="F67" s="73"/>
      <c r="G67" s="73"/>
      <c r="H67" s="73"/>
      <c r="I67" s="402"/>
      <c r="J67" s="538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</row>
    <row r="68" spans="1:25" ht="12.75" hidden="1" customHeight="1" outlineLevel="1" x14ac:dyDescent="0.2">
      <c r="A68" s="103" t="s">
        <v>137</v>
      </c>
      <c r="B68" s="75"/>
      <c r="C68" s="73">
        <f>SUM(C69:C73)</f>
        <v>41100</v>
      </c>
      <c r="D68" s="113">
        <f>SUM(D69:D73)</f>
        <v>39536.519999999997</v>
      </c>
      <c r="E68" s="73"/>
      <c r="F68" s="141">
        <f>SUM(F69:F73)</f>
        <v>0</v>
      </c>
      <c r="G68" s="73"/>
      <c r="H68" s="73"/>
      <c r="I68" s="402"/>
      <c r="J68" s="538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ht="12.75" hidden="1" customHeight="1" outlineLevel="1" x14ac:dyDescent="0.2">
      <c r="A69" s="74" t="s">
        <v>52</v>
      </c>
      <c r="B69" s="47" t="s">
        <v>53</v>
      </c>
      <c r="C69" s="76"/>
      <c r="D69" s="90">
        <f>369.6</f>
        <v>369.6</v>
      </c>
      <c r="E69" s="76"/>
      <c r="F69" s="109">
        <v>0</v>
      </c>
      <c r="G69" s="76"/>
      <c r="H69" s="76"/>
      <c r="I69" s="473"/>
      <c r="J69" s="539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</row>
    <row r="70" spans="1:25" ht="12.75" hidden="1" customHeight="1" outlineLevel="1" x14ac:dyDescent="0.2">
      <c r="A70" s="74" t="s">
        <v>57</v>
      </c>
      <c r="B70" s="47" t="s">
        <v>58</v>
      </c>
      <c r="C70" s="76">
        <v>40000</v>
      </c>
      <c r="D70" s="90">
        <v>39166.92</v>
      </c>
      <c r="E70" s="76"/>
      <c r="F70" s="109">
        <v>0</v>
      </c>
      <c r="G70" s="76"/>
      <c r="H70" s="76"/>
      <c r="I70" s="473"/>
      <c r="J70" s="539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</row>
    <row r="71" spans="1:25" ht="12.75" hidden="1" customHeight="1" outlineLevel="1" x14ac:dyDescent="0.2">
      <c r="A71" s="74" t="s">
        <v>55</v>
      </c>
      <c r="B71" s="47" t="s">
        <v>56</v>
      </c>
      <c r="C71" s="76"/>
      <c r="D71" s="90">
        <v>0</v>
      </c>
      <c r="E71" s="76"/>
      <c r="F71" s="109">
        <v>0</v>
      </c>
      <c r="G71" s="76"/>
      <c r="H71" s="76"/>
      <c r="I71" s="473"/>
      <c r="J71" s="539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</row>
    <row r="72" spans="1:25" ht="12.75" hidden="1" customHeight="1" outlineLevel="1" x14ac:dyDescent="0.2">
      <c r="A72" s="103" t="s">
        <v>117</v>
      </c>
      <c r="B72" s="47" t="s">
        <v>54</v>
      </c>
      <c r="C72" s="76">
        <v>1000</v>
      </c>
      <c r="D72" s="90">
        <v>0</v>
      </c>
      <c r="E72" s="76"/>
      <c r="F72" s="109">
        <v>0</v>
      </c>
      <c r="G72" s="76"/>
      <c r="H72" s="76"/>
      <c r="I72" s="473"/>
      <c r="J72" s="539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</row>
    <row r="73" spans="1:25" ht="12.75" hidden="1" customHeight="1" outlineLevel="1" x14ac:dyDescent="0.2">
      <c r="A73" s="74" t="s">
        <v>59</v>
      </c>
      <c r="B73" s="44" t="s">
        <v>60</v>
      </c>
      <c r="C73" s="76">
        <v>100</v>
      </c>
      <c r="D73" s="90"/>
      <c r="E73" s="76"/>
      <c r="F73" s="109">
        <v>0</v>
      </c>
      <c r="G73" s="76"/>
      <c r="H73" s="76"/>
      <c r="I73" s="473"/>
      <c r="J73" s="539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</row>
    <row r="74" spans="1:25" ht="6" hidden="1" customHeight="1" outlineLevel="1" x14ac:dyDescent="0.2">
      <c r="A74" s="74"/>
      <c r="B74" s="44"/>
      <c r="C74" s="76"/>
      <c r="D74" s="44"/>
      <c r="E74" s="76"/>
      <c r="F74" s="112"/>
      <c r="G74" s="76"/>
      <c r="H74" s="76"/>
      <c r="I74" s="473"/>
      <c r="J74" s="539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</row>
    <row r="75" spans="1:25" ht="12.75" hidden="1" customHeight="1" outlineLevel="1" x14ac:dyDescent="0.2">
      <c r="A75" s="103" t="s">
        <v>138</v>
      </c>
      <c r="B75" s="47"/>
      <c r="C75" s="73">
        <f>SUM(C76:C81)</f>
        <v>1485100</v>
      </c>
      <c r="D75" s="113">
        <f>SUM(D76:D81)</f>
        <v>1484114.68</v>
      </c>
      <c r="E75" s="76"/>
      <c r="F75" s="141">
        <f>SUM(F76:F81)</f>
        <v>0</v>
      </c>
      <c r="G75" s="73"/>
      <c r="H75" s="73"/>
      <c r="I75" s="402"/>
      <c r="J75" s="538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</row>
    <row r="76" spans="1:25" ht="12.75" hidden="1" customHeight="1" outlineLevel="1" x14ac:dyDescent="0.2">
      <c r="A76" s="74" t="s">
        <v>61</v>
      </c>
      <c r="B76" s="47" t="s">
        <v>62</v>
      </c>
      <c r="C76" s="76">
        <v>126100</v>
      </c>
      <c r="D76" s="90">
        <v>75654.25</v>
      </c>
      <c r="E76" s="76"/>
      <c r="F76" s="109">
        <v>0</v>
      </c>
      <c r="G76" s="76"/>
      <c r="H76" s="76"/>
      <c r="I76" s="473"/>
      <c r="J76" s="539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</row>
    <row r="77" spans="1:25" ht="12.75" hidden="1" customHeight="1" outlineLevel="1" x14ac:dyDescent="0.2">
      <c r="A77" s="74" t="s">
        <v>67</v>
      </c>
      <c r="B77" s="47" t="s">
        <v>68</v>
      </c>
      <c r="C77" s="76">
        <v>270000</v>
      </c>
      <c r="D77" s="90">
        <v>293565.39</v>
      </c>
      <c r="E77" s="76"/>
      <c r="F77" s="109">
        <v>0</v>
      </c>
      <c r="G77" s="76"/>
      <c r="H77" s="76"/>
      <c r="I77" s="473"/>
      <c r="J77" s="539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</row>
    <row r="78" spans="1:25" ht="12.75" hidden="1" customHeight="1" outlineLevel="1" x14ac:dyDescent="0.2">
      <c r="A78" s="74" t="s">
        <v>65</v>
      </c>
      <c r="B78" s="47" t="s">
        <v>66</v>
      </c>
      <c r="C78" s="76">
        <v>528000</v>
      </c>
      <c r="D78" s="90">
        <v>589132.21</v>
      </c>
      <c r="E78" s="76"/>
      <c r="F78" s="109">
        <v>0</v>
      </c>
      <c r="G78" s="76"/>
      <c r="H78" s="76"/>
      <c r="I78" s="473"/>
      <c r="J78" s="539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</row>
    <row r="79" spans="1:25" ht="12.75" hidden="1" customHeight="1" outlineLevel="1" x14ac:dyDescent="0.2">
      <c r="A79" s="103" t="s">
        <v>118</v>
      </c>
      <c r="B79" s="47" t="s">
        <v>64</v>
      </c>
      <c r="C79" s="76">
        <v>418000</v>
      </c>
      <c r="D79" s="90">
        <v>57056.1</v>
      </c>
      <c r="E79" s="76"/>
      <c r="F79" s="109">
        <v>0</v>
      </c>
      <c r="G79" s="76"/>
      <c r="H79" s="76"/>
      <c r="I79" s="473"/>
      <c r="J79" s="539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</row>
    <row r="80" spans="1:25" ht="12.75" hidden="1" customHeight="1" outlineLevel="1" x14ac:dyDescent="0.2">
      <c r="A80" s="103" t="s">
        <v>63</v>
      </c>
      <c r="B80" s="101" t="s">
        <v>107</v>
      </c>
      <c r="C80" s="76"/>
      <c r="D80" s="90">
        <v>468706.73</v>
      </c>
      <c r="E80" s="76"/>
      <c r="F80" s="109">
        <v>0</v>
      </c>
      <c r="G80" s="76"/>
      <c r="H80" s="76"/>
      <c r="I80" s="473"/>
      <c r="J80" s="539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</row>
    <row r="81" spans="1:25" ht="12.75" hidden="1" customHeight="1" outlineLevel="1" x14ac:dyDescent="0.2">
      <c r="A81" s="74" t="s">
        <v>69</v>
      </c>
      <c r="B81" s="44" t="s">
        <v>70</v>
      </c>
      <c r="C81" s="76">
        <f>32000+63000+48000</f>
        <v>143000</v>
      </c>
      <c r="D81" s="90"/>
      <c r="E81" s="76"/>
      <c r="F81" s="109"/>
      <c r="G81" s="76"/>
      <c r="H81" s="76"/>
      <c r="I81" s="473"/>
      <c r="J81" s="539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</row>
    <row r="82" spans="1:25" ht="6" hidden="1" customHeight="1" outlineLevel="1" x14ac:dyDescent="0.2">
      <c r="A82" s="74"/>
      <c r="B82" s="44"/>
      <c r="C82" s="76"/>
      <c r="D82" s="44"/>
      <c r="E82" s="76"/>
      <c r="F82" s="112"/>
      <c r="G82" s="76"/>
      <c r="H82" s="76"/>
      <c r="I82" s="473"/>
      <c r="J82" s="539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</row>
    <row r="83" spans="1:25" ht="12.75" hidden="1" customHeight="1" outlineLevel="1" x14ac:dyDescent="0.2">
      <c r="A83" s="103" t="s">
        <v>154</v>
      </c>
      <c r="B83" s="47"/>
      <c r="C83" s="73">
        <f>SUM(C84:C89)</f>
        <v>139000</v>
      </c>
      <c r="D83" s="113">
        <f>SUM(D84:D89)</f>
        <v>528024.81000000006</v>
      </c>
      <c r="E83" s="76"/>
      <c r="F83" s="141">
        <f>SUM(F84:F89)</f>
        <v>0</v>
      </c>
      <c r="G83" s="45"/>
      <c r="H83" s="45"/>
      <c r="I83" s="401"/>
      <c r="J83" s="530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</row>
    <row r="84" spans="1:25" ht="12.75" hidden="1" customHeight="1" outlineLevel="1" x14ac:dyDescent="0.2">
      <c r="A84" s="103" t="s">
        <v>130</v>
      </c>
      <c r="B84" s="101" t="s">
        <v>94</v>
      </c>
      <c r="C84" s="45"/>
      <c r="D84" s="90">
        <v>15.85</v>
      </c>
      <c r="E84" s="76"/>
      <c r="F84" s="109">
        <v>0</v>
      </c>
      <c r="G84" s="45"/>
      <c r="H84" s="45"/>
      <c r="I84" s="401"/>
      <c r="J84" s="530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</row>
    <row r="85" spans="1:25" ht="12.75" hidden="1" customHeight="1" outlineLevel="1" x14ac:dyDescent="0.2">
      <c r="A85" s="74" t="s">
        <v>75</v>
      </c>
      <c r="B85" s="47" t="s">
        <v>76</v>
      </c>
      <c r="C85" s="45"/>
      <c r="D85" s="90">
        <v>6477.46</v>
      </c>
      <c r="E85" s="76"/>
      <c r="F85" s="109">
        <v>0</v>
      </c>
      <c r="G85" s="45"/>
      <c r="H85" s="45"/>
      <c r="I85" s="401"/>
      <c r="J85" s="530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</row>
    <row r="86" spans="1:25" ht="12.75" hidden="1" customHeight="1" outlineLevel="1" x14ac:dyDescent="0.2">
      <c r="A86" s="74" t="s">
        <v>73</v>
      </c>
      <c r="B86" s="47" t="s">
        <v>74</v>
      </c>
      <c r="C86" s="45"/>
      <c r="D86" s="90">
        <v>-52392.11</v>
      </c>
      <c r="E86" s="76"/>
      <c r="F86" s="109">
        <v>0</v>
      </c>
      <c r="G86" s="45"/>
      <c r="H86" s="45"/>
      <c r="I86" s="401"/>
      <c r="J86" s="530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</row>
    <row r="87" spans="1:25" ht="12.75" hidden="1" customHeight="1" outlineLevel="1" x14ac:dyDescent="0.2">
      <c r="A87" s="103" t="s">
        <v>119</v>
      </c>
      <c r="B87" s="47" t="s">
        <v>71</v>
      </c>
      <c r="C87" s="45"/>
      <c r="D87" s="90">
        <v>83025.27</v>
      </c>
      <c r="E87" s="76"/>
      <c r="F87" s="109">
        <v>0</v>
      </c>
      <c r="G87" s="45"/>
      <c r="H87" s="45"/>
      <c r="I87" s="401"/>
      <c r="J87" s="530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</row>
    <row r="88" spans="1:25" ht="12.75" hidden="1" customHeight="1" outlineLevel="1" x14ac:dyDescent="0.2">
      <c r="A88" s="74" t="s">
        <v>72</v>
      </c>
      <c r="B88" s="101" t="s">
        <v>115</v>
      </c>
      <c r="C88" s="45"/>
      <c r="D88" s="90">
        <v>490898.34</v>
      </c>
      <c r="E88" s="76"/>
      <c r="F88" s="109">
        <v>0</v>
      </c>
      <c r="G88" s="45"/>
      <c r="H88" s="45"/>
      <c r="I88" s="401"/>
      <c r="J88" s="530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</row>
    <row r="89" spans="1:25" ht="12.75" hidden="1" customHeight="1" outlineLevel="1" x14ac:dyDescent="0.2">
      <c r="A89" s="103" t="s">
        <v>123</v>
      </c>
      <c r="B89" s="44" t="s">
        <v>77</v>
      </c>
      <c r="C89" s="45">
        <v>139000</v>
      </c>
      <c r="D89" s="90"/>
      <c r="E89" s="76"/>
      <c r="F89" s="109"/>
      <c r="G89" s="45"/>
      <c r="H89" s="45"/>
      <c r="I89" s="401"/>
      <c r="J89" s="530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</row>
    <row r="90" spans="1:25" ht="6" hidden="1" customHeight="1" outlineLevel="1" x14ac:dyDescent="0.2">
      <c r="A90" s="74"/>
      <c r="B90" s="44"/>
      <c r="C90" s="45"/>
      <c r="D90" s="44"/>
      <c r="E90" s="76"/>
      <c r="F90" s="112"/>
      <c r="G90" s="45"/>
      <c r="H90" s="45"/>
      <c r="I90" s="401"/>
      <c r="J90" s="530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</row>
    <row r="91" spans="1:25" ht="12.75" hidden="1" customHeight="1" outlineLevel="1" x14ac:dyDescent="0.2">
      <c r="A91" s="103" t="s">
        <v>155</v>
      </c>
      <c r="B91" s="47"/>
      <c r="C91" s="73"/>
      <c r="D91" s="113">
        <f>SUM(D92:D97)</f>
        <v>125128.98</v>
      </c>
      <c r="E91" s="73"/>
      <c r="F91" s="141">
        <f>SUM(F92:F97)</f>
        <v>0</v>
      </c>
      <c r="G91" s="45"/>
      <c r="H91" s="45"/>
      <c r="I91" s="401"/>
      <c r="J91" s="530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</row>
    <row r="92" spans="1:25" ht="12.75" hidden="1" customHeight="1" outlineLevel="1" x14ac:dyDescent="0.2">
      <c r="A92" s="103" t="s">
        <v>130</v>
      </c>
      <c r="B92" s="101" t="s">
        <v>124</v>
      </c>
      <c r="C92" s="73"/>
      <c r="D92" s="90">
        <v>222.26</v>
      </c>
      <c r="E92" s="73"/>
      <c r="F92" s="109">
        <v>0</v>
      </c>
      <c r="G92" s="45"/>
      <c r="H92" s="45"/>
      <c r="I92" s="401"/>
      <c r="J92" s="530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</row>
    <row r="93" spans="1:25" ht="12" hidden="1" customHeight="1" outlineLevel="1" x14ac:dyDescent="0.2">
      <c r="A93" s="74" t="s">
        <v>75</v>
      </c>
      <c r="B93" s="101" t="s">
        <v>125</v>
      </c>
      <c r="C93" s="73"/>
      <c r="D93" s="90"/>
      <c r="E93" s="73"/>
      <c r="F93" s="109">
        <v>0</v>
      </c>
      <c r="G93" s="45"/>
      <c r="H93" s="45"/>
      <c r="I93" s="401"/>
      <c r="J93" s="530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</row>
    <row r="94" spans="1:25" ht="12.75" hidden="1" customHeight="1" outlineLevel="1" x14ac:dyDescent="0.2">
      <c r="A94" s="74" t="s">
        <v>73</v>
      </c>
      <c r="B94" s="101" t="s">
        <v>126</v>
      </c>
      <c r="C94" s="73"/>
      <c r="D94" s="90"/>
      <c r="E94" s="73"/>
      <c r="F94" s="109">
        <v>0</v>
      </c>
      <c r="G94" s="45"/>
      <c r="H94" s="45"/>
      <c r="I94" s="401"/>
      <c r="J94" s="530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</row>
    <row r="95" spans="1:25" ht="12.75" hidden="1" customHeight="1" outlineLevel="1" x14ac:dyDescent="0.2">
      <c r="A95" s="103" t="s">
        <v>119</v>
      </c>
      <c r="B95" s="101" t="s">
        <v>127</v>
      </c>
      <c r="C95" s="73"/>
      <c r="D95" s="90">
        <v>54522.93</v>
      </c>
      <c r="E95" s="73"/>
      <c r="F95" s="109">
        <v>0</v>
      </c>
      <c r="G95" s="45"/>
      <c r="H95" s="45"/>
      <c r="I95" s="401"/>
      <c r="J95" s="530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</row>
    <row r="96" spans="1:25" ht="12.75" hidden="1" customHeight="1" outlineLevel="1" x14ac:dyDescent="0.2">
      <c r="A96" s="74" t="s">
        <v>72</v>
      </c>
      <c r="B96" s="101" t="s">
        <v>128</v>
      </c>
      <c r="C96" s="73"/>
      <c r="D96" s="90">
        <v>70383.789999999994</v>
      </c>
      <c r="E96" s="73"/>
      <c r="F96" s="109">
        <v>0</v>
      </c>
      <c r="G96" s="45"/>
      <c r="H96" s="45"/>
      <c r="I96" s="401"/>
      <c r="J96" s="530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</row>
    <row r="97" spans="1:25" ht="12.75" hidden="1" customHeight="1" outlineLevel="1" x14ac:dyDescent="0.2">
      <c r="A97" s="103" t="s">
        <v>123</v>
      </c>
      <c r="B97" s="99" t="s">
        <v>129</v>
      </c>
      <c r="C97" s="73"/>
      <c r="D97" s="90"/>
      <c r="E97" s="73"/>
      <c r="F97" s="109">
        <v>0</v>
      </c>
      <c r="G97" s="45"/>
      <c r="H97" s="45"/>
      <c r="I97" s="401"/>
      <c r="J97" s="530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</row>
    <row r="98" spans="1:25" ht="6" hidden="1" customHeight="1" outlineLevel="1" x14ac:dyDescent="0.2">
      <c r="A98" s="74"/>
      <c r="B98" s="44"/>
      <c r="C98" s="45"/>
      <c r="D98" s="44"/>
      <c r="E98" s="45"/>
      <c r="F98" s="112"/>
      <c r="G98" s="45"/>
      <c r="H98" s="45"/>
      <c r="I98" s="401"/>
      <c r="J98" s="530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</row>
    <row r="99" spans="1:25" ht="12.75" hidden="1" customHeight="1" outlineLevel="1" x14ac:dyDescent="0.2">
      <c r="A99" s="103" t="s">
        <v>156</v>
      </c>
      <c r="B99" s="47"/>
      <c r="C99" s="73"/>
      <c r="D99" s="113">
        <f>SUM(D100:D105)</f>
        <v>1500</v>
      </c>
      <c r="E99" s="73"/>
      <c r="F99" s="141">
        <f>SUM(F100:F105)</f>
        <v>0</v>
      </c>
      <c r="G99" s="45"/>
      <c r="H99" s="45"/>
      <c r="I99" s="401"/>
      <c r="J99" s="530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</row>
    <row r="100" spans="1:25" ht="12.75" hidden="1" customHeight="1" outlineLevel="1" x14ac:dyDescent="0.2">
      <c r="A100" s="103" t="s">
        <v>130</v>
      </c>
      <c r="B100" s="101" t="s">
        <v>131</v>
      </c>
      <c r="C100" s="73"/>
      <c r="D100" s="90"/>
      <c r="E100" s="73"/>
      <c r="F100" s="109">
        <v>0</v>
      </c>
      <c r="G100" s="45"/>
      <c r="H100" s="45"/>
      <c r="I100" s="401"/>
      <c r="J100" s="530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</row>
    <row r="101" spans="1:25" ht="12" hidden="1" customHeight="1" outlineLevel="1" x14ac:dyDescent="0.2">
      <c r="A101" s="74" t="s">
        <v>75</v>
      </c>
      <c r="B101" s="101" t="s">
        <v>132</v>
      </c>
      <c r="C101" s="73"/>
      <c r="D101" s="90"/>
      <c r="E101" s="73"/>
      <c r="F101" s="109">
        <v>0</v>
      </c>
      <c r="G101" s="45"/>
      <c r="H101" s="45"/>
      <c r="I101" s="401"/>
      <c r="J101" s="530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</row>
    <row r="102" spans="1:25" ht="12.75" hidden="1" customHeight="1" outlineLevel="1" x14ac:dyDescent="0.2">
      <c r="A102" s="74" t="s">
        <v>73</v>
      </c>
      <c r="B102" s="101" t="s">
        <v>133</v>
      </c>
      <c r="C102" s="73"/>
      <c r="D102" s="90"/>
      <c r="E102" s="73"/>
      <c r="F102" s="109">
        <v>0</v>
      </c>
      <c r="G102" s="45"/>
      <c r="H102" s="45"/>
      <c r="I102" s="401"/>
      <c r="J102" s="530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</row>
    <row r="103" spans="1:25" ht="12.75" hidden="1" customHeight="1" outlineLevel="1" x14ac:dyDescent="0.2">
      <c r="A103" s="103" t="s">
        <v>119</v>
      </c>
      <c r="B103" s="101" t="s">
        <v>134</v>
      </c>
      <c r="C103" s="73"/>
      <c r="D103" s="90"/>
      <c r="E103" s="73"/>
      <c r="F103" s="109">
        <v>0</v>
      </c>
      <c r="G103" s="45"/>
      <c r="H103" s="45"/>
      <c r="I103" s="401"/>
      <c r="J103" s="530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</row>
    <row r="104" spans="1:25" ht="12.75" hidden="1" customHeight="1" outlineLevel="1" x14ac:dyDescent="0.2">
      <c r="A104" s="74" t="s">
        <v>72</v>
      </c>
      <c r="B104" s="101" t="s">
        <v>135</v>
      </c>
      <c r="C104" s="73"/>
      <c r="D104" s="90">
        <v>1500</v>
      </c>
      <c r="E104" s="73"/>
      <c r="F104" s="109">
        <v>0</v>
      </c>
      <c r="G104" s="45"/>
      <c r="H104" s="45"/>
      <c r="I104" s="401"/>
      <c r="J104" s="530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</row>
    <row r="105" spans="1:25" ht="12.75" hidden="1" customHeight="1" outlineLevel="1" x14ac:dyDescent="0.2">
      <c r="A105" s="103" t="s">
        <v>123</v>
      </c>
      <c r="B105" s="99" t="s">
        <v>136</v>
      </c>
      <c r="C105" s="73"/>
      <c r="D105" s="90"/>
      <c r="E105" s="73"/>
      <c r="F105" s="109">
        <v>0</v>
      </c>
      <c r="G105" s="45"/>
      <c r="H105" s="45"/>
      <c r="I105" s="401"/>
      <c r="J105" s="530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</row>
    <row r="106" spans="1:25" ht="6" hidden="1" customHeight="1" outlineLevel="1" x14ac:dyDescent="0.2">
      <c r="A106" s="74"/>
      <c r="B106" s="44"/>
      <c r="C106" s="45"/>
      <c r="D106" s="44"/>
      <c r="E106" s="73"/>
      <c r="F106" s="112"/>
      <c r="G106" s="45"/>
      <c r="H106" s="45"/>
      <c r="I106" s="401"/>
      <c r="J106" s="530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</row>
    <row r="107" spans="1:25" ht="12.75" hidden="1" customHeight="1" outlineLevel="1" x14ac:dyDescent="0.2">
      <c r="A107" s="103" t="s">
        <v>157</v>
      </c>
      <c r="B107" s="47"/>
      <c r="C107" s="73"/>
      <c r="D107" s="113">
        <f>SUM(D108:D113)</f>
        <v>17187.960000000003</v>
      </c>
      <c r="E107" s="73"/>
      <c r="F107" s="141">
        <f>SUM(F108:F113)</f>
        <v>0</v>
      </c>
      <c r="G107" s="45"/>
      <c r="H107" s="45"/>
      <c r="I107" s="401"/>
      <c r="J107" s="530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</row>
    <row r="108" spans="1:25" ht="12.75" hidden="1" customHeight="1" outlineLevel="1" x14ac:dyDescent="0.2">
      <c r="A108" s="103" t="s">
        <v>80</v>
      </c>
      <c r="B108" s="99" t="s">
        <v>95</v>
      </c>
      <c r="C108" s="45"/>
      <c r="D108" s="90">
        <v>650</v>
      </c>
      <c r="E108" s="73"/>
      <c r="F108" s="109">
        <v>0</v>
      </c>
      <c r="G108" s="45"/>
      <c r="H108" s="45"/>
      <c r="I108" s="401"/>
      <c r="J108" s="530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</row>
    <row r="109" spans="1:25" ht="12" hidden="1" customHeight="1" outlineLevel="1" x14ac:dyDescent="0.2">
      <c r="A109" s="74" t="s">
        <v>83</v>
      </c>
      <c r="B109" s="101" t="s">
        <v>98</v>
      </c>
      <c r="C109" s="45"/>
      <c r="D109" s="90">
        <v>0</v>
      </c>
      <c r="E109" s="73"/>
      <c r="F109" s="109">
        <v>0</v>
      </c>
      <c r="G109" s="45"/>
      <c r="H109" s="45"/>
      <c r="I109" s="401"/>
      <c r="J109" s="530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</row>
    <row r="110" spans="1:25" ht="12.75" hidden="1" customHeight="1" outlineLevel="1" x14ac:dyDescent="0.2">
      <c r="A110" s="74" t="s">
        <v>82</v>
      </c>
      <c r="B110" s="101" t="s">
        <v>97</v>
      </c>
      <c r="C110" s="45"/>
      <c r="D110" s="90">
        <v>0</v>
      </c>
      <c r="E110" s="73"/>
      <c r="F110" s="109">
        <v>0</v>
      </c>
      <c r="G110" s="45"/>
      <c r="H110" s="45"/>
      <c r="I110" s="401"/>
      <c r="J110" s="530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</row>
    <row r="111" spans="1:25" ht="12.75" hidden="1" customHeight="1" outlineLevel="1" x14ac:dyDescent="0.2">
      <c r="A111" s="103" t="s">
        <v>121</v>
      </c>
      <c r="B111" s="101" t="s">
        <v>96</v>
      </c>
      <c r="C111" s="45"/>
      <c r="D111" s="90">
        <v>16486.72</v>
      </c>
      <c r="E111" s="73"/>
      <c r="F111" s="109">
        <v>0</v>
      </c>
      <c r="G111" s="45"/>
      <c r="H111" s="45"/>
      <c r="I111" s="401"/>
      <c r="J111" s="530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</row>
    <row r="112" spans="1:25" ht="12.75" hidden="1" customHeight="1" outlineLevel="1" x14ac:dyDescent="0.2">
      <c r="A112" s="103" t="s">
        <v>81</v>
      </c>
      <c r="B112" s="101" t="s">
        <v>116</v>
      </c>
      <c r="C112" s="45"/>
      <c r="D112" s="90">
        <v>51.24</v>
      </c>
      <c r="E112" s="73"/>
      <c r="F112" s="109">
        <v>0</v>
      </c>
      <c r="G112" s="45"/>
      <c r="H112" s="45"/>
      <c r="I112" s="401"/>
      <c r="J112" s="530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</row>
    <row r="113" spans="1:25" ht="12.75" hidden="1" customHeight="1" outlineLevel="1" x14ac:dyDescent="0.2">
      <c r="A113" s="74" t="s">
        <v>84</v>
      </c>
      <c r="B113" s="99" t="s">
        <v>99</v>
      </c>
      <c r="C113" s="45"/>
      <c r="D113" s="90"/>
      <c r="E113" s="73"/>
      <c r="F113" s="109">
        <v>0</v>
      </c>
      <c r="G113" s="45"/>
      <c r="H113" s="45"/>
      <c r="I113" s="401"/>
      <c r="J113" s="530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</row>
    <row r="114" spans="1:25" ht="6" hidden="1" customHeight="1" outlineLevel="1" x14ac:dyDescent="0.2">
      <c r="A114" s="74"/>
      <c r="B114" s="44"/>
      <c r="C114" s="45"/>
      <c r="D114" s="44"/>
      <c r="E114" s="73"/>
      <c r="F114" s="112"/>
      <c r="G114" s="45"/>
      <c r="H114" s="45"/>
      <c r="I114" s="401"/>
      <c r="J114" s="530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</row>
    <row r="115" spans="1:25" ht="12.75" hidden="1" customHeight="1" outlineLevel="1" x14ac:dyDescent="0.2">
      <c r="A115" s="103" t="s">
        <v>158</v>
      </c>
      <c r="B115" s="47"/>
      <c r="C115" s="73">
        <f>SUM(C116:C118)</f>
        <v>400000</v>
      </c>
      <c r="D115" s="113">
        <f>SUM(D116:D118)</f>
        <v>391490.7</v>
      </c>
      <c r="E115" s="73"/>
      <c r="F115" s="141">
        <f>SUM(F116:F118)</f>
        <v>0</v>
      </c>
      <c r="G115" s="45"/>
      <c r="H115" s="45"/>
      <c r="I115" s="401"/>
      <c r="J115" s="530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</row>
    <row r="116" spans="1:25" ht="12.75" hidden="1" customHeight="1" outlineLevel="1" x14ac:dyDescent="0.2">
      <c r="A116" s="74" t="s">
        <v>79</v>
      </c>
      <c r="B116" s="100" t="s">
        <v>122</v>
      </c>
      <c r="C116" s="45">
        <v>400000</v>
      </c>
      <c r="D116" s="92">
        <v>210</v>
      </c>
      <c r="E116" s="73"/>
      <c r="F116" s="142">
        <v>0</v>
      </c>
      <c r="G116" s="45"/>
      <c r="H116" s="45"/>
      <c r="I116" s="401"/>
      <c r="J116" s="530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</row>
    <row r="117" spans="1:25" ht="12.75" hidden="1" customHeight="1" outlineLevel="1" x14ac:dyDescent="0.2">
      <c r="A117" s="74" t="s">
        <v>78</v>
      </c>
      <c r="B117" s="99" t="s">
        <v>101</v>
      </c>
      <c r="C117" s="45"/>
      <c r="D117" s="90">
        <v>391280.7</v>
      </c>
      <c r="E117" s="73"/>
      <c r="F117" s="109">
        <v>0</v>
      </c>
      <c r="G117" s="45"/>
      <c r="H117" s="45"/>
      <c r="I117" s="401"/>
      <c r="J117" s="530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</row>
    <row r="118" spans="1:25" ht="12.75" hidden="1" customHeight="1" outlineLevel="1" x14ac:dyDescent="0.2">
      <c r="A118" s="103" t="s">
        <v>120</v>
      </c>
      <c r="B118" s="100" t="s">
        <v>100</v>
      </c>
      <c r="C118" s="45"/>
      <c r="D118" s="90"/>
      <c r="E118" s="73"/>
      <c r="F118" s="109">
        <v>0</v>
      </c>
      <c r="G118" s="45"/>
      <c r="H118" s="45"/>
      <c r="I118" s="401"/>
      <c r="J118" s="530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</row>
    <row r="119" spans="1:25" ht="6" hidden="1" customHeight="1" outlineLevel="1" x14ac:dyDescent="0.2">
      <c r="A119" s="74"/>
      <c r="B119" s="44"/>
      <c r="C119" s="45"/>
      <c r="D119" s="44"/>
      <c r="E119" s="73"/>
      <c r="F119" s="112"/>
      <c r="G119" s="45"/>
      <c r="H119" s="45"/>
      <c r="I119" s="401"/>
      <c r="J119" s="530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</row>
    <row r="120" spans="1:25" ht="12.75" hidden="1" customHeight="1" outlineLevel="1" x14ac:dyDescent="0.2">
      <c r="A120" s="103" t="s">
        <v>143</v>
      </c>
      <c r="B120" s="101"/>
      <c r="C120" s="73">
        <v>0</v>
      </c>
      <c r="D120" s="113">
        <f>SUM(D121:D121)</f>
        <v>1784.31</v>
      </c>
      <c r="E120" s="73"/>
      <c r="F120" s="141">
        <f>SUM(F121:F121)</f>
        <v>0</v>
      </c>
      <c r="G120" s="45"/>
      <c r="H120" s="45"/>
      <c r="I120" s="401"/>
      <c r="J120" s="530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</row>
    <row r="121" spans="1:25" ht="12.75" hidden="1" customHeight="1" outlineLevel="1" x14ac:dyDescent="0.2">
      <c r="A121" s="102" t="s">
        <v>109</v>
      </c>
      <c r="B121" s="101" t="s">
        <v>110</v>
      </c>
      <c r="C121" s="45"/>
      <c r="D121" s="90">
        <v>1784.31</v>
      </c>
      <c r="E121" s="73"/>
      <c r="F121" s="109">
        <v>0</v>
      </c>
      <c r="G121" s="45"/>
      <c r="H121" s="45"/>
      <c r="I121" s="401"/>
      <c r="J121" s="530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</row>
    <row r="122" spans="1:25" ht="6" hidden="1" customHeight="1" outlineLevel="1" x14ac:dyDescent="0.2">
      <c r="A122" s="74"/>
      <c r="B122" s="44"/>
      <c r="C122" s="45"/>
      <c r="D122" s="44"/>
      <c r="E122" s="73"/>
      <c r="F122" s="112"/>
      <c r="G122" s="45"/>
      <c r="H122" s="45"/>
      <c r="I122" s="401"/>
      <c r="J122" s="530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</row>
    <row r="123" spans="1:25" ht="12.75" hidden="1" customHeight="1" outlineLevel="1" x14ac:dyDescent="0.2">
      <c r="A123" s="103" t="s">
        <v>108</v>
      </c>
      <c r="B123" s="101" t="s">
        <v>105</v>
      </c>
      <c r="C123" s="73">
        <f>SUM(C124:C126)</f>
        <v>141000</v>
      </c>
      <c r="D123" s="113">
        <f>SUM(D124:D126)</f>
        <v>87260.83</v>
      </c>
      <c r="E123" s="73"/>
      <c r="F123" s="141">
        <f>SUM(F124:F126)</f>
        <v>0</v>
      </c>
      <c r="G123" s="45"/>
      <c r="H123" s="45"/>
      <c r="I123" s="401"/>
      <c r="J123" s="530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</row>
    <row r="124" spans="1:25" ht="12.75" hidden="1" customHeight="1" outlineLevel="1" x14ac:dyDescent="0.2">
      <c r="A124" s="49" t="s">
        <v>86</v>
      </c>
      <c r="B124" s="99" t="s">
        <v>103</v>
      </c>
      <c r="C124" s="45">
        <v>93000</v>
      </c>
      <c r="D124" s="90">
        <v>51330.09</v>
      </c>
      <c r="E124" s="73"/>
      <c r="F124" s="109">
        <v>0</v>
      </c>
      <c r="G124" s="45"/>
      <c r="H124" s="45"/>
      <c r="I124" s="401"/>
      <c r="J124" s="530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</row>
    <row r="125" spans="1:25" ht="12.75" hidden="1" customHeight="1" outlineLevel="1" x14ac:dyDescent="0.2">
      <c r="A125" s="49" t="s">
        <v>86</v>
      </c>
      <c r="B125" s="99" t="s">
        <v>104</v>
      </c>
      <c r="C125" s="45">
        <v>48000</v>
      </c>
      <c r="D125" s="90">
        <v>35719.160000000003</v>
      </c>
      <c r="E125" s="73"/>
      <c r="F125" s="109">
        <v>0</v>
      </c>
      <c r="G125" s="45"/>
      <c r="H125" s="45"/>
      <c r="I125" s="401"/>
      <c r="J125" s="530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</row>
    <row r="126" spans="1:25" ht="12.75" hidden="1" customHeight="1" outlineLevel="1" x14ac:dyDescent="0.2">
      <c r="A126" s="102" t="s">
        <v>86</v>
      </c>
      <c r="B126" s="99" t="s">
        <v>106</v>
      </c>
      <c r="C126" s="45">
        <v>0</v>
      </c>
      <c r="D126" s="90">
        <v>211.58</v>
      </c>
      <c r="E126" s="73"/>
      <c r="F126" s="109">
        <v>0</v>
      </c>
      <c r="G126" s="45"/>
      <c r="H126" s="45"/>
      <c r="I126" s="401"/>
      <c r="J126" s="530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</row>
    <row r="127" spans="1:25" ht="6" hidden="1" customHeight="1" collapsed="1" x14ac:dyDescent="0.2">
      <c r="A127" s="74"/>
      <c r="B127" s="44"/>
      <c r="C127" s="45"/>
      <c r="D127" s="45"/>
      <c r="E127" s="45"/>
      <c r="F127" s="45"/>
      <c r="G127" s="45"/>
      <c r="H127" s="45"/>
      <c r="I127" s="401"/>
      <c r="J127" s="530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</row>
    <row r="128" spans="1:25" hidden="1" x14ac:dyDescent="0.2">
      <c r="A128" s="77" t="s">
        <v>111</v>
      </c>
      <c r="B128" s="78"/>
      <c r="C128" s="45"/>
      <c r="D128" s="45"/>
      <c r="E128" s="45"/>
      <c r="F128" s="45"/>
      <c r="G128" s="45"/>
      <c r="H128" s="45"/>
      <c r="I128" s="401"/>
      <c r="J128" s="530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</row>
    <row r="129" spans="1:25" hidden="1" outlineLevel="1" x14ac:dyDescent="0.2">
      <c r="A129" s="103" t="s">
        <v>138</v>
      </c>
      <c r="B129" s="47"/>
      <c r="C129" s="73"/>
      <c r="D129" s="45"/>
      <c r="E129" s="73">
        <f>SUM(E130:E135)</f>
        <v>4834</v>
      </c>
      <c r="F129" s="113">
        <f>SUM(F130:F135)</f>
        <v>4834</v>
      </c>
      <c r="G129" s="73"/>
      <c r="H129" s="73"/>
      <c r="I129" s="402"/>
      <c r="J129" s="538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</row>
    <row r="130" spans="1:25" ht="12.75" hidden="1" customHeight="1" outlineLevel="1" x14ac:dyDescent="0.2">
      <c r="A130" s="74" t="s">
        <v>61</v>
      </c>
      <c r="B130" s="47" t="s">
        <v>62</v>
      </c>
      <c r="C130" s="76"/>
      <c r="D130" s="45"/>
      <c r="E130" s="76"/>
      <c r="F130" s="90">
        <v>0</v>
      </c>
      <c r="G130" s="76"/>
      <c r="H130" s="76"/>
      <c r="I130" s="473"/>
      <c r="J130" s="539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</row>
    <row r="131" spans="1:25" ht="12.75" hidden="1" customHeight="1" outlineLevel="1" x14ac:dyDescent="0.2">
      <c r="A131" s="74" t="s">
        <v>67</v>
      </c>
      <c r="B131" s="47" t="s">
        <v>68</v>
      </c>
      <c r="C131" s="76"/>
      <c r="D131" s="45"/>
      <c r="E131" s="76"/>
      <c r="F131" s="90">
        <v>0</v>
      </c>
      <c r="G131" s="76"/>
      <c r="H131" s="76"/>
      <c r="I131" s="473"/>
      <c r="J131" s="539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</row>
    <row r="132" spans="1:25" ht="12.75" hidden="1" customHeight="1" outlineLevel="1" x14ac:dyDescent="0.2">
      <c r="A132" s="74" t="s">
        <v>65</v>
      </c>
      <c r="B132" s="47" t="s">
        <v>66</v>
      </c>
      <c r="C132" s="76"/>
      <c r="D132" s="45"/>
      <c r="E132" s="76"/>
      <c r="F132" s="90">
        <v>0</v>
      </c>
      <c r="G132" s="76"/>
      <c r="H132" s="76"/>
      <c r="I132" s="473"/>
      <c r="J132" s="539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</row>
    <row r="133" spans="1:25" ht="12.75" hidden="1" customHeight="1" outlineLevel="1" x14ac:dyDescent="0.2">
      <c r="A133" s="103" t="s">
        <v>118</v>
      </c>
      <c r="B133" s="47" t="s">
        <v>64</v>
      </c>
      <c r="C133" s="76"/>
      <c r="D133" s="45"/>
      <c r="E133" s="45">
        <v>4834</v>
      </c>
      <c r="F133" s="90">
        <v>0</v>
      </c>
      <c r="G133" s="76"/>
      <c r="H133" s="76"/>
      <c r="I133" s="473"/>
      <c r="J133" s="539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</row>
    <row r="134" spans="1:25" ht="12.75" hidden="1" customHeight="1" outlineLevel="1" x14ac:dyDescent="0.2">
      <c r="A134" s="103" t="s">
        <v>63</v>
      </c>
      <c r="B134" s="101" t="s">
        <v>107</v>
      </c>
      <c r="C134" s="76"/>
      <c r="D134" s="45"/>
      <c r="E134" s="76"/>
      <c r="F134" s="90">
        <v>4834</v>
      </c>
      <c r="G134" s="76"/>
      <c r="H134" s="76"/>
      <c r="I134" s="473"/>
      <c r="J134" s="539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</row>
    <row r="135" spans="1:25" ht="12.75" hidden="1" customHeight="1" outlineLevel="1" x14ac:dyDescent="0.2">
      <c r="A135" s="74" t="s">
        <v>69</v>
      </c>
      <c r="B135" s="44" t="s">
        <v>70</v>
      </c>
      <c r="C135" s="76"/>
      <c r="D135" s="45"/>
      <c r="E135" s="73"/>
      <c r="F135" s="90">
        <v>0</v>
      </c>
      <c r="G135" s="76"/>
      <c r="H135" s="76"/>
      <c r="I135" s="473"/>
      <c r="J135" s="539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</row>
    <row r="136" spans="1:25" ht="6" hidden="1" customHeight="1" collapsed="1" x14ac:dyDescent="0.2">
      <c r="A136" s="74"/>
      <c r="B136" s="44"/>
      <c r="C136" s="76"/>
      <c r="D136" s="45"/>
      <c r="E136" s="76"/>
      <c r="F136" s="45"/>
      <c r="G136" s="76"/>
      <c r="H136" s="76"/>
      <c r="I136" s="473"/>
      <c r="J136" s="539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</row>
    <row r="137" spans="1:25" hidden="1" x14ac:dyDescent="0.2">
      <c r="A137" s="103" t="s">
        <v>161</v>
      </c>
      <c r="B137" s="47"/>
      <c r="C137" s="76"/>
      <c r="D137" s="45"/>
      <c r="E137" s="73">
        <f>SUM(E138:E143)</f>
        <v>3675000</v>
      </c>
      <c r="F137" s="113">
        <f>SUM(F138:F143)</f>
        <v>2861728.1799999997</v>
      </c>
      <c r="G137" s="73">
        <f>SUM(G138:G143)</f>
        <v>5092075</v>
      </c>
      <c r="H137" s="396">
        <f>SUM(H138:H143)</f>
        <v>5097446</v>
      </c>
      <c r="I137" s="402"/>
      <c r="J137" s="540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</row>
    <row r="138" spans="1:25" ht="12.75" hidden="1" customHeight="1" outlineLevel="1" x14ac:dyDescent="0.2">
      <c r="A138" s="103" t="s">
        <v>201</v>
      </c>
      <c r="B138" s="101" t="s">
        <v>195</v>
      </c>
      <c r="C138" s="76"/>
      <c r="D138" s="45"/>
      <c r="E138" s="45">
        <v>1455000</v>
      </c>
      <c r="F138" s="90">
        <f>15720+446.44+19.95+10954+6989.11+4199.24+2000+890.24</f>
        <v>41218.979999999996</v>
      </c>
      <c r="G138" s="45">
        <v>600000</v>
      </c>
      <c r="H138" s="395">
        <v>5371</v>
      </c>
      <c r="I138" s="401"/>
      <c r="J138" s="531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</row>
    <row r="139" spans="1:25" ht="12.75" hidden="1" customHeight="1" outlineLevel="1" x14ac:dyDescent="0.2">
      <c r="A139" s="74" t="s">
        <v>75</v>
      </c>
      <c r="B139" s="101" t="s">
        <v>196</v>
      </c>
      <c r="C139" s="76"/>
      <c r="D139" s="45"/>
      <c r="E139" s="45">
        <v>300000</v>
      </c>
      <c r="F139" s="90">
        <f>4886.1+100</f>
        <v>4986.1000000000004</v>
      </c>
      <c r="G139" s="45">
        <v>175000</v>
      </c>
      <c r="H139" s="395">
        <f>1994.27+127591.35</f>
        <v>129585.62000000001</v>
      </c>
      <c r="I139" s="401"/>
      <c r="J139" s="531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</row>
    <row r="140" spans="1:25" ht="12.75" hidden="1" customHeight="1" outlineLevel="1" x14ac:dyDescent="0.2">
      <c r="A140" s="74" t="s">
        <v>73</v>
      </c>
      <c r="B140" s="101" t="s">
        <v>197</v>
      </c>
      <c r="C140" s="76"/>
      <c r="D140" s="45"/>
      <c r="E140" s="45">
        <v>200000</v>
      </c>
      <c r="F140" s="90">
        <f>597661.2</f>
        <v>597661.19999999995</v>
      </c>
      <c r="G140" s="45">
        <v>4317075</v>
      </c>
      <c r="H140" s="395">
        <f>84999.63+4213064.29-517140.26</f>
        <v>3780923.66</v>
      </c>
      <c r="I140" s="401"/>
      <c r="J140" s="531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</row>
    <row r="141" spans="1:25" ht="12.75" hidden="1" customHeight="1" outlineLevel="1" x14ac:dyDescent="0.2">
      <c r="A141" s="103" t="s">
        <v>119</v>
      </c>
      <c r="B141" s="101" t="s">
        <v>198</v>
      </c>
      <c r="C141" s="76"/>
      <c r="D141" s="45"/>
      <c r="E141" s="45">
        <v>200000</v>
      </c>
      <c r="F141" s="90">
        <f>7790+8724.51+5340+22595.56+98208.62+19127.03</f>
        <v>161785.72</v>
      </c>
      <c r="G141" s="45"/>
      <c r="H141" s="395">
        <f>18723.2+977573.06</f>
        <v>996296.26</v>
      </c>
      <c r="I141" s="401"/>
      <c r="J141" s="531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</row>
    <row r="142" spans="1:25" ht="12.75" hidden="1" customHeight="1" outlineLevel="1" x14ac:dyDescent="0.2">
      <c r="A142" s="74" t="s">
        <v>72</v>
      </c>
      <c r="B142" s="101" t="s">
        <v>199</v>
      </c>
      <c r="C142" s="76"/>
      <c r="D142" s="45"/>
      <c r="E142" s="45">
        <v>320000</v>
      </c>
      <c r="F142" s="94">
        <f>9723.68+1326662.64-15000+4.22+6558.09+5672.5+2702+94892.43+1803.58+266.8+1002.5+634.46</f>
        <v>1434922.9</v>
      </c>
      <c r="G142" s="45"/>
      <c r="H142" s="395">
        <f>-1249.31+186518.77</f>
        <v>185269.46</v>
      </c>
      <c r="I142" s="401"/>
      <c r="J142" s="531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</row>
    <row r="143" spans="1:25" ht="12.75" hidden="1" customHeight="1" outlineLevel="1" x14ac:dyDescent="0.2">
      <c r="A143" s="103" t="s">
        <v>123</v>
      </c>
      <c r="B143" s="99" t="s">
        <v>200</v>
      </c>
      <c r="C143" s="76"/>
      <c r="D143" s="45"/>
      <c r="E143" s="45">
        <v>1200000</v>
      </c>
      <c r="F143" s="90">
        <f>2275+603878.28+15000</f>
        <v>621153.28000000003</v>
      </c>
      <c r="G143" s="45"/>
      <c r="H143" s="395"/>
      <c r="I143" s="401"/>
      <c r="J143" s="531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</row>
    <row r="144" spans="1:25" ht="6" hidden="1" customHeight="1" collapsed="1" x14ac:dyDescent="0.2">
      <c r="A144" s="46"/>
      <c r="B144" s="41"/>
      <c r="C144" s="45"/>
      <c r="D144" s="45"/>
      <c r="E144" s="45"/>
      <c r="F144" s="45"/>
      <c r="G144" s="45"/>
      <c r="H144" s="395"/>
      <c r="I144" s="401"/>
      <c r="J144" s="531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</row>
    <row r="145" spans="1:25" hidden="1" outlineLevel="1" x14ac:dyDescent="0.2">
      <c r="A145" s="103" t="s">
        <v>386</v>
      </c>
      <c r="B145" s="47"/>
      <c r="C145" s="73"/>
      <c r="D145" s="45"/>
      <c r="E145" s="73">
        <f>SUM(E146:E151)</f>
        <v>10000</v>
      </c>
      <c r="F145" s="113">
        <f>SUM(F146:F151)</f>
        <v>3009.42</v>
      </c>
      <c r="G145" s="45"/>
      <c r="H145" s="395"/>
      <c r="I145" s="401"/>
      <c r="J145" s="531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</row>
    <row r="146" spans="1:25" ht="12.75" hidden="1" customHeight="1" outlineLevel="1" x14ac:dyDescent="0.2">
      <c r="A146" s="103" t="s">
        <v>130</v>
      </c>
      <c r="B146" s="101" t="s">
        <v>124</v>
      </c>
      <c r="C146" s="73"/>
      <c r="D146" s="45"/>
      <c r="E146" s="73"/>
      <c r="F146" s="90">
        <v>0</v>
      </c>
      <c r="G146" s="45"/>
      <c r="H146" s="395"/>
      <c r="I146" s="401"/>
      <c r="J146" s="531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</row>
    <row r="147" spans="1:25" ht="12" hidden="1" customHeight="1" outlineLevel="1" x14ac:dyDescent="0.2">
      <c r="A147" s="74" t="s">
        <v>75</v>
      </c>
      <c r="B147" s="101" t="s">
        <v>125</v>
      </c>
      <c r="C147" s="73"/>
      <c r="D147" s="45"/>
      <c r="E147" s="73"/>
      <c r="F147" s="90">
        <v>0</v>
      </c>
      <c r="G147" s="45"/>
      <c r="H147" s="395"/>
      <c r="I147" s="401"/>
      <c r="J147" s="531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</row>
    <row r="148" spans="1:25" ht="12.75" hidden="1" customHeight="1" outlineLevel="1" x14ac:dyDescent="0.2">
      <c r="A148" s="74" t="s">
        <v>73</v>
      </c>
      <c r="B148" s="101" t="s">
        <v>126</v>
      </c>
      <c r="C148" s="73"/>
      <c r="D148" s="45"/>
      <c r="E148" s="73"/>
      <c r="F148" s="90">
        <v>0</v>
      </c>
      <c r="G148" s="45"/>
      <c r="H148" s="395"/>
      <c r="I148" s="401"/>
      <c r="J148" s="531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</row>
    <row r="149" spans="1:25" ht="12.75" hidden="1" customHeight="1" outlineLevel="1" x14ac:dyDescent="0.2">
      <c r="A149" s="103" t="s">
        <v>119</v>
      </c>
      <c r="B149" s="101" t="s">
        <v>127</v>
      </c>
      <c r="C149" s="73"/>
      <c r="D149" s="45"/>
      <c r="E149" s="73"/>
      <c r="F149" s="90">
        <v>0</v>
      </c>
      <c r="G149" s="45"/>
      <c r="H149" s="395"/>
      <c r="I149" s="401"/>
      <c r="J149" s="531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</row>
    <row r="150" spans="1:25" ht="12.75" hidden="1" customHeight="1" outlineLevel="1" x14ac:dyDescent="0.2">
      <c r="A150" s="74" t="s">
        <v>72</v>
      </c>
      <c r="B150" s="101" t="s">
        <v>128</v>
      </c>
      <c r="C150" s="73"/>
      <c r="D150" s="45"/>
      <c r="E150" s="45">
        <v>10000</v>
      </c>
      <c r="F150" s="90">
        <f>854.67+1719.75+435</f>
        <v>3009.42</v>
      </c>
      <c r="G150" s="45"/>
      <c r="H150" s="395"/>
      <c r="I150" s="401"/>
      <c r="J150" s="531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</row>
    <row r="151" spans="1:25" ht="12.75" hidden="1" customHeight="1" outlineLevel="1" x14ac:dyDescent="0.2">
      <c r="A151" s="103" t="s">
        <v>123</v>
      </c>
      <c r="B151" s="99" t="s">
        <v>185</v>
      </c>
      <c r="C151" s="73"/>
      <c r="D151" s="45"/>
      <c r="E151" s="73"/>
      <c r="F151" s="90">
        <v>0</v>
      </c>
      <c r="G151" s="45"/>
      <c r="H151" s="395"/>
      <c r="I151" s="401"/>
      <c r="J151" s="531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</row>
    <row r="152" spans="1:25" ht="6" hidden="1" customHeight="1" outlineLevel="1" x14ac:dyDescent="0.2">
      <c r="A152" s="74"/>
      <c r="B152" s="44"/>
      <c r="C152" s="45"/>
      <c r="D152" s="45"/>
      <c r="E152" s="45"/>
      <c r="F152" s="45"/>
      <c r="G152" s="45"/>
      <c r="H152" s="395"/>
      <c r="I152" s="401"/>
      <c r="J152" s="531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</row>
    <row r="153" spans="1:25" hidden="1" collapsed="1" x14ac:dyDescent="0.2">
      <c r="A153" s="103" t="s">
        <v>144</v>
      </c>
      <c r="B153" s="47"/>
      <c r="C153" s="73"/>
      <c r="D153" s="45"/>
      <c r="E153" s="73">
        <f>SUM(E154:E159)</f>
        <v>482812.04</v>
      </c>
      <c r="F153" s="113">
        <f>SUM(F154:F159)</f>
        <v>165722.04999999999</v>
      </c>
      <c r="G153" s="73">
        <f>SUM(G154:G159)</f>
        <v>317090</v>
      </c>
      <c r="H153" s="396">
        <f>SUM(H154:H159)</f>
        <v>302871.07</v>
      </c>
      <c r="I153" s="402"/>
      <c r="J153" s="540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</row>
    <row r="154" spans="1:25" ht="12.75" hidden="1" customHeight="1" outlineLevel="1" x14ac:dyDescent="0.2">
      <c r="A154" s="103" t="s">
        <v>80</v>
      </c>
      <c r="B154" s="99" t="s">
        <v>95</v>
      </c>
      <c r="C154" s="45"/>
      <c r="D154" s="45"/>
      <c r="E154" s="45">
        <v>55000</v>
      </c>
      <c r="F154" s="90">
        <v>1453</v>
      </c>
      <c r="G154" s="45">
        <v>50000</v>
      </c>
      <c r="H154" s="395">
        <f>30533+13054+80</f>
        <v>43667</v>
      </c>
      <c r="I154" s="401"/>
      <c r="J154" s="531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</row>
    <row r="155" spans="1:25" ht="12" hidden="1" customHeight="1" outlineLevel="1" x14ac:dyDescent="0.2">
      <c r="A155" s="74" t="s">
        <v>83</v>
      </c>
      <c r="B155" s="101" t="s">
        <v>98</v>
      </c>
      <c r="C155" s="73"/>
      <c r="D155" s="45"/>
      <c r="E155" s="45">
        <v>50000</v>
      </c>
      <c r="F155" s="90">
        <v>1000</v>
      </c>
      <c r="G155" s="45"/>
      <c r="H155" s="395"/>
      <c r="I155" s="401"/>
      <c r="J155" s="531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</row>
    <row r="156" spans="1:25" ht="12.75" hidden="1" customHeight="1" outlineLevel="1" x14ac:dyDescent="0.2">
      <c r="A156" s="74" t="s">
        <v>82</v>
      </c>
      <c r="B156" s="101" t="s">
        <v>97</v>
      </c>
      <c r="C156" s="45"/>
      <c r="D156" s="45"/>
      <c r="E156" s="45">
        <v>50000</v>
      </c>
      <c r="F156" s="90">
        <v>13555.75</v>
      </c>
      <c r="G156" s="45"/>
      <c r="H156" s="395"/>
      <c r="I156" s="401"/>
      <c r="J156" s="531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</row>
    <row r="157" spans="1:25" ht="12.75" hidden="1" customHeight="1" outlineLevel="1" x14ac:dyDescent="0.2">
      <c r="A157" s="103" t="s">
        <v>121</v>
      </c>
      <c r="B157" s="101" t="s">
        <v>96</v>
      </c>
      <c r="C157" s="73"/>
      <c r="D157" s="45"/>
      <c r="E157" s="45">
        <v>10000</v>
      </c>
      <c r="F157" s="90">
        <v>16136.55</v>
      </c>
      <c r="G157" s="45"/>
      <c r="H157" s="395">
        <v>35362.339999999997</v>
      </c>
      <c r="I157" s="401"/>
      <c r="J157" s="531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</row>
    <row r="158" spans="1:25" ht="12.75" hidden="1" customHeight="1" outlineLevel="1" x14ac:dyDescent="0.2">
      <c r="A158" s="103" t="s">
        <v>81</v>
      </c>
      <c r="B158" s="101" t="s">
        <v>116</v>
      </c>
      <c r="C158" s="45"/>
      <c r="D158" s="45"/>
      <c r="E158" s="45">
        <v>287812.03999999998</v>
      </c>
      <c r="F158" s="90">
        <f>87315.37+11.38+18531+17188</f>
        <v>123045.75</v>
      </c>
      <c r="G158" s="45">
        <v>267090</v>
      </c>
      <c r="H158" s="395">
        <f>1500+16739+205602.73</f>
        <v>223841.73</v>
      </c>
      <c r="I158" s="401"/>
      <c r="J158" s="531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</row>
    <row r="159" spans="1:25" ht="12.75" hidden="1" customHeight="1" outlineLevel="1" x14ac:dyDescent="0.2">
      <c r="A159" s="74" t="s">
        <v>84</v>
      </c>
      <c r="B159" s="99" t="s">
        <v>186</v>
      </c>
      <c r="C159" s="73"/>
      <c r="D159" s="45"/>
      <c r="E159" s="45">
        <v>30000</v>
      </c>
      <c r="F159" s="90">
        <f>8875+1656</f>
        <v>10531</v>
      </c>
      <c r="G159" s="45"/>
      <c r="H159" s="395"/>
      <c r="I159" s="401"/>
      <c r="J159" s="531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</row>
    <row r="160" spans="1:25" ht="6" hidden="1" customHeight="1" collapsed="1" x14ac:dyDescent="0.2">
      <c r="A160" s="74"/>
      <c r="B160" s="44"/>
      <c r="C160" s="45"/>
      <c r="D160" s="45"/>
      <c r="E160" s="45"/>
      <c r="F160" s="45"/>
      <c r="G160" s="45"/>
      <c r="H160" s="395"/>
      <c r="I160" s="401"/>
      <c r="J160" s="531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</row>
    <row r="161" spans="1:25" hidden="1" x14ac:dyDescent="0.2">
      <c r="A161" s="103" t="s">
        <v>145</v>
      </c>
      <c r="B161" s="47"/>
      <c r="C161" s="73"/>
      <c r="D161" s="45"/>
      <c r="E161" s="73">
        <f>SUM(E162:E164)</f>
        <v>208509.25</v>
      </c>
      <c r="F161" s="113">
        <f>SUM(F162:F164)</f>
        <v>177828.25</v>
      </c>
      <c r="G161" s="73">
        <f>SUM(G162:G164)</f>
        <v>30681</v>
      </c>
      <c r="H161" s="396">
        <f>SUM(H162:H164)</f>
        <v>2151.6799999999998</v>
      </c>
      <c r="I161" s="402"/>
      <c r="J161" s="540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</row>
    <row r="162" spans="1:25" ht="12.75" hidden="1" customHeight="1" outlineLevel="1" x14ac:dyDescent="0.2">
      <c r="A162" s="74" t="s">
        <v>79</v>
      </c>
      <c r="B162" s="100" t="s">
        <v>202</v>
      </c>
      <c r="C162" s="45"/>
      <c r="D162" s="45"/>
      <c r="E162" s="45">
        <v>5000</v>
      </c>
      <c r="F162" s="90">
        <v>1110</v>
      </c>
      <c r="G162" s="45">
        <v>10000</v>
      </c>
      <c r="H162" s="395"/>
      <c r="I162" s="401"/>
      <c r="J162" s="531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</row>
    <row r="163" spans="1:25" ht="12.75" hidden="1" customHeight="1" outlineLevel="1" x14ac:dyDescent="0.2">
      <c r="A163" s="103" t="s">
        <v>120</v>
      </c>
      <c r="B163" s="99" t="s">
        <v>188</v>
      </c>
      <c r="C163" s="73"/>
      <c r="D163" s="45"/>
      <c r="E163" s="45">
        <v>143000</v>
      </c>
      <c r="F163" s="90">
        <f>52912.25+18638+17975+17340+7530+8515</f>
        <v>122910.25</v>
      </c>
      <c r="G163" s="45">
        <v>5000</v>
      </c>
      <c r="H163" s="395">
        <v>2150</v>
      </c>
      <c r="I163" s="401"/>
      <c r="J163" s="531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</row>
    <row r="164" spans="1:25" ht="12.75" hidden="1" customHeight="1" outlineLevel="1" x14ac:dyDescent="0.2">
      <c r="A164" s="103" t="s">
        <v>204</v>
      </c>
      <c r="B164" s="100" t="s">
        <v>203</v>
      </c>
      <c r="C164" s="45"/>
      <c r="D164" s="45"/>
      <c r="E164" s="45">
        <v>60509.25</v>
      </c>
      <c r="F164" s="90">
        <f>28728.75+7905+6859.5+5100+1338.75+3876</f>
        <v>53808</v>
      </c>
      <c r="G164" s="45">
        <v>15681</v>
      </c>
      <c r="H164" s="395">
        <v>1.68</v>
      </c>
      <c r="I164" s="401"/>
      <c r="J164" s="531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</row>
    <row r="165" spans="1:25" ht="6" hidden="1" customHeight="1" collapsed="1" x14ac:dyDescent="0.2">
      <c r="A165" s="74"/>
      <c r="B165" s="44"/>
      <c r="C165" s="45"/>
      <c r="D165" s="45"/>
      <c r="E165" s="45"/>
      <c r="F165" s="45"/>
      <c r="G165" s="45"/>
      <c r="H165" s="395"/>
      <c r="I165" s="401"/>
      <c r="J165" s="531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</row>
    <row r="166" spans="1:25" hidden="1" x14ac:dyDescent="0.2">
      <c r="A166" s="103" t="s">
        <v>166</v>
      </c>
      <c r="B166" s="101" t="s">
        <v>105</v>
      </c>
      <c r="C166" s="73">
        <f t="shared" ref="C166:H166" si="7">SUM(C167:C170)</f>
        <v>120000</v>
      </c>
      <c r="D166" s="113">
        <f t="shared" si="7"/>
        <v>112136.1</v>
      </c>
      <c r="E166" s="73">
        <f t="shared" si="7"/>
        <v>145000</v>
      </c>
      <c r="F166" s="113">
        <f t="shared" si="7"/>
        <v>85773.079999999987</v>
      </c>
      <c r="G166" s="73">
        <f t="shared" si="7"/>
        <v>149228</v>
      </c>
      <c r="H166" s="396">
        <f t="shared" si="7"/>
        <v>89849.920000000013</v>
      </c>
      <c r="I166" s="402"/>
      <c r="J166" s="540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</row>
    <row r="167" spans="1:25" ht="12.75" hidden="1" customHeight="1" outlineLevel="1" x14ac:dyDescent="0.2">
      <c r="A167" s="102" t="s">
        <v>160</v>
      </c>
      <c r="B167" s="99" t="s">
        <v>189</v>
      </c>
      <c r="C167" s="45"/>
      <c r="D167" s="109"/>
      <c r="E167" s="45">
        <v>101500</v>
      </c>
      <c r="F167" s="90">
        <f>15879.32-29393.71+62777.84+600</f>
        <v>49863.45</v>
      </c>
      <c r="G167" s="45">
        <v>100000</v>
      </c>
      <c r="H167" s="395">
        <f>15879.35+33333.41-11143.88+600</f>
        <v>38668.880000000005</v>
      </c>
      <c r="I167" s="401"/>
      <c r="J167" s="531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</row>
    <row r="168" spans="1:25" ht="12.75" hidden="1" customHeight="1" outlineLevel="1" x14ac:dyDescent="0.2">
      <c r="A168" s="102" t="s">
        <v>160</v>
      </c>
      <c r="B168" s="99" t="s">
        <v>190</v>
      </c>
      <c r="C168" s="45"/>
      <c r="D168" s="109"/>
      <c r="E168" s="45">
        <v>43500</v>
      </c>
      <c r="F168" s="90">
        <f>110+1053+6045.36+4088.95+21140.97+219.83+1042.18+79.42+393.13+226.79+1510</f>
        <v>35909.629999999997</v>
      </c>
      <c r="G168" s="45">
        <v>49228</v>
      </c>
      <c r="H168" s="395">
        <f>1053+7020+4088.88+20469+219.85+1090.09+7.26+107.64+561.03+3.97+195.3+1302</f>
        <v>36118.020000000004</v>
      </c>
      <c r="I168" s="401"/>
      <c r="J168" s="531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</row>
    <row r="169" spans="1:25" ht="12.75" hidden="1" customHeight="1" outlineLevel="1" x14ac:dyDescent="0.2">
      <c r="A169" s="102" t="s">
        <v>160</v>
      </c>
      <c r="B169" s="99" t="s">
        <v>498</v>
      </c>
      <c r="C169" s="45"/>
      <c r="D169" s="109"/>
      <c r="E169" s="45"/>
      <c r="F169" s="90"/>
      <c r="G169" s="45">
        <v>0</v>
      </c>
      <c r="H169" s="395">
        <f>16544+87.5-1568.48</f>
        <v>15063.02</v>
      </c>
      <c r="I169" s="401"/>
      <c r="J169" s="531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</row>
    <row r="170" spans="1:25" ht="12.75" hidden="1" customHeight="1" outlineLevel="1" x14ac:dyDescent="0.2">
      <c r="A170" s="102" t="s">
        <v>159</v>
      </c>
      <c r="B170" s="101" t="s">
        <v>113</v>
      </c>
      <c r="C170" s="45">
        <v>120000</v>
      </c>
      <c r="D170" s="90">
        <v>112136.1</v>
      </c>
      <c r="E170" s="45">
        <v>0</v>
      </c>
      <c r="F170" s="90">
        <v>0</v>
      </c>
      <c r="G170" s="45"/>
      <c r="H170" s="395"/>
      <c r="I170" s="401"/>
      <c r="J170" s="531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</row>
    <row r="171" spans="1:25" ht="6" hidden="1" customHeight="1" collapsed="1" x14ac:dyDescent="0.2">
      <c r="A171" s="74"/>
      <c r="B171" s="44"/>
      <c r="C171" s="45"/>
      <c r="D171" s="45"/>
      <c r="E171" s="45"/>
      <c r="F171" s="45"/>
      <c r="G171" s="45"/>
      <c r="H171" s="395"/>
      <c r="I171" s="401"/>
      <c r="J171" s="531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</row>
    <row r="172" spans="1:25" hidden="1" x14ac:dyDescent="0.2">
      <c r="A172" s="77" t="s">
        <v>112</v>
      </c>
      <c r="B172" s="78"/>
      <c r="C172" s="45"/>
      <c r="D172" s="45"/>
      <c r="E172" s="45"/>
      <c r="F172" s="45"/>
      <c r="G172" s="45"/>
      <c r="H172" s="395"/>
      <c r="I172" s="401"/>
      <c r="J172" s="531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</row>
    <row r="173" spans="1:25" ht="6" hidden="1" customHeight="1" x14ac:dyDescent="0.2">
      <c r="A173" s="46"/>
      <c r="B173" s="41"/>
      <c r="C173" s="45"/>
      <c r="D173" s="45"/>
      <c r="E173" s="45"/>
      <c r="F173" s="45"/>
      <c r="G173" s="45"/>
      <c r="H173" s="395"/>
      <c r="I173" s="401"/>
      <c r="J173" s="531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</row>
    <row r="174" spans="1:25" hidden="1" x14ac:dyDescent="0.2">
      <c r="A174" s="103" t="s">
        <v>161</v>
      </c>
      <c r="B174" s="47"/>
      <c r="C174" s="76"/>
      <c r="D174" s="45"/>
      <c r="E174" s="73"/>
      <c r="F174" s="113">
        <f>SUM(F175:F180)</f>
        <v>0</v>
      </c>
      <c r="G174" s="73">
        <f>SUM(G175:G180)</f>
        <v>8323388.7999999998</v>
      </c>
      <c r="H174" s="396">
        <f>SUM(H175:H180)</f>
        <v>9808149.089999998</v>
      </c>
      <c r="I174" s="402"/>
      <c r="J174" s="540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</row>
    <row r="175" spans="1:25" ht="12.75" hidden="1" customHeight="1" outlineLevel="1" x14ac:dyDescent="0.2">
      <c r="A175" s="103" t="s">
        <v>130</v>
      </c>
      <c r="B175" s="101" t="s">
        <v>94</v>
      </c>
      <c r="C175" s="76"/>
      <c r="D175" s="45"/>
      <c r="E175" s="45"/>
      <c r="F175" s="90">
        <v>0</v>
      </c>
      <c r="G175" s="45"/>
      <c r="H175" s="398">
        <f>11377.25+300+134708.38+6527</f>
        <v>152912.63</v>
      </c>
      <c r="I175" s="401"/>
      <c r="J175" s="532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</row>
    <row r="176" spans="1:25" ht="12.75" hidden="1" customHeight="1" outlineLevel="1" x14ac:dyDescent="0.2">
      <c r="A176" s="74" t="s">
        <v>75</v>
      </c>
      <c r="B176" s="47" t="s">
        <v>76</v>
      </c>
      <c r="C176" s="76"/>
      <c r="D176" s="45"/>
      <c r="E176" s="45"/>
      <c r="F176" s="90">
        <v>0</v>
      </c>
      <c r="G176" s="45"/>
      <c r="H176" s="395">
        <f>75881.65+7076.25</f>
        <v>82957.899999999994</v>
      </c>
      <c r="I176" s="401"/>
      <c r="J176" s="531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</row>
    <row r="177" spans="1:25" ht="12.75" hidden="1" customHeight="1" outlineLevel="1" x14ac:dyDescent="0.2">
      <c r="A177" s="74" t="s">
        <v>73</v>
      </c>
      <c r="B177" s="47" t="s">
        <v>74</v>
      </c>
      <c r="C177" s="76"/>
      <c r="D177" s="45"/>
      <c r="E177" s="45"/>
      <c r="F177" s="90">
        <v>0</v>
      </c>
      <c r="G177" s="45">
        <v>1548413.8</v>
      </c>
      <c r="H177" s="395">
        <f>32554.84+11596.4+517140.26</f>
        <v>561291.5</v>
      </c>
      <c r="I177" s="401"/>
      <c r="J177" s="531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</row>
    <row r="178" spans="1:25" ht="12.75" hidden="1" customHeight="1" outlineLevel="1" x14ac:dyDescent="0.2">
      <c r="A178" s="103" t="s">
        <v>119</v>
      </c>
      <c r="B178" s="47" t="s">
        <v>71</v>
      </c>
      <c r="C178" s="76"/>
      <c r="D178" s="45"/>
      <c r="E178" s="45"/>
      <c r="F178" s="90">
        <v>0</v>
      </c>
      <c r="G178" s="45">
        <v>1233149</v>
      </c>
      <c r="H178" s="395">
        <f>3616.56</f>
        <v>3616.56</v>
      </c>
      <c r="I178" s="401"/>
      <c r="J178" s="531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</row>
    <row r="179" spans="1:25" ht="12.75" hidden="1" customHeight="1" outlineLevel="1" x14ac:dyDescent="0.2">
      <c r="A179" s="74" t="s">
        <v>72</v>
      </c>
      <c r="B179" s="101" t="s">
        <v>115</v>
      </c>
      <c r="C179" s="76"/>
      <c r="D179" s="45"/>
      <c r="E179" s="45"/>
      <c r="F179" s="90">
        <v>0</v>
      </c>
      <c r="G179" s="45">
        <v>5241826</v>
      </c>
      <c r="H179" s="395">
        <f>8168185.93+5922.5+4415+304920.53+2432.84+801.25+257362.08+10709.29+58105+2328.24+1671.82+1470+189046.02</f>
        <v>9007370.4999999981</v>
      </c>
      <c r="I179" s="401"/>
      <c r="J179" s="531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</row>
    <row r="180" spans="1:25" ht="12.75" hidden="1" customHeight="1" outlineLevel="1" x14ac:dyDescent="0.2">
      <c r="A180" s="103" t="s">
        <v>123</v>
      </c>
      <c r="B180" s="99" t="s">
        <v>184</v>
      </c>
      <c r="C180" s="76"/>
      <c r="D180" s="45"/>
      <c r="E180" s="45"/>
      <c r="F180" s="90">
        <v>0</v>
      </c>
      <c r="G180" s="45">
        <v>300000</v>
      </c>
      <c r="H180" s="395"/>
      <c r="I180" s="401"/>
      <c r="J180" s="531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</row>
    <row r="181" spans="1:25" ht="6" hidden="1" customHeight="1" collapsed="1" x14ac:dyDescent="0.2">
      <c r="A181" s="46"/>
      <c r="B181" s="41"/>
      <c r="C181" s="45"/>
      <c r="D181" s="45"/>
      <c r="E181" s="45"/>
      <c r="F181" s="45"/>
      <c r="G181" s="45"/>
      <c r="H181" s="395"/>
      <c r="I181" s="401"/>
      <c r="J181" s="531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</row>
    <row r="182" spans="1:25" hidden="1" outlineLevel="1" x14ac:dyDescent="0.2">
      <c r="A182" s="103" t="s">
        <v>166</v>
      </c>
      <c r="B182" s="101" t="s">
        <v>105</v>
      </c>
      <c r="C182" s="45"/>
      <c r="D182" s="45"/>
      <c r="E182" s="73">
        <f>SUM(E183:E186)</f>
        <v>120000</v>
      </c>
      <c r="F182" s="113">
        <f>SUM(F183:F186)</f>
        <v>369965.62000000005</v>
      </c>
      <c r="G182" s="73">
        <f>SUM(G183:G186)</f>
        <v>0</v>
      </c>
      <c r="H182" s="396"/>
      <c r="I182" s="401"/>
      <c r="J182" s="540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</row>
    <row r="183" spans="1:25" hidden="1" outlineLevel="1" x14ac:dyDescent="0.2">
      <c r="A183" s="102" t="s">
        <v>160</v>
      </c>
      <c r="B183" s="99" t="s">
        <v>189</v>
      </c>
      <c r="C183" s="45"/>
      <c r="D183" s="45"/>
      <c r="E183" s="45"/>
      <c r="F183" s="90">
        <v>0</v>
      </c>
      <c r="G183" s="45"/>
      <c r="H183" s="395"/>
      <c r="I183" s="401"/>
      <c r="J183" s="531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</row>
    <row r="184" spans="1:25" hidden="1" outlineLevel="1" x14ac:dyDescent="0.2">
      <c r="A184" s="102" t="s">
        <v>160</v>
      </c>
      <c r="B184" s="99" t="s">
        <v>190</v>
      </c>
      <c r="C184" s="45"/>
      <c r="D184" s="45"/>
      <c r="E184" s="45"/>
      <c r="F184" s="238">
        <v>251492.64</v>
      </c>
      <c r="G184" s="45"/>
      <c r="H184" s="395"/>
      <c r="I184" s="401"/>
      <c r="J184" s="531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</row>
    <row r="185" spans="1:25" hidden="1" outlineLevel="1" x14ac:dyDescent="0.2">
      <c r="A185" s="102" t="s">
        <v>159</v>
      </c>
      <c r="B185" s="101" t="s">
        <v>193</v>
      </c>
      <c r="C185" s="73"/>
      <c r="D185" s="45"/>
      <c r="E185" s="115">
        <v>120000</v>
      </c>
      <c r="F185" s="90">
        <f>116933.08+1500</f>
        <v>118433.08</v>
      </c>
      <c r="G185" s="45"/>
      <c r="H185" s="395"/>
      <c r="I185" s="401"/>
      <c r="J185" s="531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</row>
    <row r="186" spans="1:25" hidden="1" outlineLevel="1" x14ac:dyDescent="0.2">
      <c r="A186" s="102" t="s">
        <v>159</v>
      </c>
      <c r="B186" s="101" t="s">
        <v>194</v>
      </c>
      <c r="C186" s="73"/>
      <c r="D186" s="45"/>
      <c r="E186" s="45"/>
      <c r="F186" s="90">
        <v>39.9</v>
      </c>
      <c r="G186" s="45"/>
      <c r="H186" s="395"/>
      <c r="I186" s="401"/>
      <c r="J186" s="531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</row>
    <row r="187" spans="1:25" ht="6" hidden="1" customHeight="1" outlineLevel="1" x14ac:dyDescent="0.2">
      <c r="A187" s="74"/>
      <c r="B187" s="44"/>
      <c r="C187" s="45"/>
      <c r="D187" s="45"/>
      <c r="E187" s="45"/>
      <c r="F187" s="45"/>
      <c r="G187" s="45"/>
      <c r="H187" s="395"/>
      <c r="I187" s="401"/>
      <c r="J187" s="531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</row>
    <row r="188" spans="1:25" hidden="1" collapsed="1" x14ac:dyDescent="0.2">
      <c r="A188" s="77" t="s">
        <v>89</v>
      </c>
      <c r="B188" s="78"/>
      <c r="C188" s="45"/>
      <c r="D188" s="45"/>
      <c r="E188" s="45"/>
      <c r="F188" s="45"/>
      <c r="G188" s="45"/>
      <c r="H188" s="395"/>
      <c r="I188" s="401"/>
      <c r="J188" s="531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</row>
    <row r="189" spans="1:25" hidden="1" x14ac:dyDescent="0.2">
      <c r="A189" s="103" t="s">
        <v>481</v>
      </c>
      <c r="B189" s="47"/>
      <c r="C189" s="73"/>
      <c r="D189" s="45"/>
      <c r="E189" s="73"/>
      <c r="F189" s="113">
        <f>SUM(F190:F195)</f>
        <v>0</v>
      </c>
      <c r="G189" s="73">
        <f>SUM(G190:G195)</f>
        <v>300000</v>
      </c>
      <c r="H189" s="396"/>
      <c r="I189" s="402">
        <v>2938350</v>
      </c>
      <c r="J189" s="540">
        <f>2021309.04+46332.9+25331.83+360567.06+7345.48+271189.4+3630+356707.89</f>
        <v>3092413.6</v>
      </c>
      <c r="K189" s="45">
        <v>0</v>
      </c>
      <c r="L189" s="45">
        <v>633684.14</v>
      </c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</row>
    <row r="190" spans="1:25" ht="12.75" hidden="1" customHeight="1" outlineLevel="1" x14ac:dyDescent="0.2">
      <c r="A190" s="103" t="s">
        <v>130</v>
      </c>
      <c r="B190" s="101" t="s">
        <v>94</v>
      </c>
      <c r="C190" s="45"/>
      <c r="D190" s="45"/>
      <c r="E190" s="45"/>
      <c r="F190" s="90">
        <v>0</v>
      </c>
      <c r="G190" s="45"/>
      <c r="H190" s="395"/>
      <c r="I190" s="401"/>
      <c r="J190" s="531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</row>
    <row r="191" spans="1:25" ht="12.75" hidden="1" customHeight="1" outlineLevel="1" x14ac:dyDescent="0.2">
      <c r="A191" s="74" t="s">
        <v>75</v>
      </c>
      <c r="B191" s="47" t="s">
        <v>76</v>
      </c>
      <c r="C191" s="45"/>
      <c r="D191" s="45"/>
      <c r="E191" s="45"/>
      <c r="F191" s="90">
        <v>0</v>
      </c>
      <c r="G191" s="45"/>
      <c r="H191" s="395"/>
      <c r="I191" s="401"/>
      <c r="J191" s="531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</row>
    <row r="192" spans="1:25" ht="12.75" hidden="1" customHeight="1" outlineLevel="1" x14ac:dyDescent="0.2">
      <c r="A192" s="74" t="s">
        <v>73</v>
      </c>
      <c r="B192" s="47" t="s">
        <v>74</v>
      </c>
      <c r="C192" s="45"/>
      <c r="D192" s="45"/>
      <c r="E192" s="45"/>
      <c r="F192" s="90">
        <v>0</v>
      </c>
      <c r="G192" s="45"/>
      <c r="H192" s="395"/>
      <c r="I192" s="401"/>
      <c r="J192" s="531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</row>
    <row r="193" spans="1:25" ht="12.75" hidden="1" customHeight="1" outlineLevel="1" x14ac:dyDescent="0.2">
      <c r="A193" s="103" t="s">
        <v>119</v>
      </c>
      <c r="B193" s="47" t="s">
        <v>71</v>
      </c>
      <c r="C193" s="45"/>
      <c r="D193" s="45"/>
      <c r="E193" s="45"/>
      <c r="F193" s="90">
        <v>0</v>
      </c>
      <c r="G193" s="45"/>
      <c r="H193" s="395"/>
      <c r="I193" s="401"/>
      <c r="J193" s="531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</row>
    <row r="194" spans="1:25" ht="12.75" hidden="1" customHeight="1" outlineLevel="1" x14ac:dyDescent="0.2">
      <c r="A194" s="74" t="s">
        <v>72</v>
      </c>
      <c r="B194" s="101" t="s">
        <v>115</v>
      </c>
      <c r="C194" s="45"/>
      <c r="D194" s="45"/>
      <c r="E194" s="45"/>
      <c r="F194" s="90">
        <v>0</v>
      </c>
      <c r="G194" s="45">
        <v>300000</v>
      </c>
      <c r="H194" s="395"/>
      <c r="I194" s="401"/>
      <c r="J194" s="531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</row>
    <row r="195" spans="1:25" ht="12.75" hidden="1" customHeight="1" outlineLevel="1" x14ac:dyDescent="0.2">
      <c r="A195" s="103" t="s">
        <v>123</v>
      </c>
      <c r="B195" s="99" t="s">
        <v>184</v>
      </c>
      <c r="C195" s="45"/>
      <c r="D195" s="45"/>
      <c r="E195" s="45"/>
      <c r="F195" s="90">
        <v>0</v>
      </c>
      <c r="G195" s="45"/>
      <c r="H195" s="395"/>
      <c r="I195" s="401"/>
      <c r="J195" s="531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</row>
    <row r="196" spans="1:25" ht="6" hidden="1" customHeight="1" collapsed="1" x14ac:dyDescent="0.2">
      <c r="A196" s="46"/>
      <c r="B196" s="41"/>
      <c r="C196" s="45"/>
      <c r="D196" s="45"/>
      <c r="E196" s="45"/>
      <c r="F196" s="45"/>
      <c r="G196" s="45"/>
      <c r="H196" s="395"/>
      <c r="I196" s="401"/>
      <c r="J196" s="531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</row>
    <row r="197" spans="1:25" hidden="1" collapsed="1" x14ac:dyDescent="0.2">
      <c r="A197" s="103" t="s">
        <v>144</v>
      </c>
      <c r="B197" s="47"/>
      <c r="C197" s="73"/>
      <c r="D197" s="45"/>
      <c r="E197" s="73"/>
      <c r="F197" s="113"/>
      <c r="G197" s="73"/>
      <c r="H197" s="396"/>
      <c r="I197" s="402">
        <v>100000</v>
      </c>
      <c r="J197" s="540">
        <f>3627.26+440.61+63824.38+4279.99</f>
        <v>72172.240000000005</v>
      </c>
      <c r="K197" s="45">
        <v>0</v>
      </c>
      <c r="L197" s="45">
        <v>-9316.64</v>
      </c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</row>
    <row r="198" spans="1:25" ht="12.75" hidden="1" customHeight="1" outlineLevel="1" x14ac:dyDescent="0.2">
      <c r="A198" s="103" t="s">
        <v>80</v>
      </c>
      <c r="B198" s="99" t="s">
        <v>95</v>
      </c>
      <c r="C198" s="45"/>
      <c r="D198" s="45"/>
      <c r="E198" s="45"/>
      <c r="F198" s="90"/>
      <c r="G198" s="45"/>
      <c r="H198" s="395"/>
      <c r="I198" s="401"/>
      <c r="J198" s="531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</row>
    <row r="199" spans="1:25" ht="12" hidden="1" customHeight="1" outlineLevel="1" x14ac:dyDescent="0.2">
      <c r="A199" s="74" t="s">
        <v>83</v>
      </c>
      <c r="B199" s="101" t="s">
        <v>98</v>
      </c>
      <c r="C199" s="73"/>
      <c r="D199" s="45"/>
      <c r="E199" s="45"/>
      <c r="F199" s="90"/>
      <c r="G199" s="45"/>
      <c r="H199" s="395"/>
      <c r="I199" s="401"/>
      <c r="J199" s="531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</row>
    <row r="200" spans="1:25" ht="12.75" hidden="1" customHeight="1" outlineLevel="1" x14ac:dyDescent="0.2">
      <c r="A200" s="74" t="s">
        <v>82</v>
      </c>
      <c r="B200" s="101" t="s">
        <v>97</v>
      </c>
      <c r="C200" s="45"/>
      <c r="D200" s="45"/>
      <c r="E200" s="45"/>
      <c r="F200" s="90"/>
      <c r="G200" s="45"/>
      <c r="H200" s="395"/>
      <c r="I200" s="401"/>
      <c r="J200" s="531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</row>
    <row r="201" spans="1:25" ht="12.75" hidden="1" customHeight="1" outlineLevel="1" x14ac:dyDescent="0.2">
      <c r="A201" s="103" t="s">
        <v>121</v>
      </c>
      <c r="B201" s="101" t="s">
        <v>96</v>
      </c>
      <c r="C201" s="73"/>
      <c r="D201" s="45"/>
      <c r="E201" s="45"/>
      <c r="F201" s="90"/>
      <c r="G201" s="45"/>
      <c r="H201" s="395"/>
      <c r="I201" s="401"/>
      <c r="J201" s="531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</row>
    <row r="202" spans="1:25" ht="12.75" hidden="1" customHeight="1" outlineLevel="1" x14ac:dyDescent="0.2">
      <c r="A202" s="103" t="s">
        <v>81</v>
      </c>
      <c r="B202" s="101" t="s">
        <v>116</v>
      </c>
      <c r="C202" s="45"/>
      <c r="D202" s="45"/>
      <c r="E202" s="45"/>
      <c r="F202" s="90"/>
      <c r="G202" s="45"/>
      <c r="H202" s="395"/>
      <c r="I202" s="401"/>
      <c r="J202" s="531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</row>
    <row r="203" spans="1:25" ht="12.75" hidden="1" customHeight="1" outlineLevel="1" x14ac:dyDescent="0.2">
      <c r="A203" s="74" t="s">
        <v>84</v>
      </c>
      <c r="B203" s="99" t="s">
        <v>186</v>
      </c>
      <c r="C203" s="73"/>
      <c r="D203" s="45"/>
      <c r="E203" s="45"/>
      <c r="F203" s="90"/>
      <c r="G203" s="45"/>
      <c r="H203" s="395"/>
      <c r="I203" s="401"/>
      <c r="J203" s="531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</row>
    <row r="204" spans="1:25" ht="6" hidden="1" customHeight="1" collapsed="1" x14ac:dyDescent="0.2">
      <c r="A204" s="74"/>
      <c r="B204" s="44"/>
      <c r="C204" s="45"/>
      <c r="D204" s="45"/>
      <c r="E204" s="45"/>
      <c r="F204" s="45"/>
      <c r="G204" s="45"/>
      <c r="H204" s="395"/>
      <c r="I204" s="401"/>
      <c r="J204" s="531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</row>
    <row r="205" spans="1:25" hidden="1" x14ac:dyDescent="0.2">
      <c r="A205" s="103" t="s">
        <v>145</v>
      </c>
      <c r="B205" s="47"/>
      <c r="C205" s="73"/>
      <c r="D205" s="45"/>
      <c r="E205" s="73"/>
      <c r="F205" s="113"/>
      <c r="G205" s="73"/>
      <c r="H205" s="396"/>
      <c r="I205" s="402">
        <v>75000</v>
      </c>
      <c r="J205" s="540">
        <f>2250+5740+1775.79+5568.52+276+350+7158.13+11091.69</f>
        <v>34210.130000000005</v>
      </c>
      <c r="K205" s="73">
        <v>0</v>
      </c>
      <c r="L205" s="73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</row>
    <row r="206" spans="1:25" ht="12.75" hidden="1" customHeight="1" outlineLevel="1" x14ac:dyDescent="0.2">
      <c r="A206" s="74" t="s">
        <v>79</v>
      </c>
      <c r="B206" s="100" t="s">
        <v>202</v>
      </c>
      <c r="C206" s="45"/>
      <c r="D206" s="45"/>
      <c r="E206" s="45"/>
      <c r="F206" s="90"/>
      <c r="G206" s="45"/>
      <c r="H206" s="395"/>
      <c r="I206" s="401"/>
      <c r="J206" s="531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</row>
    <row r="207" spans="1:25" ht="12.75" hidden="1" customHeight="1" outlineLevel="1" x14ac:dyDescent="0.2">
      <c r="A207" s="103" t="s">
        <v>120</v>
      </c>
      <c r="B207" s="99" t="s">
        <v>188</v>
      </c>
      <c r="C207" s="73"/>
      <c r="D207" s="45"/>
      <c r="E207" s="45"/>
      <c r="F207" s="90"/>
      <c r="G207" s="45"/>
      <c r="H207" s="395"/>
      <c r="I207" s="401"/>
      <c r="J207" s="531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</row>
    <row r="208" spans="1:25" ht="12.75" hidden="1" customHeight="1" outlineLevel="1" x14ac:dyDescent="0.2">
      <c r="A208" s="103" t="s">
        <v>204</v>
      </c>
      <c r="B208" s="100" t="s">
        <v>203</v>
      </c>
      <c r="C208" s="45"/>
      <c r="D208" s="45"/>
      <c r="E208" s="45"/>
      <c r="F208" s="90"/>
      <c r="G208" s="45"/>
      <c r="H208" s="395"/>
      <c r="I208" s="401"/>
      <c r="J208" s="531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</row>
    <row r="209" spans="1:25" ht="6" hidden="1" customHeight="1" collapsed="1" x14ac:dyDescent="0.2">
      <c r="A209" s="74"/>
      <c r="B209" s="44"/>
      <c r="C209" s="45"/>
      <c r="D209" s="45"/>
      <c r="E209" s="45"/>
      <c r="F209" s="45"/>
      <c r="G209" s="45"/>
      <c r="H209" s="395"/>
      <c r="I209" s="401"/>
      <c r="J209" s="531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</row>
    <row r="210" spans="1:25" ht="12.75" hidden="1" customHeight="1" outlineLevel="1" x14ac:dyDescent="0.2">
      <c r="A210" s="103" t="s">
        <v>148</v>
      </c>
      <c r="B210" s="47"/>
      <c r="C210" s="45"/>
      <c r="D210" s="45"/>
      <c r="E210" s="45"/>
      <c r="F210" s="90">
        <v>0</v>
      </c>
      <c r="G210" s="45"/>
      <c r="H210" s="395"/>
      <c r="I210" s="401"/>
      <c r="J210" s="531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</row>
    <row r="211" spans="1:25" ht="12.75" hidden="1" customHeight="1" outlineLevel="1" x14ac:dyDescent="0.2">
      <c r="A211" s="102" t="s">
        <v>149</v>
      </c>
      <c r="B211" s="47"/>
      <c r="C211" s="45"/>
      <c r="D211" s="45"/>
      <c r="E211" s="45"/>
      <c r="F211" s="90">
        <v>0</v>
      </c>
      <c r="G211" s="45"/>
      <c r="H211" s="395"/>
      <c r="I211" s="401"/>
      <c r="J211" s="531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</row>
    <row r="212" spans="1:25" ht="12.75" hidden="1" customHeight="1" outlineLevel="1" x14ac:dyDescent="0.2">
      <c r="A212" s="102" t="s">
        <v>150</v>
      </c>
      <c r="B212" s="47"/>
      <c r="C212" s="45"/>
      <c r="D212" s="45"/>
      <c r="E212" s="45"/>
      <c r="F212" s="90">
        <v>0</v>
      </c>
      <c r="G212" s="45"/>
      <c r="H212" s="395"/>
      <c r="I212" s="401"/>
      <c r="J212" s="531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</row>
    <row r="213" spans="1:25" ht="12.75" hidden="1" customHeight="1" outlineLevel="1" x14ac:dyDescent="0.2">
      <c r="A213" s="103" t="s">
        <v>151</v>
      </c>
      <c r="B213" s="47"/>
      <c r="C213" s="45"/>
      <c r="D213" s="45"/>
      <c r="E213" s="45"/>
      <c r="F213" s="90">
        <v>0</v>
      </c>
      <c r="G213" s="45"/>
      <c r="H213" s="395"/>
      <c r="I213" s="401"/>
      <c r="J213" s="531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</row>
    <row r="214" spans="1:25" ht="12.75" hidden="1" customHeight="1" outlineLevel="1" x14ac:dyDescent="0.2">
      <c r="A214" s="102" t="s">
        <v>152</v>
      </c>
      <c r="B214" s="47"/>
      <c r="C214" s="45"/>
      <c r="D214" s="45"/>
      <c r="E214" s="45"/>
      <c r="F214" s="90">
        <v>0</v>
      </c>
      <c r="G214" s="45"/>
      <c r="H214" s="395"/>
      <c r="I214" s="401"/>
      <c r="J214" s="531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</row>
    <row r="215" spans="1:25" ht="12.75" hidden="1" customHeight="1" outlineLevel="1" x14ac:dyDescent="0.2">
      <c r="A215" s="102" t="s">
        <v>153</v>
      </c>
      <c r="B215" s="44"/>
      <c r="C215" s="45"/>
      <c r="D215" s="45"/>
      <c r="E215" s="45"/>
      <c r="F215" s="90">
        <v>0</v>
      </c>
      <c r="G215" s="45"/>
      <c r="H215" s="395"/>
      <c r="I215" s="401"/>
      <c r="J215" s="531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</row>
    <row r="216" spans="1:25" hidden="1" collapsed="1" x14ac:dyDescent="0.2">
      <c r="A216" s="103" t="s">
        <v>482</v>
      </c>
      <c r="B216" s="101" t="s">
        <v>105</v>
      </c>
      <c r="C216" s="73"/>
      <c r="D216" s="45"/>
      <c r="E216" s="73"/>
      <c r="F216" s="113">
        <f>SUM(F217:F218)</f>
        <v>0</v>
      </c>
      <c r="G216" s="73">
        <f>SUM(G217:G218)</f>
        <v>80000</v>
      </c>
      <c r="H216" s="396">
        <f>73981.19+65226.36+1000</f>
        <v>140207.54999999999</v>
      </c>
      <c r="I216" s="402">
        <f>SUM(I217:I218)</f>
        <v>70000</v>
      </c>
      <c r="J216" s="540">
        <f>16328.59+1053+4571.93+229.18+128.28+198+41032.76+8320</f>
        <v>71861.740000000005</v>
      </c>
      <c r="K216" s="73">
        <v>0</v>
      </c>
      <c r="L216" s="73">
        <v>13222.99</v>
      </c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</row>
    <row r="217" spans="1:25" ht="12.75" hidden="1" customHeight="1" outlineLevel="1" x14ac:dyDescent="0.2">
      <c r="A217" s="49" t="s">
        <v>87</v>
      </c>
      <c r="B217" s="44" t="s">
        <v>85</v>
      </c>
      <c r="C217" s="45"/>
      <c r="D217" s="45"/>
      <c r="E217" s="45"/>
      <c r="F217" s="109"/>
      <c r="G217" s="45"/>
      <c r="H217" s="395"/>
      <c r="I217" s="401">
        <v>70000</v>
      </c>
      <c r="J217" s="531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</row>
    <row r="218" spans="1:25" ht="12.75" hidden="1" customHeight="1" outlineLevel="1" x14ac:dyDescent="0.2">
      <c r="A218" s="49" t="s">
        <v>88</v>
      </c>
      <c r="B218" s="101" t="s">
        <v>114</v>
      </c>
      <c r="C218" s="45"/>
      <c r="D218" s="45"/>
      <c r="E218" s="45"/>
      <c r="F218" s="112"/>
      <c r="G218" s="45">
        <v>80000</v>
      </c>
      <c r="H218" s="395"/>
      <c r="I218" s="401"/>
      <c r="J218" s="531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</row>
    <row r="219" spans="1:25" ht="6" hidden="1" customHeight="1" collapsed="1" x14ac:dyDescent="0.2">
      <c r="A219" s="46"/>
      <c r="B219" s="41"/>
      <c r="C219" s="45"/>
      <c r="D219" s="45"/>
      <c r="E219" s="45"/>
      <c r="F219" s="45"/>
      <c r="G219" s="45"/>
      <c r="H219" s="395"/>
      <c r="I219" s="401"/>
      <c r="J219" s="531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</row>
    <row r="220" spans="1:25" hidden="1" x14ac:dyDescent="0.2">
      <c r="A220" s="77" t="s">
        <v>162</v>
      </c>
      <c r="B220" s="78"/>
      <c r="C220" s="45"/>
      <c r="D220" s="45"/>
      <c r="E220" s="45"/>
      <c r="F220" s="45"/>
      <c r="G220" s="45"/>
      <c r="H220" s="395"/>
      <c r="I220" s="401"/>
      <c r="J220" s="531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</row>
    <row r="221" spans="1:25" ht="6" hidden="1" customHeight="1" x14ac:dyDescent="0.2">
      <c r="A221" s="46"/>
      <c r="B221" s="41"/>
      <c r="C221" s="45"/>
      <c r="D221" s="45"/>
      <c r="E221" s="45"/>
      <c r="F221" s="45"/>
      <c r="G221" s="45"/>
      <c r="H221" s="395"/>
      <c r="I221" s="401"/>
      <c r="J221" s="531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</row>
    <row r="222" spans="1:25" hidden="1" x14ac:dyDescent="0.2">
      <c r="A222" s="103" t="s">
        <v>541</v>
      </c>
      <c r="B222" s="47"/>
      <c r="C222" s="45"/>
      <c r="D222" s="45"/>
      <c r="E222" s="45"/>
      <c r="F222" s="113">
        <f>SUM(F223:F228)</f>
        <v>0</v>
      </c>
      <c r="G222" s="73"/>
      <c r="H222" s="402">
        <f>704076.08-272871.24</f>
        <v>431204.83999999997</v>
      </c>
      <c r="I222" s="402"/>
      <c r="J222" s="541">
        <v>-581240.71</v>
      </c>
      <c r="K222" s="73">
        <v>1726062</v>
      </c>
      <c r="L222" s="73">
        <v>756520.3</v>
      </c>
      <c r="M222" s="45">
        <v>394776</v>
      </c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</row>
    <row r="223" spans="1:25" hidden="1" outlineLevel="1" x14ac:dyDescent="0.2">
      <c r="A223" s="103" t="s">
        <v>148</v>
      </c>
      <c r="B223" s="47"/>
      <c r="C223" s="45"/>
      <c r="D223" s="109"/>
      <c r="E223" s="45"/>
      <c r="F223" s="109"/>
      <c r="G223" s="45"/>
      <c r="H223" s="395"/>
      <c r="I223" s="401"/>
      <c r="J223" s="542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</row>
    <row r="224" spans="1:25" hidden="1" outlineLevel="1" x14ac:dyDescent="0.2">
      <c r="A224" s="102" t="s">
        <v>149</v>
      </c>
      <c r="B224" s="47"/>
      <c r="C224" s="45"/>
      <c r="D224" s="109"/>
      <c r="E224" s="45"/>
      <c r="F224" s="109"/>
      <c r="G224" s="45"/>
      <c r="H224" s="395"/>
      <c r="I224" s="401"/>
      <c r="J224" s="542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</row>
    <row r="225" spans="1:25" hidden="1" outlineLevel="1" x14ac:dyDescent="0.2">
      <c r="A225" s="102" t="s">
        <v>150</v>
      </c>
      <c r="B225" s="47"/>
      <c r="C225" s="45"/>
      <c r="D225" s="109"/>
      <c r="E225" s="45"/>
      <c r="F225" s="109"/>
      <c r="G225" s="45"/>
      <c r="H225" s="395"/>
      <c r="I225" s="401"/>
      <c r="J225" s="542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</row>
    <row r="226" spans="1:25" hidden="1" outlineLevel="1" x14ac:dyDescent="0.2">
      <c r="A226" s="103" t="s">
        <v>151</v>
      </c>
      <c r="B226" s="47"/>
      <c r="C226" s="45"/>
      <c r="D226" s="109"/>
      <c r="E226" s="45"/>
      <c r="F226" s="109"/>
      <c r="G226" s="45"/>
      <c r="H226" s="395"/>
      <c r="I226" s="401"/>
      <c r="J226" s="542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</row>
    <row r="227" spans="1:25" hidden="1" outlineLevel="1" x14ac:dyDescent="0.2">
      <c r="A227" s="102" t="s">
        <v>152</v>
      </c>
      <c r="B227" s="47"/>
      <c r="C227" s="45"/>
      <c r="D227" s="109"/>
      <c r="E227" s="45"/>
      <c r="F227" s="109"/>
      <c r="G227" s="45"/>
      <c r="H227" s="395"/>
      <c r="I227" s="401"/>
      <c r="J227" s="542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</row>
    <row r="228" spans="1:25" hidden="1" outlineLevel="1" x14ac:dyDescent="0.2">
      <c r="A228" s="102" t="s">
        <v>153</v>
      </c>
      <c r="B228" s="44"/>
      <c r="C228" s="45"/>
      <c r="D228" s="109"/>
      <c r="E228" s="45"/>
      <c r="F228" s="109"/>
      <c r="G228" s="45"/>
      <c r="H228" s="395"/>
      <c r="I228" s="401"/>
      <c r="J228" s="542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</row>
    <row r="229" spans="1:25" ht="6" hidden="1" customHeight="1" collapsed="1" x14ac:dyDescent="0.2">
      <c r="A229" s="46"/>
      <c r="B229" s="41"/>
      <c r="C229" s="45"/>
      <c r="D229" s="45"/>
      <c r="E229" s="45"/>
      <c r="F229" s="45"/>
      <c r="G229" s="45"/>
      <c r="H229" s="395"/>
      <c r="I229" s="401"/>
      <c r="J229" s="542"/>
      <c r="K229" s="45"/>
      <c r="L229" s="45"/>
      <c r="M229" s="45"/>
      <c r="N229" s="45"/>
      <c r="O229" s="45"/>
      <c r="P229" s="45"/>
      <c r="Q229" s="549"/>
      <c r="R229" s="549"/>
      <c r="S229" s="549"/>
      <c r="T229" s="549"/>
      <c r="U229" s="549"/>
      <c r="V229" s="549"/>
      <c r="W229" s="549"/>
      <c r="X229" s="549"/>
      <c r="Y229" s="549"/>
    </row>
    <row r="230" spans="1:25" ht="13.5" hidden="1" thickBot="1" x14ac:dyDescent="0.25">
      <c r="A230" s="60" t="s">
        <v>90</v>
      </c>
      <c r="B230" s="61"/>
      <c r="C230" s="66">
        <f>C68+C75+C83+C91+C99+C107+C115+C120+C123+C166</f>
        <v>2326200</v>
      </c>
      <c r="D230" s="114">
        <f>D68+D75+D83+D91+D99+D107+D115+D120+D123+D166</f>
        <v>2788164.8900000006</v>
      </c>
      <c r="E230" s="66" t="e">
        <f>E129+E137+E145+E153+E161+E166+E182+E189+E216+#REF!</f>
        <v>#REF!</v>
      </c>
      <c r="F230" s="114">
        <f>F129+F137+F145+F153+F161+F166+F174+F182</f>
        <v>3668860.5999999996</v>
      </c>
      <c r="G230" s="66">
        <f t="shared" ref="G230:T230" si="8">G129+G137+G145+G153+G161+G166+G174+G182+G189+G197+G205+G216+G222</f>
        <v>14292462.800000001</v>
      </c>
      <c r="H230" s="397">
        <f t="shared" si="8"/>
        <v>15871880.149999999</v>
      </c>
      <c r="I230" s="471">
        <f t="shared" si="8"/>
        <v>3183350</v>
      </c>
      <c r="J230" s="543">
        <f t="shared" si="8"/>
        <v>2689417.0000000005</v>
      </c>
      <c r="K230" s="66">
        <f t="shared" si="8"/>
        <v>1726062</v>
      </c>
      <c r="L230" s="66">
        <f t="shared" si="8"/>
        <v>1394110.79</v>
      </c>
      <c r="M230" s="66">
        <f t="shared" si="8"/>
        <v>394776</v>
      </c>
      <c r="N230" s="66">
        <f t="shared" si="8"/>
        <v>0</v>
      </c>
      <c r="O230" s="66">
        <f t="shared" si="8"/>
        <v>0</v>
      </c>
      <c r="P230" s="66">
        <f t="shared" si="8"/>
        <v>0</v>
      </c>
      <c r="Q230" s="66">
        <f t="shared" si="8"/>
        <v>0</v>
      </c>
      <c r="R230" s="66">
        <f t="shared" si="8"/>
        <v>0</v>
      </c>
      <c r="S230" s="66">
        <f t="shared" si="8"/>
        <v>0</v>
      </c>
      <c r="T230" s="66">
        <f t="shared" si="8"/>
        <v>0</v>
      </c>
      <c r="U230" s="66">
        <f t="shared" ref="U230:V230" si="9">U129+U137+U145+U153+U161+U166+U174+U182+U189+U197+U205+U216+U222</f>
        <v>0</v>
      </c>
      <c r="V230" s="66">
        <f t="shared" si="9"/>
        <v>0</v>
      </c>
      <c r="W230" s="66">
        <f t="shared" ref="W230:X230" si="10">W129+W137+W145+W153+W161+W166+W174+W182+W189+W197+W205+W216+W222</f>
        <v>0</v>
      </c>
      <c r="X230" s="66">
        <f t="shared" si="10"/>
        <v>0</v>
      </c>
      <c r="Y230" s="66">
        <f t="shared" ref="Y230" si="11">Y129+Y137+Y145+Y153+Y161+Y166+Y174+Y182+Y189+Y197+Y205+Y216+Y222</f>
        <v>0</v>
      </c>
    </row>
    <row r="231" spans="1:25" s="82" customFormat="1" ht="16.5" thickBot="1" x14ac:dyDescent="0.3">
      <c r="A231" s="79" t="s">
        <v>91</v>
      </c>
      <c r="B231" s="80"/>
      <c r="C231" s="81">
        <f t="shared" ref="C231:Y231" si="12">SUM(C52,C64,C230)</f>
        <v>2988200</v>
      </c>
      <c r="D231" s="81">
        <f t="shared" si="12"/>
        <v>3338041.7600000007</v>
      </c>
      <c r="E231" s="81" t="e">
        <f t="shared" si="12"/>
        <v>#REF!</v>
      </c>
      <c r="F231" s="81">
        <f t="shared" si="12"/>
        <v>4176908.7699999996</v>
      </c>
      <c r="G231" s="81">
        <f t="shared" si="12"/>
        <v>14780805.800000001</v>
      </c>
      <c r="H231" s="81">
        <f t="shared" si="12"/>
        <v>16200606.069999998</v>
      </c>
      <c r="I231" s="474">
        <f t="shared" si="12"/>
        <v>3731464.9964999999</v>
      </c>
      <c r="J231" s="544">
        <f t="shared" si="12"/>
        <v>3085784.0000000005</v>
      </c>
      <c r="K231" s="81">
        <f t="shared" si="12"/>
        <v>2089329</v>
      </c>
      <c r="L231" s="81">
        <f t="shared" si="12"/>
        <v>1703080.6600000001</v>
      </c>
      <c r="M231" s="81">
        <f t="shared" si="12"/>
        <v>818979</v>
      </c>
      <c r="N231" s="81">
        <f t="shared" si="12"/>
        <v>623904</v>
      </c>
      <c r="O231" s="81">
        <f t="shared" si="12"/>
        <v>1387479</v>
      </c>
      <c r="P231" s="81">
        <f t="shared" si="12"/>
        <v>1221295</v>
      </c>
      <c r="Q231" s="81">
        <f t="shared" si="12"/>
        <v>2446000</v>
      </c>
      <c r="R231" s="81">
        <f t="shared" si="12"/>
        <v>1239535</v>
      </c>
      <c r="S231" s="81">
        <f t="shared" si="12"/>
        <v>934000</v>
      </c>
      <c r="T231" s="81">
        <f t="shared" si="12"/>
        <v>2575000</v>
      </c>
      <c r="U231" s="81">
        <f t="shared" si="12"/>
        <v>3785000</v>
      </c>
      <c r="V231" s="81">
        <f t="shared" si="12"/>
        <v>2885000</v>
      </c>
      <c r="W231" s="81">
        <f t="shared" si="12"/>
        <v>2885000</v>
      </c>
      <c r="X231" s="81">
        <f t="shared" si="12"/>
        <v>2885000</v>
      </c>
      <c r="Y231" s="81">
        <f t="shared" si="12"/>
        <v>2885000</v>
      </c>
    </row>
    <row r="232" spans="1:25" ht="13.5" thickTop="1" x14ac:dyDescent="0.2"/>
  </sheetData>
  <sortState xmlns:xlrd2="http://schemas.microsoft.com/office/spreadsheetml/2017/richdata2" ref="A72:J77">
    <sortCondition ref="B72:B77"/>
  </sortState>
  <pageMargins left="0.25" right="0.25" top="0.5" bottom="0" header="0.5" footer="0.5"/>
  <pageSetup fitToHeight="0" orientation="landscape" r:id="rId1"/>
  <headerFooter alignWithMargins="0">
    <oddFooter>&amp;LDouglas County School District
Business Services - SYE&amp;C&amp;F
&amp;D&amp;R&amp;"Arial,Bold"&amp;A&amp;"Arial,Regular"
Page 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  <pageSetUpPr fitToPage="1"/>
  </sheetPr>
  <dimension ref="A1:F47"/>
  <sheetViews>
    <sheetView workbookViewId="0">
      <selection activeCell="P16" sqref="P16"/>
    </sheetView>
  </sheetViews>
  <sheetFormatPr defaultRowHeight="12.75" x14ac:dyDescent="0.2"/>
  <cols>
    <col min="1" max="1" width="61.42578125" bestFit="1" customWidth="1"/>
    <col min="2" max="2" width="12.85546875" bestFit="1" customWidth="1"/>
    <col min="3" max="3" width="12.28515625" bestFit="1" customWidth="1"/>
    <col min="4" max="4" width="1.7109375" customWidth="1"/>
    <col min="5" max="5" width="13.7109375" customWidth="1"/>
    <col min="6" max="6" width="15" customWidth="1"/>
    <col min="7" max="7" width="9.140625" customWidth="1"/>
    <col min="8" max="9" width="6" customWidth="1"/>
    <col min="10" max="11" width="7" customWidth="1"/>
    <col min="12" max="12" width="12.28515625" customWidth="1"/>
    <col min="13" max="13" width="11.7109375" customWidth="1"/>
    <col min="14" max="14" width="8" customWidth="1"/>
    <col min="15" max="15" width="7.140625" customWidth="1"/>
    <col min="16" max="16" width="11.7109375" bestFit="1" customWidth="1"/>
  </cols>
  <sheetData>
    <row r="1" spans="1:6" x14ac:dyDescent="0.2">
      <c r="A1" s="117" t="s">
        <v>10</v>
      </c>
      <c r="B1" s="118"/>
      <c r="C1" s="118"/>
      <c r="E1" s="524" t="s">
        <v>582</v>
      </c>
      <c r="F1" t="s">
        <v>585</v>
      </c>
    </row>
    <row r="2" spans="1:6" ht="13.5" thickBot="1" x14ac:dyDescent="0.25">
      <c r="A2" s="119" t="s">
        <v>167</v>
      </c>
      <c r="B2" s="119" t="s">
        <v>168</v>
      </c>
      <c r="C2" s="119" t="s">
        <v>539</v>
      </c>
      <c r="E2" s="525" t="s">
        <v>169</v>
      </c>
      <c r="F2" s="526">
        <v>16302</v>
      </c>
    </row>
    <row r="3" spans="1:6" x14ac:dyDescent="0.2">
      <c r="A3" s="120" t="s">
        <v>170</v>
      </c>
      <c r="B3" s="121" t="s">
        <v>169</v>
      </c>
      <c r="C3" s="122">
        <f>'5 Yr CIP - Add''l Exp'!K35</f>
        <v>16302</v>
      </c>
      <c r="E3" s="525" t="s">
        <v>171</v>
      </c>
      <c r="F3" s="526">
        <v>182965</v>
      </c>
    </row>
    <row r="4" spans="1:6" x14ac:dyDescent="0.2">
      <c r="A4" s="120" t="s">
        <v>170</v>
      </c>
      <c r="B4" s="121" t="s">
        <v>171</v>
      </c>
      <c r="C4" s="122">
        <f>SUM('5 Yr CIP - Add''l Exp'!K37:K46)</f>
        <v>182965</v>
      </c>
      <c r="E4" s="525" t="s">
        <v>172</v>
      </c>
      <c r="F4" s="526">
        <v>164000</v>
      </c>
    </row>
    <row r="5" spans="1:6" x14ac:dyDescent="0.2">
      <c r="A5" s="120" t="s">
        <v>170</v>
      </c>
      <c r="B5" s="121" t="s">
        <v>172</v>
      </c>
      <c r="C5" s="122">
        <f>SUM('5 Yr CIP - Add''l Exp'!K47:K49)</f>
        <v>164000</v>
      </c>
      <c r="E5" s="525" t="s">
        <v>173</v>
      </c>
      <c r="F5" s="526">
        <v>0</v>
      </c>
    </row>
    <row r="6" spans="1:6" x14ac:dyDescent="0.2">
      <c r="A6" s="129" t="s">
        <v>170</v>
      </c>
      <c r="B6" s="121" t="s">
        <v>173</v>
      </c>
      <c r="C6" s="122">
        <f>'5 Yr CIP - Add''l Exp'!K50</f>
        <v>0</v>
      </c>
      <c r="E6" s="525" t="s">
        <v>174</v>
      </c>
      <c r="F6" s="526">
        <v>65000</v>
      </c>
    </row>
    <row r="7" spans="1:6" x14ac:dyDescent="0.2">
      <c r="A7" s="129" t="s">
        <v>389</v>
      </c>
      <c r="B7" s="130" t="s">
        <v>174</v>
      </c>
      <c r="C7" s="122">
        <f>'5 Yr CIP - Add''l Exp'!K9</f>
        <v>0</v>
      </c>
      <c r="E7" s="525" t="s">
        <v>182</v>
      </c>
      <c r="F7" s="526">
        <v>102000</v>
      </c>
    </row>
    <row r="8" spans="1:6" x14ac:dyDescent="0.2">
      <c r="A8" s="129" t="s">
        <v>543</v>
      </c>
      <c r="B8" s="130" t="s">
        <v>182</v>
      </c>
      <c r="C8" s="122">
        <v>2000</v>
      </c>
      <c r="E8" s="525" t="s">
        <v>183</v>
      </c>
      <c r="F8" s="526">
        <v>2903000</v>
      </c>
    </row>
    <row r="9" spans="1:6" x14ac:dyDescent="0.2">
      <c r="A9" s="129" t="s">
        <v>543</v>
      </c>
      <c r="B9" s="130" t="s">
        <v>183</v>
      </c>
      <c r="C9" s="122" t="e">
        <f>'5 Yr CIP - Add''l Exp'!#REF!-'Budget Revised - Manual'!C8</f>
        <v>#REF!</v>
      </c>
      <c r="E9" s="525" t="s">
        <v>583</v>
      </c>
      <c r="F9" s="526"/>
    </row>
    <row r="10" spans="1:6" x14ac:dyDescent="0.2">
      <c r="A10" s="129" t="s">
        <v>576</v>
      </c>
      <c r="B10" s="130" t="s">
        <v>183</v>
      </c>
      <c r="C10" s="122" t="e">
        <f>'5 Yr CIP - Add''l Exp'!#REF!</f>
        <v>#REF!</v>
      </c>
      <c r="E10" s="525" t="s">
        <v>584</v>
      </c>
      <c r="F10" s="526">
        <v>3433267</v>
      </c>
    </row>
    <row r="11" spans="1:6" x14ac:dyDescent="0.2">
      <c r="A11" s="129" t="s">
        <v>181</v>
      </c>
      <c r="B11" s="130" t="s">
        <v>182</v>
      </c>
      <c r="C11" s="122">
        <v>0</v>
      </c>
    </row>
    <row r="12" spans="1:6" x14ac:dyDescent="0.2">
      <c r="A12" s="129" t="s">
        <v>181</v>
      </c>
      <c r="B12" s="130" t="s">
        <v>183</v>
      </c>
      <c r="C12" s="122" t="e">
        <f>'5 Yr CIP - Add''l Exp'!#REF!</f>
        <v>#REF!</v>
      </c>
    </row>
    <row r="13" spans="1:6" x14ac:dyDescent="0.2">
      <c r="A13" s="129" t="s">
        <v>34</v>
      </c>
      <c r="B13" s="130" t="s">
        <v>183</v>
      </c>
      <c r="C13" s="122" t="e">
        <f>'5 Yr CIP - Add''l Exp'!#REF!</f>
        <v>#REF!</v>
      </c>
    </row>
    <row r="14" spans="1:6" x14ac:dyDescent="0.2">
      <c r="A14" s="129" t="s">
        <v>540</v>
      </c>
      <c r="B14" s="130" t="s">
        <v>182</v>
      </c>
      <c r="C14" s="122">
        <v>0</v>
      </c>
    </row>
    <row r="15" spans="1:6" x14ac:dyDescent="0.2">
      <c r="A15" s="129" t="s">
        <v>540</v>
      </c>
      <c r="B15" s="130" t="s">
        <v>183</v>
      </c>
      <c r="C15" s="122">
        <v>0</v>
      </c>
    </row>
    <row r="16" spans="1:6" x14ac:dyDescent="0.2">
      <c r="A16" s="129" t="s">
        <v>388</v>
      </c>
      <c r="B16" s="130" t="s">
        <v>182</v>
      </c>
      <c r="C16" s="122">
        <v>0</v>
      </c>
    </row>
    <row r="17" spans="1:6" x14ac:dyDescent="0.2">
      <c r="A17" s="129" t="s">
        <v>388</v>
      </c>
      <c r="B17" s="130" t="s">
        <v>183</v>
      </c>
      <c r="C17" s="122" t="e">
        <f>'5 Yr CIP - Add''l Exp'!#REF!</f>
        <v>#REF!</v>
      </c>
    </row>
    <row r="18" spans="1:6" x14ac:dyDescent="0.2">
      <c r="A18" s="129" t="s">
        <v>32</v>
      </c>
      <c r="B18" s="130" t="s">
        <v>182</v>
      </c>
      <c r="C18" s="122">
        <v>100000</v>
      </c>
    </row>
    <row r="19" spans="1:6" x14ac:dyDescent="0.2">
      <c r="A19" s="129" t="s">
        <v>32</v>
      </c>
      <c r="B19" s="130" t="s">
        <v>183</v>
      </c>
      <c r="C19" s="122" t="e">
        <f>'5 Yr CIP - Add''l Exp'!#REF!-'Budget Revised - Manual'!C18</f>
        <v>#REF!</v>
      </c>
    </row>
    <row r="20" spans="1:6" x14ac:dyDescent="0.2">
      <c r="A20" s="129" t="s">
        <v>165</v>
      </c>
      <c r="B20" s="130" t="s">
        <v>183</v>
      </c>
      <c r="C20" s="122" t="e">
        <f>'5 Yr CIP - Add''l Exp'!#REF!</f>
        <v>#REF!</v>
      </c>
    </row>
    <row r="21" spans="1:6" x14ac:dyDescent="0.2">
      <c r="A21" s="129" t="s">
        <v>33</v>
      </c>
      <c r="B21" s="130" t="s">
        <v>182</v>
      </c>
      <c r="C21" s="122"/>
    </row>
    <row r="22" spans="1:6" x14ac:dyDescent="0.2">
      <c r="A22" s="129" t="s">
        <v>33</v>
      </c>
      <c r="B22" s="130" t="s">
        <v>183</v>
      </c>
      <c r="C22" s="122" t="e">
        <f>'5 Yr CIP - Add''l Exp'!#REF!-'Budget Revised - Manual'!C21</f>
        <v>#REF!</v>
      </c>
    </row>
    <row r="23" spans="1:6" x14ac:dyDescent="0.2">
      <c r="A23" s="129"/>
      <c r="B23" s="130"/>
      <c r="C23" s="122"/>
    </row>
    <row r="24" spans="1:6" x14ac:dyDescent="0.2">
      <c r="A24" s="129"/>
      <c r="B24" s="121"/>
      <c r="C24" s="122"/>
    </row>
    <row r="25" spans="1:6" x14ac:dyDescent="0.2">
      <c r="A25" s="129"/>
      <c r="B25" s="121"/>
      <c r="C25" s="124" t="e">
        <f>SUM(C3:C24)</f>
        <v>#REF!</v>
      </c>
    </row>
    <row r="26" spans="1:6" x14ac:dyDescent="0.2">
      <c r="B26" s="123" t="s">
        <v>175</v>
      </c>
      <c r="C26" s="125" t="e">
        <f>C25-'5 Yr CIP - Add''l Exp'!K52</f>
        <v>#REF!</v>
      </c>
    </row>
    <row r="27" spans="1:6" x14ac:dyDescent="0.2">
      <c r="A27" s="126" t="s">
        <v>176</v>
      </c>
      <c r="B27" s="455"/>
      <c r="C27" s="455"/>
    </row>
    <row r="28" spans="1:6" ht="13.5" thickBot="1" x14ac:dyDescent="0.25">
      <c r="A28" s="119" t="s">
        <v>167</v>
      </c>
      <c r="B28" s="119" t="s">
        <v>177</v>
      </c>
      <c r="C28" s="119" t="str">
        <f>C2</f>
        <v>FY16-17</v>
      </c>
    </row>
    <row r="29" spans="1:6" x14ac:dyDescent="0.2">
      <c r="A29" s="523" t="s">
        <v>540</v>
      </c>
      <c r="B29" s="131" t="s">
        <v>183</v>
      </c>
      <c r="C29" s="127" t="e">
        <f>'5 Yr CIP - Add''l Exp'!#REF!</f>
        <v>#REF!</v>
      </c>
    </row>
    <row r="30" spans="1:6" x14ac:dyDescent="0.2">
      <c r="B30" s="123"/>
      <c r="C30" s="124" t="e">
        <f>SUM(C29)</f>
        <v>#REF!</v>
      </c>
    </row>
    <row r="31" spans="1:6" x14ac:dyDescent="0.2">
      <c r="B31" s="123" t="s">
        <v>175</v>
      </c>
      <c r="C31" s="125" t="e">
        <f>C30-'[3]5 Yr CIP - Revenues'!H30</f>
        <v>#REF!</v>
      </c>
    </row>
    <row r="32" spans="1:6" x14ac:dyDescent="0.2">
      <c r="A32" s="128" t="s">
        <v>178</v>
      </c>
      <c r="B32" s="132"/>
      <c r="C32" s="132"/>
      <c r="E32" s="524" t="s">
        <v>582</v>
      </c>
      <c r="F32" t="s">
        <v>585</v>
      </c>
    </row>
    <row r="33" spans="1:6" ht="13.5" thickBot="1" x14ac:dyDescent="0.25">
      <c r="A33" s="132" t="s">
        <v>167</v>
      </c>
      <c r="B33" s="132" t="s">
        <v>177</v>
      </c>
      <c r="C33" s="133" t="str">
        <f>C2</f>
        <v>FY16-17</v>
      </c>
      <c r="E33" s="525" t="s">
        <v>587</v>
      </c>
      <c r="F33" s="526">
        <v>18900</v>
      </c>
    </row>
    <row r="34" spans="1:6" x14ac:dyDescent="0.2">
      <c r="A34" s="134" t="s">
        <v>578</v>
      </c>
      <c r="B34" s="135" t="s">
        <v>179</v>
      </c>
      <c r="C34" s="136">
        <v>350000</v>
      </c>
      <c r="E34" s="525" t="s">
        <v>586</v>
      </c>
      <c r="F34" s="526">
        <v>8100</v>
      </c>
    </row>
    <row r="35" spans="1:6" x14ac:dyDescent="0.2">
      <c r="A35" s="134" t="s">
        <v>579</v>
      </c>
      <c r="B35" s="135" t="s">
        <v>174</v>
      </c>
      <c r="C35" s="136">
        <v>350000</v>
      </c>
      <c r="E35" s="525" t="s">
        <v>179</v>
      </c>
      <c r="F35" s="526">
        <v>350000</v>
      </c>
    </row>
    <row r="36" spans="1:6" x14ac:dyDescent="0.2">
      <c r="A36" s="134" t="s">
        <v>580</v>
      </c>
      <c r="B36" s="135" t="s">
        <v>581</v>
      </c>
      <c r="C36" s="136"/>
      <c r="E36" s="525" t="s">
        <v>581</v>
      </c>
      <c r="F36" s="526"/>
    </row>
    <row r="37" spans="1:6" x14ac:dyDescent="0.2">
      <c r="A37" s="134" t="s">
        <v>577</v>
      </c>
      <c r="B37" s="135" t="s">
        <v>183</v>
      </c>
      <c r="C37" s="136">
        <v>1026061</v>
      </c>
      <c r="E37" s="525" t="s">
        <v>174</v>
      </c>
      <c r="F37" s="526">
        <v>375000</v>
      </c>
    </row>
    <row r="38" spans="1:6" x14ac:dyDescent="0.2">
      <c r="A38" s="134" t="s">
        <v>580</v>
      </c>
      <c r="B38" s="135" t="s">
        <v>182</v>
      </c>
      <c r="C38" s="136">
        <f>'5 Yr CIP - Add''l Exp'!K182</f>
        <v>0</v>
      </c>
      <c r="E38" s="525" t="s">
        <v>182</v>
      </c>
      <c r="F38" s="526">
        <v>0</v>
      </c>
    </row>
    <row r="39" spans="1:6" x14ac:dyDescent="0.2">
      <c r="A39" s="134" t="s">
        <v>80</v>
      </c>
      <c r="B39" s="135" t="s">
        <v>179</v>
      </c>
      <c r="C39" s="136">
        <v>0</v>
      </c>
      <c r="E39" s="525" t="s">
        <v>183</v>
      </c>
      <c r="F39" s="526">
        <v>1026061</v>
      </c>
    </row>
    <row r="40" spans="1:6" x14ac:dyDescent="0.2">
      <c r="A40" s="134" t="s">
        <v>121</v>
      </c>
      <c r="B40" s="135" t="s">
        <v>174</v>
      </c>
      <c r="C40" s="136">
        <f>'5 Yr CIP - Add''l Exp'!K197</f>
        <v>0</v>
      </c>
      <c r="E40" s="525" t="s">
        <v>583</v>
      </c>
      <c r="F40" s="526">
        <v>1778061</v>
      </c>
    </row>
    <row r="41" spans="1:6" x14ac:dyDescent="0.2">
      <c r="A41" s="134" t="s">
        <v>187</v>
      </c>
      <c r="B41" s="135" t="s">
        <v>183</v>
      </c>
      <c r="C41" s="136">
        <f>'5 Yr CIP - Add''l Exp'!K164</f>
        <v>0</v>
      </c>
      <c r="E41" s="525" t="s">
        <v>584</v>
      </c>
      <c r="F41" s="526">
        <v>3556122</v>
      </c>
    </row>
    <row r="42" spans="1:6" x14ac:dyDescent="0.2">
      <c r="A42" s="137" t="s">
        <v>79</v>
      </c>
      <c r="B42" s="135" t="s">
        <v>182</v>
      </c>
      <c r="C42" s="136">
        <v>0</v>
      </c>
    </row>
    <row r="43" spans="1:6" x14ac:dyDescent="0.2">
      <c r="A43" s="134" t="s">
        <v>120</v>
      </c>
      <c r="B43" s="135" t="s">
        <v>174</v>
      </c>
      <c r="C43" s="136">
        <f>'5 Yr CIP - Add''l Exp'!K205-'Budget Revised - Manual'!C42</f>
        <v>0</v>
      </c>
    </row>
    <row r="44" spans="1:6" x14ac:dyDescent="0.2">
      <c r="A44" s="134" t="s">
        <v>160</v>
      </c>
      <c r="B44" s="135" t="s">
        <v>191</v>
      </c>
      <c r="C44" s="136">
        <f>'5 Yr CIP - Add''l Exp'!K216*0.7</f>
        <v>0</v>
      </c>
    </row>
    <row r="45" spans="1:6" x14ac:dyDescent="0.2">
      <c r="A45" s="134" t="s">
        <v>160</v>
      </c>
      <c r="B45" s="135" t="s">
        <v>192</v>
      </c>
      <c r="C45" s="136">
        <f>'5 Yr CIP - Add''l Exp'!K216*0.3</f>
        <v>0</v>
      </c>
    </row>
    <row r="46" spans="1:6" x14ac:dyDescent="0.2">
      <c r="A46" s="7"/>
      <c r="B46" s="138"/>
      <c r="C46" s="139">
        <f>SUM(C34:C45)</f>
        <v>1726061</v>
      </c>
    </row>
    <row r="47" spans="1:6" x14ac:dyDescent="0.2">
      <c r="B47" s="123" t="s">
        <v>175</v>
      </c>
      <c r="C47" s="125">
        <f>C46-'5 Yr CIP - Add''l Exp'!K230</f>
        <v>-1</v>
      </c>
    </row>
  </sheetData>
  <sortState xmlns:xlrd2="http://schemas.microsoft.com/office/spreadsheetml/2017/richdata2" ref="A30:C42">
    <sortCondition ref="A30:A42"/>
  </sortState>
  <pageMargins left="0.7" right="0.7" top="0.75" bottom="0.75" header="0.3" footer="0.3"/>
  <pageSetup scale="85" orientation="landscape" horizontalDpi="300" verticalDpi="300" r:id="rId3"/>
  <headerFooter>
    <oddFooter>&amp;LBus Svcs&amp;C&amp;F
Printed on &amp;D&amp;R&amp;A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C000"/>
    <pageSetUpPr fitToPage="1"/>
  </sheetPr>
  <dimension ref="A1:Q62"/>
  <sheetViews>
    <sheetView zoomScale="90" zoomScaleNormal="90" workbookViewId="0">
      <selection activeCell="A30" sqref="A30"/>
    </sheetView>
  </sheetViews>
  <sheetFormatPr defaultColWidth="9.140625" defaultRowHeight="12.75" x14ac:dyDescent="0.2"/>
  <cols>
    <col min="1" max="1" width="49.140625" style="255" bestFit="1" customWidth="1"/>
    <col min="2" max="2" width="9.140625" style="255"/>
    <col min="3" max="3" width="13.28515625" style="255" bestFit="1" customWidth="1"/>
    <col min="4" max="4" width="15.28515625" style="255" bestFit="1" customWidth="1"/>
    <col min="5" max="5" width="15.28515625" style="302" customWidth="1"/>
    <col min="6" max="6" width="15.28515625" style="255" customWidth="1"/>
    <col min="7" max="7" width="8.28515625" style="255" customWidth="1"/>
    <col min="8" max="8" width="11.140625" style="255" bestFit="1" customWidth="1"/>
    <col min="9" max="9" width="9.140625" style="255"/>
    <col min="10" max="10" width="42.42578125" style="255" customWidth="1"/>
    <col min="11" max="13" width="9.140625" style="255"/>
    <col min="14" max="14" width="37.28515625" style="255" bestFit="1" customWidth="1"/>
    <col min="15" max="16384" width="9.140625" style="255"/>
  </cols>
  <sheetData>
    <row r="1" spans="1:17" x14ac:dyDescent="0.2">
      <c r="A1" s="558" t="s">
        <v>390</v>
      </c>
      <c r="B1" s="559"/>
      <c r="C1" s="559"/>
      <c r="D1" s="559"/>
      <c r="E1" s="559"/>
      <c r="F1" s="559"/>
      <c r="G1" s="559"/>
      <c r="H1" s="559"/>
      <c r="I1" s="559"/>
      <c r="J1" s="559"/>
      <c r="K1" s="254"/>
      <c r="L1" s="254"/>
      <c r="M1" s="254"/>
      <c r="N1" s="254"/>
      <c r="O1" s="254"/>
    </row>
    <row r="2" spans="1:17" x14ac:dyDescent="0.2">
      <c r="A2" s="254"/>
      <c r="B2" s="254"/>
      <c r="C2" s="254"/>
      <c r="D2" s="254"/>
      <c r="E2" s="256"/>
      <c r="F2" s="254"/>
      <c r="G2" s="254"/>
      <c r="H2" s="254"/>
      <c r="I2" s="254"/>
      <c r="J2" s="254"/>
      <c r="K2" s="254"/>
      <c r="L2" s="254"/>
      <c r="M2" s="254"/>
      <c r="N2" s="254"/>
      <c r="O2" s="254"/>
    </row>
    <row r="3" spans="1:17" x14ac:dyDescent="0.2">
      <c r="A3" s="257"/>
      <c r="B3" s="258" t="s">
        <v>206</v>
      </c>
      <c r="C3" s="259" t="s">
        <v>207</v>
      </c>
      <c r="D3" s="260"/>
      <c r="E3" s="261" t="s">
        <v>383</v>
      </c>
      <c r="F3" s="260" t="s">
        <v>382</v>
      </c>
      <c r="G3" s="259" t="s">
        <v>208</v>
      </c>
      <c r="H3" s="259" t="s">
        <v>381</v>
      </c>
      <c r="I3" s="257"/>
      <c r="J3" s="262" t="s">
        <v>211</v>
      </c>
      <c r="K3" s="263"/>
      <c r="L3" s="263"/>
      <c r="M3" s="264"/>
      <c r="N3" s="265"/>
      <c r="O3" s="264"/>
      <c r="P3" s="264"/>
      <c r="Q3" s="264"/>
    </row>
    <row r="4" spans="1:17" ht="15" x14ac:dyDescent="0.2">
      <c r="A4" s="266" t="s">
        <v>212</v>
      </c>
      <c r="B4" s="261"/>
      <c r="C4" s="260"/>
      <c r="D4" s="260"/>
      <c r="E4" s="261"/>
      <c r="F4" s="260"/>
      <c r="G4" s="260"/>
      <c r="H4" s="260"/>
      <c r="I4" s="257"/>
      <c r="J4" s="262"/>
      <c r="K4" s="267"/>
      <c r="L4" s="267"/>
      <c r="M4" s="264"/>
      <c r="N4" s="264"/>
      <c r="O4" s="264"/>
      <c r="P4" s="264"/>
      <c r="Q4" s="264"/>
    </row>
    <row r="5" spans="1:17" ht="15" x14ac:dyDescent="0.2">
      <c r="A5" s="268" t="s">
        <v>391</v>
      </c>
      <c r="B5" s="261">
        <v>190</v>
      </c>
      <c r="C5" s="260">
        <v>729</v>
      </c>
      <c r="D5" s="260">
        <f>B5*C5</f>
        <v>138510</v>
      </c>
      <c r="E5" s="261"/>
      <c r="F5" s="260"/>
      <c r="G5" s="260"/>
      <c r="H5" s="260"/>
      <c r="I5" s="257"/>
      <c r="J5" s="262" t="s">
        <v>392</v>
      </c>
      <c r="K5" s="267"/>
      <c r="L5" s="267"/>
      <c r="M5" s="264"/>
      <c r="N5" s="265"/>
      <c r="O5" s="264"/>
      <c r="P5" s="264"/>
      <c r="Q5" s="264"/>
    </row>
    <row r="6" spans="1:17" ht="15" x14ac:dyDescent="0.2">
      <c r="A6" s="268" t="s">
        <v>393</v>
      </c>
      <c r="B6" s="261">
        <v>195</v>
      </c>
      <c r="C6" s="260">
        <v>729</v>
      </c>
      <c r="D6" s="260">
        <f>B6*C6</f>
        <v>142155</v>
      </c>
      <c r="E6" s="261"/>
      <c r="F6" s="260"/>
      <c r="G6" s="260"/>
      <c r="H6" s="260"/>
      <c r="I6" s="257"/>
      <c r="J6" s="257"/>
      <c r="K6" s="267"/>
      <c r="L6" s="267"/>
      <c r="M6" s="264"/>
      <c r="N6" s="264"/>
      <c r="O6" s="264"/>
      <c r="P6" s="264"/>
      <c r="Q6" s="264"/>
    </row>
    <row r="7" spans="1:17" ht="15" x14ac:dyDescent="0.2">
      <c r="A7" s="268"/>
      <c r="B7" s="261"/>
      <c r="C7" s="260"/>
      <c r="D7" s="260">
        <f>B7*C7</f>
        <v>0</v>
      </c>
      <c r="E7" s="261"/>
      <c r="F7" s="260"/>
      <c r="G7" s="260"/>
      <c r="H7" s="260"/>
      <c r="I7" s="257"/>
      <c r="J7" s="257"/>
      <c r="K7" s="267"/>
      <c r="L7" s="267"/>
      <c r="M7" s="264"/>
      <c r="N7" s="264"/>
      <c r="O7" s="264"/>
      <c r="P7" s="264"/>
      <c r="Q7" s="264"/>
    </row>
    <row r="8" spans="1:17" ht="15" x14ac:dyDescent="0.2">
      <c r="A8" s="268"/>
      <c r="B8" s="261"/>
      <c r="C8" s="260"/>
      <c r="D8" s="260"/>
      <c r="E8" s="261"/>
      <c r="F8" s="260"/>
      <c r="G8" s="260"/>
      <c r="H8" s="260"/>
      <c r="I8" s="257"/>
      <c r="J8" s="257"/>
      <c r="K8" s="267"/>
      <c r="L8" s="267"/>
      <c r="M8" s="264"/>
      <c r="N8" s="264"/>
      <c r="O8" s="264"/>
      <c r="P8" s="264"/>
      <c r="Q8" s="264"/>
    </row>
    <row r="9" spans="1:17" ht="15" x14ac:dyDescent="0.2">
      <c r="A9" s="268"/>
      <c r="B9" s="261"/>
      <c r="C9" s="269" t="s">
        <v>236</v>
      </c>
      <c r="D9" s="270">
        <f>SUM(D5:D7)</f>
        <v>280665</v>
      </c>
      <c r="E9" s="271"/>
      <c r="F9" s="270"/>
      <c r="G9" s="269" t="s">
        <v>236</v>
      </c>
      <c r="H9" s="272">
        <f>SUM(H5:H7)</f>
        <v>0</v>
      </c>
      <c r="I9" s="273"/>
      <c r="J9" s="273"/>
      <c r="K9" s="267"/>
      <c r="L9" s="267"/>
      <c r="M9" s="274"/>
      <c r="N9" s="274"/>
      <c r="O9" s="264"/>
      <c r="P9" s="264"/>
      <c r="Q9" s="264"/>
    </row>
    <row r="10" spans="1:17" ht="15" x14ac:dyDescent="0.2">
      <c r="A10" s="268"/>
      <c r="B10" s="261"/>
      <c r="C10" s="260"/>
      <c r="D10" s="260"/>
      <c r="E10" s="261"/>
      <c r="F10" s="260"/>
      <c r="G10" s="260"/>
      <c r="H10" s="260"/>
      <c r="I10" s="257"/>
      <c r="J10" s="257"/>
      <c r="K10" s="267"/>
      <c r="L10" s="267"/>
      <c r="M10" s="264"/>
      <c r="N10" s="264"/>
      <c r="O10" s="264"/>
      <c r="P10" s="264"/>
      <c r="Q10" s="264"/>
    </row>
    <row r="11" spans="1:17" ht="15" x14ac:dyDescent="0.2">
      <c r="A11" s="266" t="s">
        <v>366</v>
      </c>
      <c r="B11" s="261"/>
      <c r="C11" s="260"/>
      <c r="D11" s="260"/>
      <c r="E11" s="261"/>
      <c r="F11" s="260"/>
      <c r="G11" s="260"/>
      <c r="H11" s="260"/>
      <c r="I11" s="273"/>
      <c r="J11" s="273"/>
      <c r="K11" s="267"/>
      <c r="L11" s="267"/>
      <c r="M11" s="274"/>
      <c r="N11" s="274"/>
      <c r="O11" s="264"/>
      <c r="P11" s="264"/>
      <c r="Q11" s="264"/>
    </row>
    <row r="12" spans="1:17" ht="15" x14ac:dyDescent="0.2">
      <c r="A12" s="268" t="s">
        <v>394</v>
      </c>
      <c r="B12" s="261">
        <v>1</v>
      </c>
      <c r="C12" s="260">
        <v>9000</v>
      </c>
      <c r="D12" s="260">
        <f>B12*C12</f>
        <v>9000</v>
      </c>
      <c r="E12" s="261"/>
      <c r="F12" s="260"/>
      <c r="G12" s="260"/>
      <c r="H12" s="275"/>
      <c r="I12" s="257"/>
      <c r="J12" s="262"/>
      <c r="K12" s="267"/>
      <c r="L12" s="267"/>
      <c r="M12" s="264"/>
      <c r="N12" s="264"/>
      <c r="O12" s="264"/>
      <c r="P12" s="264"/>
      <c r="Q12" s="264"/>
    </row>
    <row r="13" spans="1:17" ht="15" x14ac:dyDescent="0.2">
      <c r="A13" s="268" t="s">
        <v>395</v>
      </c>
      <c r="B13" s="261">
        <v>1</v>
      </c>
      <c r="C13" s="260">
        <v>5500</v>
      </c>
      <c r="D13" s="260">
        <f t="shared" ref="D13:D14" si="0">B13*C13</f>
        <v>5500</v>
      </c>
      <c r="E13" s="261"/>
      <c r="F13" s="260"/>
      <c r="G13" s="260"/>
      <c r="H13" s="260"/>
      <c r="I13" s="257"/>
      <c r="J13" s="257"/>
      <c r="K13" s="267"/>
      <c r="L13" s="267"/>
      <c r="M13" s="264"/>
      <c r="N13" s="264"/>
      <c r="O13" s="264"/>
      <c r="P13" s="264"/>
      <c r="Q13" s="264"/>
    </row>
    <row r="14" spans="1:17" ht="15" x14ac:dyDescent="0.2">
      <c r="A14" s="268" t="s">
        <v>396</v>
      </c>
      <c r="B14" s="261">
        <v>1</v>
      </c>
      <c r="C14" s="260">
        <v>17000</v>
      </c>
      <c r="D14" s="260">
        <f t="shared" si="0"/>
        <v>17000</v>
      </c>
      <c r="E14" s="261"/>
      <c r="F14" s="260"/>
      <c r="G14" s="260"/>
      <c r="H14" s="260"/>
      <c r="I14" s="257"/>
      <c r="J14" s="257"/>
      <c r="K14" s="267"/>
      <c r="L14" s="267"/>
      <c r="M14" s="264"/>
      <c r="N14" s="264"/>
      <c r="O14" s="264"/>
      <c r="P14" s="264"/>
      <c r="Q14" s="264"/>
    </row>
    <row r="15" spans="1:17" ht="15" x14ac:dyDescent="0.2">
      <c r="A15" s="268"/>
      <c r="B15" s="261"/>
      <c r="C15" s="260"/>
      <c r="D15" s="260"/>
      <c r="E15" s="261"/>
      <c r="F15" s="260"/>
      <c r="G15" s="260"/>
      <c r="H15" s="260"/>
      <c r="I15" s="257"/>
      <c r="J15" s="257"/>
      <c r="K15" s="267"/>
      <c r="L15" s="267"/>
      <c r="M15" s="264"/>
      <c r="N15" s="264"/>
      <c r="O15" s="264"/>
      <c r="P15" s="264"/>
      <c r="Q15" s="264"/>
    </row>
    <row r="16" spans="1:17" ht="15" x14ac:dyDescent="0.25">
      <c r="A16" s="276"/>
      <c r="B16" s="261"/>
      <c r="C16" s="269" t="s">
        <v>360</v>
      </c>
      <c r="D16" s="277">
        <f>SUM(D12:D14)</f>
        <v>31500</v>
      </c>
      <c r="E16" s="278"/>
      <c r="F16" s="277"/>
      <c r="G16" s="269" t="s">
        <v>360</v>
      </c>
      <c r="H16" s="272">
        <f>SUM(H12:H12)</f>
        <v>0</v>
      </c>
      <c r="I16" s="257"/>
      <c r="J16" s="257"/>
      <c r="K16" s="267"/>
      <c r="L16" s="267"/>
      <c r="M16" s="264"/>
      <c r="N16" s="264"/>
      <c r="O16" s="264"/>
      <c r="P16" s="264"/>
      <c r="Q16" s="264"/>
    </row>
    <row r="17" spans="1:17" ht="15" x14ac:dyDescent="0.25">
      <c r="A17" s="276"/>
      <c r="B17" s="261"/>
      <c r="C17" s="269"/>
      <c r="D17" s="277"/>
      <c r="E17" s="278"/>
      <c r="F17" s="277"/>
      <c r="G17" s="269"/>
      <c r="H17" s="272"/>
      <c r="I17" s="257"/>
      <c r="J17" s="257"/>
      <c r="K17" s="267"/>
      <c r="L17" s="267"/>
      <c r="M17" s="264"/>
      <c r="N17" s="264"/>
      <c r="O17" s="264"/>
      <c r="P17" s="264"/>
      <c r="Q17" s="264"/>
    </row>
    <row r="18" spans="1:17" ht="15" x14ac:dyDescent="0.25">
      <c r="A18" s="279" t="s">
        <v>359</v>
      </c>
      <c r="B18" s="261"/>
      <c r="C18" s="269"/>
      <c r="D18" s="277"/>
      <c r="E18" s="278"/>
      <c r="F18" s="277"/>
      <c r="G18" s="260"/>
      <c r="H18" s="260"/>
      <c r="I18" s="257"/>
      <c r="J18" s="257"/>
      <c r="K18" s="280"/>
      <c r="L18" s="281"/>
      <c r="M18" s="267"/>
      <c r="N18" s="267"/>
      <c r="O18" s="264"/>
      <c r="P18" s="264"/>
      <c r="Q18" s="264"/>
    </row>
    <row r="19" spans="1:17" ht="15" x14ac:dyDescent="0.25">
      <c r="A19" s="276" t="s">
        <v>397</v>
      </c>
      <c r="B19" s="261">
        <v>11</v>
      </c>
      <c r="C19" s="282">
        <v>2000</v>
      </c>
      <c r="D19" s="283">
        <f>B19*C19</f>
        <v>22000</v>
      </c>
      <c r="E19" s="278"/>
      <c r="F19" s="277"/>
      <c r="G19" s="260"/>
      <c r="H19" s="260"/>
      <c r="I19" s="257"/>
      <c r="J19" s="257"/>
      <c r="K19" s="284"/>
      <c r="L19" s="285"/>
      <c r="M19" s="267"/>
      <c r="N19" s="263"/>
      <c r="O19" s="264"/>
      <c r="P19" s="264"/>
      <c r="Q19" s="264"/>
    </row>
    <row r="20" spans="1:17" ht="15" x14ac:dyDescent="0.25">
      <c r="A20" s="276" t="s">
        <v>398</v>
      </c>
      <c r="B20" s="261">
        <v>30</v>
      </c>
      <c r="C20" s="282">
        <v>900</v>
      </c>
      <c r="D20" s="283">
        <f>B20*C20</f>
        <v>27000</v>
      </c>
      <c r="E20" s="286"/>
      <c r="F20" s="283"/>
      <c r="G20" s="260"/>
      <c r="H20" s="275"/>
      <c r="I20" s="257"/>
      <c r="J20" s="257"/>
      <c r="K20" s="284"/>
      <c r="L20" s="285"/>
      <c r="M20" s="267"/>
      <c r="N20" s="287"/>
      <c r="O20" s="264"/>
      <c r="P20" s="264"/>
      <c r="Q20" s="264"/>
    </row>
    <row r="21" spans="1:17" ht="15" x14ac:dyDescent="0.25">
      <c r="A21" s="276"/>
      <c r="B21" s="261"/>
      <c r="C21" s="269"/>
      <c r="D21" s="283"/>
      <c r="E21" s="286"/>
      <c r="F21" s="283"/>
      <c r="G21" s="260"/>
      <c r="H21" s="260"/>
      <c r="I21" s="257"/>
      <c r="J21" s="257"/>
      <c r="K21" s="284"/>
      <c r="L21" s="285"/>
      <c r="M21" s="267"/>
      <c r="N21" s="267"/>
      <c r="O21" s="264"/>
      <c r="P21" s="264"/>
      <c r="Q21" s="264"/>
    </row>
    <row r="22" spans="1:17" ht="15" x14ac:dyDescent="0.25">
      <c r="A22" s="279"/>
      <c r="B22" s="261"/>
      <c r="C22" s="269" t="s">
        <v>356</v>
      </c>
      <c r="D22" s="277">
        <f>SUM(D19:D21)</f>
        <v>49000</v>
      </c>
      <c r="E22" s="278"/>
      <c r="F22" s="277"/>
      <c r="G22" s="269" t="s">
        <v>356</v>
      </c>
      <c r="H22" s="272">
        <f>SUM(H20:H21)</f>
        <v>0</v>
      </c>
      <c r="I22" s="257"/>
      <c r="J22" s="257"/>
      <c r="K22" s="280"/>
      <c r="L22" s="281"/>
      <c r="M22" s="288"/>
      <c r="N22" s="289"/>
      <c r="O22" s="264"/>
      <c r="P22" s="264"/>
      <c r="Q22" s="264"/>
    </row>
    <row r="23" spans="1:17" ht="15" x14ac:dyDescent="0.2">
      <c r="A23" s="268"/>
      <c r="B23" s="261"/>
      <c r="C23" s="260"/>
      <c r="D23" s="260"/>
      <c r="E23" s="261"/>
      <c r="F23" s="260"/>
      <c r="G23" s="260"/>
      <c r="H23" s="260"/>
      <c r="I23" s="257"/>
      <c r="J23" s="257"/>
      <c r="K23" s="267"/>
      <c r="L23" s="267"/>
      <c r="M23" s="264"/>
      <c r="N23" s="264"/>
      <c r="O23" s="264"/>
      <c r="P23" s="264"/>
      <c r="Q23" s="264"/>
    </row>
    <row r="24" spans="1:17" x14ac:dyDescent="0.2">
      <c r="A24" s="290" t="s">
        <v>399</v>
      </c>
      <c r="B24" s="261"/>
      <c r="C24" s="260"/>
      <c r="D24" s="291"/>
      <c r="E24" s="292"/>
      <c r="F24" s="291"/>
      <c r="G24" s="260"/>
      <c r="H24" s="260"/>
      <c r="I24" s="257"/>
      <c r="J24" s="257"/>
      <c r="K24" s="267"/>
      <c r="L24" s="267"/>
      <c r="M24" s="264"/>
      <c r="N24" s="264"/>
      <c r="O24" s="264"/>
      <c r="P24" s="264"/>
      <c r="Q24" s="264"/>
    </row>
    <row r="25" spans="1:17" x14ac:dyDescent="0.2">
      <c r="A25" s="293" t="s">
        <v>400</v>
      </c>
      <c r="B25" s="261">
        <v>1</v>
      </c>
      <c r="C25" s="260">
        <v>75000</v>
      </c>
      <c r="D25" s="291">
        <f>B25*C25</f>
        <v>75000</v>
      </c>
      <c r="E25" s="292"/>
      <c r="F25" s="291"/>
      <c r="G25" s="260"/>
      <c r="H25" s="260"/>
      <c r="I25" s="257"/>
      <c r="J25" s="257"/>
      <c r="K25" s="267"/>
      <c r="L25" s="267"/>
      <c r="M25" s="264"/>
      <c r="N25" s="264"/>
      <c r="O25" s="264"/>
      <c r="P25" s="264"/>
      <c r="Q25" s="264"/>
    </row>
    <row r="26" spans="1:17" x14ac:dyDescent="0.2">
      <c r="A26" s="293" t="s">
        <v>401</v>
      </c>
      <c r="B26" s="261">
        <v>1</v>
      </c>
      <c r="C26" s="260">
        <v>4500</v>
      </c>
      <c r="D26" s="291">
        <f>B26*C26</f>
        <v>4500</v>
      </c>
      <c r="E26" s="292"/>
      <c r="F26" s="291"/>
      <c r="G26" s="260"/>
      <c r="H26" s="260"/>
      <c r="I26" s="257"/>
      <c r="J26" s="257"/>
      <c r="K26" s="267"/>
      <c r="L26" s="267"/>
      <c r="M26" s="264"/>
      <c r="N26" s="264"/>
      <c r="O26" s="264"/>
      <c r="P26" s="264"/>
      <c r="Q26" s="264"/>
    </row>
    <row r="27" spans="1:17" ht="15" x14ac:dyDescent="0.2">
      <c r="A27" s="268"/>
      <c r="B27" s="261"/>
      <c r="C27" s="260"/>
      <c r="D27" s="260"/>
      <c r="E27" s="261"/>
      <c r="F27" s="260"/>
      <c r="G27" s="260"/>
      <c r="H27" s="260"/>
      <c r="I27" s="257"/>
      <c r="J27" s="257"/>
      <c r="K27" s="267"/>
      <c r="L27" s="267"/>
      <c r="M27" s="264"/>
      <c r="N27" s="264"/>
      <c r="O27" s="264"/>
      <c r="P27" s="264"/>
      <c r="Q27" s="264"/>
    </row>
    <row r="28" spans="1:17" ht="15" x14ac:dyDescent="0.2">
      <c r="A28" s="268"/>
      <c r="B28" s="261"/>
      <c r="C28" s="269" t="s">
        <v>402</v>
      </c>
      <c r="D28" s="270">
        <f>SUM(D25:D27)</f>
        <v>79500</v>
      </c>
      <c r="E28" s="271"/>
      <c r="F28" s="270"/>
      <c r="G28" s="269" t="s">
        <v>355</v>
      </c>
      <c r="H28" s="272">
        <v>0</v>
      </c>
      <c r="I28" s="257"/>
      <c r="J28" s="257"/>
      <c r="K28" s="267"/>
      <c r="L28" s="267"/>
      <c r="M28" s="264"/>
      <c r="N28" s="264"/>
      <c r="O28" s="264"/>
      <c r="P28" s="264"/>
      <c r="Q28" s="264"/>
    </row>
    <row r="29" spans="1:17" ht="15" x14ac:dyDescent="0.2">
      <c r="A29" s="268"/>
      <c r="B29" s="261"/>
      <c r="C29" s="269"/>
      <c r="D29" s="270"/>
      <c r="E29" s="271"/>
      <c r="F29" s="270"/>
      <c r="G29" s="269"/>
      <c r="H29" s="272"/>
      <c r="I29" s="257"/>
      <c r="J29" s="257"/>
      <c r="K29" s="267"/>
      <c r="L29" s="267"/>
      <c r="M29" s="264"/>
      <c r="N29" s="264"/>
      <c r="O29" s="264"/>
      <c r="P29" s="264"/>
      <c r="Q29" s="264"/>
    </row>
    <row r="30" spans="1:17" ht="15" x14ac:dyDescent="0.2">
      <c r="A30" s="266" t="s">
        <v>271</v>
      </c>
      <c r="B30" s="261"/>
      <c r="C30" s="269"/>
      <c r="D30" s="270"/>
      <c r="E30" s="271"/>
      <c r="F30" s="270"/>
      <c r="G30" s="260"/>
      <c r="H30" s="260"/>
      <c r="I30" s="257"/>
      <c r="J30" s="257"/>
      <c r="K30" s="267"/>
      <c r="L30" s="267"/>
      <c r="M30" s="264"/>
      <c r="N30" s="264"/>
      <c r="O30" s="264"/>
      <c r="P30" s="264"/>
      <c r="Q30" s="264"/>
    </row>
    <row r="31" spans="1:17" ht="15" x14ac:dyDescent="0.2">
      <c r="A31" s="268"/>
      <c r="B31" s="261"/>
      <c r="C31" s="269"/>
      <c r="D31" s="294"/>
      <c r="E31" s="271"/>
      <c r="F31" s="270"/>
      <c r="G31" s="260"/>
      <c r="H31" s="260"/>
      <c r="I31" s="257"/>
      <c r="J31" s="257"/>
      <c r="K31" s="267"/>
      <c r="L31" s="267"/>
      <c r="M31" s="264"/>
      <c r="N31" s="264"/>
      <c r="O31" s="264"/>
      <c r="P31" s="264"/>
      <c r="Q31" s="264"/>
    </row>
    <row r="32" spans="1:17" ht="15" x14ac:dyDescent="0.2">
      <c r="A32" s="268"/>
      <c r="B32" s="261"/>
      <c r="C32" s="269"/>
      <c r="D32" s="270"/>
      <c r="E32" s="258"/>
      <c r="F32" s="259"/>
      <c r="G32" s="260"/>
      <c r="H32" s="260"/>
      <c r="I32" s="257"/>
      <c r="J32" s="257"/>
      <c r="K32" s="267"/>
      <c r="L32" s="267"/>
      <c r="M32" s="264"/>
      <c r="N32" s="264"/>
      <c r="O32" s="264"/>
      <c r="P32" s="264"/>
      <c r="Q32" s="264"/>
    </row>
    <row r="33" spans="1:17" ht="15" x14ac:dyDescent="0.2">
      <c r="A33" s="268"/>
      <c r="B33" s="261"/>
      <c r="C33" s="269" t="s">
        <v>279</v>
      </c>
      <c r="D33" s="270">
        <f>D31</f>
        <v>0</v>
      </c>
      <c r="E33" s="295"/>
      <c r="F33" s="270"/>
      <c r="G33" s="269" t="s">
        <v>279</v>
      </c>
      <c r="H33" s="272">
        <f>SUM(H32:H32)</f>
        <v>0</v>
      </c>
      <c r="I33" s="257"/>
      <c r="J33" s="257"/>
      <c r="K33" s="267"/>
      <c r="L33" s="267"/>
      <c r="M33" s="264"/>
      <c r="N33" s="264"/>
      <c r="O33" s="264"/>
      <c r="P33" s="264"/>
      <c r="Q33" s="264"/>
    </row>
    <row r="34" spans="1:17" ht="15" x14ac:dyDescent="0.2">
      <c r="A34" s="268"/>
      <c r="B34" s="261"/>
      <c r="C34" s="260"/>
      <c r="D34" s="260"/>
      <c r="E34" s="258"/>
      <c r="F34" s="260"/>
      <c r="G34" s="260"/>
      <c r="H34" s="260"/>
      <c r="I34" s="257"/>
      <c r="J34" s="257"/>
      <c r="K34" s="267"/>
      <c r="L34" s="267"/>
      <c r="M34" s="264"/>
      <c r="N34" s="264"/>
      <c r="O34" s="264"/>
      <c r="P34" s="264"/>
      <c r="Q34" s="264"/>
    </row>
    <row r="35" spans="1:17" x14ac:dyDescent="0.2">
      <c r="A35" s="296"/>
      <c r="B35" s="261"/>
      <c r="C35" s="260"/>
      <c r="D35" s="291"/>
      <c r="E35" s="271"/>
      <c r="F35" s="291"/>
      <c r="G35" s="260"/>
      <c r="H35" s="260"/>
      <c r="I35" s="257"/>
      <c r="J35" s="257"/>
      <c r="K35" s="267"/>
      <c r="L35" s="267"/>
      <c r="M35" s="264"/>
      <c r="N35" s="264"/>
      <c r="O35" s="264"/>
      <c r="P35" s="264"/>
      <c r="Q35" s="264"/>
    </row>
    <row r="36" spans="1:17" ht="15" x14ac:dyDescent="0.2">
      <c r="A36" s="297" t="s">
        <v>280</v>
      </c>
      <c r="B36" s="298"/>
      <c r="C36" s="299"/>
      <c r="D36" s="299">
        <f>D9+D16+D22+D28+D33</f>
        <v>440665</v>
      </c>
      <c r="E36" s="261"/>
      <c r="F36" s="299"/>
      <c r="G36" s="299"/>
      <c r="H36" s="299">
        <f>H9+H16+H22+H33</f>
        <v>0</v>
      </c>
      <c r="I36" s="257"/>
      <c r="J36" s="257"/>
      <c r="K36" s="300"/>
      <c r="L36" s="300"/>
      <c r="M36" s="301"/>
      <c r="N36" s="301"/>
      <c r="O36" s="301"/>
      <c r="P36" s="264"/>
      <c r="Q36" s="264"/>
    </row>
    <row r="37" spans="1:17" ht="15" x14ac:dyDescent="0.2">
      <c r="A37" s="297"/>
      <c r="B37" s="298"/>
      <c r="C37" s="299"/>
      <c r="D37" s="299"/>
      <c r="E37" s="292"/>
      <c r="F37" s="299"/>
      <c r="G37" s="299"/>
      <c r="H37" s="299"/>
      <c r="I37" s="257"/>
      <c r="J37" s="257"/>
      <c r="K37" s="300"/>
      <c r="L37" s="300"/>
      <c r="M37" s="301"/>
      <c r="N37" s="301"/>
      <c r="O37" s="301"/>
      <c r="P37" s="264"/>
      <c r="Q37" s="264"/>
    </row>
    <row r="38" spans="1:17" ht="15" x14ac:dyDescent="0.2">
      <c r="A38" s="266"/>
      <c r="B38" s="298"/>
      <c r="C38" s="299"/>
      <c r="D38" s="299"/>
      <c r="E38" s="298"/>
      <c r="F38" s="299"/>
      <c r="G38" s="299"/>
      <c r="H38" s="299"/>
      <c r="I38" s="257"/>
      <c r="J38" s="257"/>
      <c r="K38" s="300"/>
      <c r="L38" s="300"/>
      <c r="M38" s="301"/>
      <c r="N38" s="301"/>
      <c r="O38" s="301"/>
      <c r="P38" s="264"/>
      <c r="Q38" s="264"/>
    </row>
    <row r="39" spans="1:17" ht="15" x14ac:dyDescent="0.2">
      <c r="A39" s="297"/>
      <c r="B39" s="298"/>
      <c r="C39" s="299"/>
      <c r="D39" s="299"/>
      <c r="E39" s="298"/>
      <c r="F39" s="299"/>
      <c r="G39" s="299"/>
      <c r="H39" s="299"/>
      <c r="I39" s="257"/>
      <c r="J39" s="257"/>
      <c r="K39" s="300"/>
      <c r="L39" s="300"/>
      <c r="M39" s="301"/>
      <c r="N39" s="301"/>
      <c r="O39" s="301"/>
      <c r="P39" s="264"/>
      <c r="Q39" s="264"/>
    </row>
    <row r="40" spans="1:17" x14ac:dyDescent="0.2">
      <c r="A40" s="257"/>
      <c r="B40" s="261"/>
      <c r="C40" s="260"/>
      <c r="D40" s="260"/>
      <c r="E40" s="298"/>
      <c r="F40" s="260"/>
      <c r="G40" s="260"/>
      <c r="H40" s="260"/>
      <c r="I40" s="257"/>
      <c r="J40" s="257"/>
      <c r="K40" s="267"/>
      <c r="L40" s="267"/>
      <c r="M40" s="264"/>
      <c r="N40" s="264"/>
      <c r="O40" s="264"/>
      <c r="P40" s="264"/>
      <c r="Q40" s="264"/>
    </row>
    <row r="41" spans="1:17" x14ac:dyDescent="0.2">
      <c r="A41" s="257"/>
      <c r="B41" s="261"/>
      <c r="C41" s="260"/>
      <c r="D41" s="260"/>
      <c r="E41" s="298"/>
      <c r="F41" s="260"/>
      <c r="G41" s="260"/>
      <c r="H41" s="260"/>
      <c r="I41" s="257"/>
      <c r="J41" s="257"/>
      <c r="K41" s="267"/>
      <c r="L41" s="267"/>
      <c r="M41" s="264"/>
      <c r="N41" s="264"/>
      <c r="O41" s="264"/>
      <c r="P41" s="264"/>
      <c r="Q41" s="264"/>
    </row>
    <row r="42" spans="1:17" x14ac:dyDescent="0.2">
      <c r="B42" s="302"/>
      <c r="C42" s="303"/>
      <c r="D42" s="303"/>
      <c r="E42" s="304"/>
      <c r="F42" s="267"/>
      <c r="G42" s="267"/>
      <c r="H42" s="267"/>
      <c r="I42" s="301"/>
      <c r="J42" s="301"/>
      <c r="K42" s="303"/>
      <c r="L42" s="303"/>
    </row>
    <row r="43" spans="1:17" x14ac:dyDescent="0.2">
      <c r="B43" s="302"/>
      <c r="C43" s="303"/>
      <c r="D43" s="303"/>
      <c r="E43" s="304"/>
      <c r="F43" s="267"/>
      <c r="G43" s="267"/>
      <c r="H43" s="267"/>
      <c r="I43" s="301"/>
      <c r="J43" s="264"/>
      <c r="K43" s="303"/>
      <c r="L43" s="303"/>
    </row>
    <row r="44" spans="1:17" x14ac:dyDescent="0.2">
      <c r="A44" s="182" t="s">
        <v>283</v>
      </c>
      <c r="B44" s="183" t="s">
        <v>403</v>
      </c>
      <c r="C44" s="184"/>
      <c r="D44" s="185"/>
      <c r="E44" s="304"/>
      <c r="F44" s="267"/>
      <c r="G44" s="267"/>
      <c r="H44" s="267"/>
      <c r="I44" s="301"/>
      <c r="J44" s="301"/>
      <c r="K44" s="303"/>
      <c r="L44" s="303"/>
    </row>
    <row r="45" spans="1:17" x14ac:dyDescent="0.2">
      <c r="A45" s="186"/>
      <c r="B45" s="186"/>
      <c r="C45" s="184"/>
      <c r="D45" s="185"/>
      <c r="E45" s="304"/>
      <c r="F45" s="305"/>
      <c r="G45" s="267"/>
      <c r="H45" s="267"/>
      <c r="I45" s="301"/>
      <c r="J45" s="301"/>
      <c r="K45" s="303"/>
      <c r="L45" s="303"/>
      <c r="N45" s="306"/>
    </row>
    <row r="46" spans="1:17" x14ac:dyDescent="0.2">
      <c r="A46" s="188" t="s">
        <v>35</v>
      </c>
      <c r="B46" s="188">
        <v>651</v>
      </c>
      <c r="C46" s="369">
        <f>54*SUM(B5:B6)+D26</f>
        <v>25290</v>
      </c>
      <c r="D46" s="185"/>
      <c r="E46" s="304"/>
      <c r="F46" s="305"/>
      <c r="G46" s="267"/>
      <c r="H46" s="267"/>
      <c r="I46" s="264"/>
      <c r="J46" s="264"/>
      <c r="K46" s="303"/>
      <c r="L46" s="303"/>
      <c r="N46" s="306"/>
    </row>
    <row r="47" spans="1:17" x14ac:dyDescent="0.2">
      <c r="A47" s="189" t="s">
        <v>36</v>
      </c>
      <c r="B47" s="190">
        <v>652</v>
      </c>
      <c r="C47" s="369">
        <f>D19</f>
        <v>22000</v>
      </c>
      <c r="D47" s="191"/>
      <c r="E47" s="307"/>
      <c r="F47" s="305"/>
      <c r="G47" s="267"/>
      <c r="H47" s="267"/>
      <c r="I47" s="264"/>
      <c r="J47" s="264"/>
      <c r="K47" s="303"/>
      <c r="L47" s="303"/>
    </row>
    <row r="48" spans="1:17" x14ac:dyDescent="0.2">
      <c r="A48" s="190" t="s">
        <v>37</v>
      </c>
      <c r="B48" s="190">
        <v>652</v>
      </c>
      <c r="C48" s="369">
        <f>675*SUM(B5:B6)</f>
        <v>259875</v>
      </c>
      <c r="D48" s="191"/>
      <c r="E48" s="240"/>
      <c r="F48" s="191"/>
      <c r="G48" s="303"/>
      <c r="H48" s="303"/>
      <c r="K48" s="303"/>
      <c r="L48" s="303"/>
    </row>
    <row r="49" spans="1:10" x14ac:dyDescent="0.2">
      <c r="A49" s="190" t="s">
        <v>38</v>
      </c>
      <c r="B49" s="190">
        <v>652</v>
      </c>
      <c r="C49" s="369"/>
      <c r="D49" s="191"/>
      <c r="E49" s="240"/>
      <c r="F49" s="191"/>
    </row>
    <row r="50" spans="1:10" ht="15" x14ac:dyDescent="0.25">
      <c r="A50" s="190" t="s">
        <v>39</v>
      </c>
      <c r="B50" s="190">
        <v>652</v>
      </c>
      <c r="C50" s="369">
        <f>D20</f>
        <v>27000</v>
      </c>
      <c r="D50" s="192"/>
      <c r="E50" s="242"/>
      <c r="F50" s="191"/>
    </row>
    <row r="51" spans="1:10" ht="15" x14ac:dyDescent="0.25">
      <c r="A51" s="190" t="s">
        <v>44</v>
      </c>
      <c r="B51" s="190">
        <v>652</v>
      </c>
      <c r="C51" s="369">
        <f>D25</f>
        <v>75000</v>
      </c>
      <c r="D51" s="184"/>
      <c r="E51" s="242"/>
      <c r="F51" s="192"/>
      <c r="J51" s="306"/>
    </row>
    <row r="52" spans="1:10" x14ac:dyDescent="0.2">
      <c r="A52" s="190" t="s">
        <v>285</v>
      </c>
      <c r="B52" s="190">
        <v>652</v>
      </c>
      <c r="C52" s="369">
        <v>0</v>
      </c>
      <c r="D52" s="184"/>
      <c r="E52" s="242"/>
      <c r="F52" s="184"/>
      <c r="J52" s="306"/>
    </row>
    <row r="53" spans="1:10" ht="15" x14ac:dyDescent="0.25">
      <c r="A53" s="190" t="s">
        <v>41</v>
      </c>
      <c r="B53" s="190">
        <v>652</v>
      </c>
      <c r="C53" s="369">
        <f>SUM(O28:O31)</f>
        <v>0</v>
      </c>
      <c r="D53" s="184"/>
      <c r="E53" s="241"/>
      <c r="F53" s="184"/>
    </row>
    <row r="54" spans="1:10" x14ac:dyDescent="0.2">
      <c r="A54" s="193" t="s">
        <v>42</v>
      </c>
      <c r="B54" s="193">
        <v>734</v>
      </c>
      <c r="C54" s="369">
        <v>0</v>
      </c>
      <c r="D54" s="184"/>
      <c r="E54" s="240"/>
      <c r="F54" s="184"/>
    </row>
    <row r="55" spans="1:10" x14ac:dyDescent="0.2">
      <c r="A55" s="194" t="s">
        <v>43</v>
      </c>
      <c r="B55" s="193">
        <v>734</v>
      </c>
      <c r="C55" s="369">
        <f>D12</f>
        <v>9000</v>
      </c>
      <c r="D55" s="184"/>
      <c r="E55" s="240"/>
      <c r="F55" s="184"/>
    </row>
    <row r="56" spans="1:10" x14ac:dyDescent="0.2">
      <c r="A56" s="193" t="s">
        <v>44</v>
      </c>
      <c r="B56" s="193">
        <v>734</v>
      </c>
      <c r="C56" s="369">
        <v>0</v>
      </c>
      <c r="D56" s="184"/>
      <c r="E56" s="240"/>
      <c r="F56" s="184"/>
    </row>
    <row r="57" spans="1:10" x14ac:dyDescent="0.2">
      <c r="A57" s="195" t="s">
        <v>45</v>
      </c>
      <c r="B57" s="195">
        <v>735</v>
      </c>
      <c r="C57" s="369">
        <f>D13+D14</f>
        <v>22500</v>
      </c>
      <c r="D57" s="184"/>
      <c r="E57" s="240"/>
      <c r="F57" s="184"/>
    </row>
    <row r="58" spans="1:10" x14ac:dyDescent="0.2">
      <c r="A58" s="184"/>
      <c r="B58" s="184"/>
      <c r="C58" s="369"/>
      <c r="D58" s="184"/>
      <c r="E58" s="240"/>
      <c r="F58" s="184"/>
    </row>
    <row r="59" spans="1:10" x14ac:dyDescent="0.2">
      <c r="A59" s="184"/>
      <c r="B59" s="196" t="s">
        <v>286</v>
      </c>
      <c r="C59" s="369">
        <f>SUM(C46:C57)</f>
        <v>440665</v>
      </c>
      <c r="D59" s="184"/>
      <c r="E59" s="240"/>
      <c r="F59" s="184"/>
    </row>
    <row r="60" spans="1:10" x14ac:dyDescent="0.2">
      <c r="C60" s="370"/>
      <c r="E60" s="240"/>
      <c r="F60" s="184"/>
    </row>
    <row r="61" spans="1:10" x14ac:dyDescent="0.2">
      <c r="E61" s="240"/>
    </row>
    <row r="62" spans="1:10" x14ac:dyDescent="0.2">
      <c r="E62" s="240"/>
    </row>
  </sheetData>
  <mergeCells count="1">
    <mergeCell ref="A1:J1"/>
  </mergeCells>
  <pageMargins left="0.7" right="0.7" top="0.75" bottom="0.75" header="0.3" footer="0.3"/>
  <pageSetup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  <pageSetUpPr fitToPage="1"/>
  </sheetPr>
  <dimension ref="A1:K69"/>
  <sheetViews>
    <sheetView topLeftCell="A22" workbookViewId="0">
      <selection activeCell="D57" sqref="D57"/>
    </sheetView>
  </sheetViews>
  <sheetFormatPr defaultColWidth="9.140625" defaultRowHeight="12.75" x14ac:dyDescent="0.2"/>
  <cols>
    <col min="1" max="1" width="49.140625" style="20" bestFit="1" customWidth="1"/>
    <col min="2" max="2" width="9.140625" style="20"/>
    <col min="3" max="3" width="11.140625" style="20" bestFit="1" customWidth="1"/>
    <col min="4" max="4" width="15.28515625" style="20" bestFit="1" customWidth="1"/>
    <col min="5" max="5" width="15.28515625" style="337" customWidth="1"/>
    <col min="6" max="6" width="15.28515625" style="20" customWidth="1"/>
    <col min="7" max="7" width="8.28515625" style="20" customWidth="1"/>
    <col min="8" max="8" width="11.140625" style="20" bestFit="1" customWidth="1"/>
    <col min="9" max="9" width="11.28515625" style="20" bestFit="1" customWidth="1"/>
    <col min="10" max="10" width="37.28515625" style="20" bestFit="1" customWidth="1"/>
    <col min="11" max="16384" width="9.140625" style="20"/>
  </cols>
  <sheetData>
    <row r="1" spans="1:11" x14ac:dyDescent="0.2">
      <c r="A1" s="560" t="s">
        <v>384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</row>
    <row r="2" spans="1:11" x14ac:dyDescent="0.2">
      <c r="A2" s="332"/>
      <c r="B2" s="332"/>
      <c r="C2" s="332"/>
      <c r="D2" s="332"/>
      <c r="E2" s="333"/>
      <c r="F2" s="332"/>
      <c r="G2" s="332"/>
      <c r="H2" s="332"/>
      <c r="I2" s="332"/>
      <c r="J2" s="332"/>
      <c r="K2" s="332"/>
    </row>
    <row r="3" spans="1:11" x14ac:dyDescent="0.2">
      <c r="B3" s="334" t="s">
        <v>206</v>
      </c>
      <c r="C3" s="335" t="s">
        <v>207</v>
      </c>
      <c r="D3" s="336"/>
      <c r="E3" s="337" t="s">
        <v>383</v>
      </c>
      <c r="F3" s="336" t="s">
        <v>382</v>
      </c>
      <c r="G3" s="335" t="s">
        <v>208</v>
      </c>
      <c r="H3" s="335" t="s">
        <v>381</v>
      </c>
      <c r="J3" s="338" t="s">
        <v>211</v>
      </c>
    </row>
    <row r="4" spans="1:11" ht="15" x14ac:dyDescent="0.2">
      <c r="A4" s="339" t="s">
        <v>212</v>
      </c>
      <c r="B4" s="337"/>
      <c r="C4" s="336"/>
      <c r="D4" s="336"/>
      <c r="F4" s="336"/>
      <c r="G4" s="336"/>
      <c r="H4" s="336"/>
      <c r="J4" s="338" t="s">
        <v>215</v>
      </c>
    </row>
    <row r="5" spans="1:11" ht="15" x14ac:dyDescent="0.2">
      <c r="A5" s="340" t="s">
        <v>380</v>
      </c>
      <c r="B5" s="337">
        <v>270</v>
      </c>
      <c r="C5" s="336">
        <v>750</v>
      </c>
      <c r="D5" s="336">
        <f>B5*C5</f>
        <v>202500</v>
      </c>
      <c r="E5" s="337">
        <v>145</v>
      </c>
      <c r="F5" s="336">
        <v>588.62</v>
      </c>
      <c r="G5" s="336"/>
      <c r="H5" s="336">
        <f>E5*F5</f>
        <v>85349.9</v>
      </c>
      <c r="I5" s="387">
        <v>85349.9</v>
      </c>
      <c r="J5" s="20" t="s">
        <v>379</v>
      </c>
    </row>
    <row r="6" spans="1:11" ht="15" x14ac:dyDescent="0.2">
      <c r="A6" s="340" t="s">
        <v>378</v>
      </c>
      <c r="B6" s="337">
        <v>110</v>
      </c>
      <c r="C6" s="336">
        <v>750</v>
      </c>
      <c r="D6" s="336">
        <f>B6*C6</f>
        <v>82500</v>
      </c>
      <c r="E6" s="337">
        <v>108</v>
      </c>
      <c r="F6" s="336">
        <v>588.62</v>
      </c>
      <c r="G6" s="336"/>
      <c r="H6" s="336">
        <f t="shared" ref="H6:H15" si="0">E6*F6</f>
        <v>63570.96</v>
      </c>
      <c r="I6" s="387">
        <v>63570.96</v>
      </c>
    </row>
    <row r="7" spans="1:11" ht="15" x14ac:dyDescent="0.2">
      <c r="A7" s="340" t="s">
        <v>377</v>
      </c>
      <c r="B7" s="337"/>
      <c r="C7" s="336"/>
      <c r="D7" s="336"/>
      <c r="E7" s="337">
        <v>52</v>
      </c>
      <c r="F7" s="336">
        <v>588.62</v>
      </c>
      <c r="G7" s="336"/>
      <c r="H7" s="388">
        <f t="shared" si="0"/>
        <v>30608.240000000002</v>
      </c>
      <c r="I7" s="389">
        <v>36494.44</v>
      </c>
    </row>
    <row r="8" spans="1:11" ht="15" x14ac:dyDescent="0.2">
      <c r="A8" s="340" t="s">
        <v>376</v>
      </c>
      <c r="B8" s="337"/>
      <c r="C8" s="336"/>
      <c r="D8" s="336"/>
      <c r="E8" s="337">
        <v>10</v>
      </c>
      <c r="F8" s="336">
        <v>588.62</v>
      </c>
      <c r="G8" s="336"/>
      <c r="H8" s="388">
        <f t="shared" si="0"/>
        <v>5886.2</v>
      </c>
      <c r="I8" s="387"/>
    </row>
    <row r="9" spans="1:11" ht="15" x14ac:dyDescent="0.2">
      <c r="A9" s="340" t="s">
        <v>375</v>
      </c>
      <c r="B9" s="337"/>
      <c r="C9" s="336"/>
      <c r="D9" s="336"/>
      <c r="E9" s="337">
        <v>315</v>
      </c>
      <c r="F9" s="336">
        <v>53.68</v>
      </c>
      <c r="G9" s="336"/>
      <c r="H9" s="336">
        <f t="shared" si="0"/>
        <v>16909.2</v>
      </c>
      <c r="I9" s="387">
        <f>3328.16+7783.6+5797.44</f>
        <v>16909.2</v>
      </c>
    </row>
    <row r="10" spans="1:11" ht="15" x14ac:dyDescent="0.2">
      <c r="A10" s="340" t="s">
        <v>374</v>
      </c>
      <c r="B10" s="337">
        <v>400</v>
      </c>
      <c r="C10" s="336">
        <v>22.8</v>
      </c>
      <c r="D10" s="336">
        <f>B10*C10</f>
        <v>9120</v>
      </c>
      <c r="E10" s="337">
        <v>100</v>
      </c>
      <c r="F10" s="336">
        <v>22.8</v>
      </c>
      <c r="G10" s="336"/>
      <c r="H10" s="336">
        <f t="shared" si="0"/>
        <v>2280</v>
      </c>
      <c r="I10" s="390">
        <f>1982.57+1586.88</f>
        <v>3569.45</v>
      </c>
    </row>
    <row r="11" spans="1:11" ht="15" x14ac:dyDescent="0.2">
      <c r="A11" s="340" t="s">
        <v>373</v>
      </c>
      <c r="B11" s="337">
        <v>120</v>
      </c>
      <c r="C11" s="336">
        <v>51</v>
      </c>
      <c r="D11" s="336">
        <f>B11*C11</f>
        <v>6120</v>
      </c>
      <c r="E11" s="337">
        <v>120</v>
      </c>
      <c r="F11" s="336">
        <v>50.91</v>
      </c>
      <c r="G11" s="336"/>
      <c r="H11" s="336">
        <f t="shared" si="0"/>
        <v>6109.2</v>
      </c>
      <c r="I11" s="387">
        <f>H11</f>
        <v>6109.2</v>
      </c>
      <c r="J11" s="338" t="s">
        <v>371</v>
      </c>
    </row>
    <row r="12" spans="1:11" ht="15" x14ac:dyDescent="0.2">
      <c r="A12" s="340" t="s">
        <v>372</v>
      </c>
      <c r="B12" s="337">
        <v>120</v>
      </c>
      <c r="C12" s="336">
        <v>53</v>
      </c>
      <c r="D12" s="336">
        <f>B12*C12</f>
        <v>6360</v>
      </c>
      <c r="E12" s="337">
        <v>120</v>
      </c>
      <c r="F12" s="336">
        <v>53.68</v>
      </c>
      <c r="G12" s="336"/>
      <c r="H12" s="336">
        <f t="shared" si="0"/>
        <v>6441.6</v>
      </c>
      <c r="I12" s="387">
        <f>H12</f>
        <v>6441.6</v>
      </c>
      <c r="J12" s="338" t="s">
        <v>371</v>
      </c>
    </row>
    <row r="13" spans="1:11" ht="15" x14ac:dyDescent="0.2">
      <c r="A13" s="340" t="s">
        <v>370</v>
      </c>
      <c r="B13" s="337"/>
      <c r="C13" s="336"/>
      <c r="D13" s="336"/>
      <c r="E13" s="337">
        <v>225</v>
      </c>
      <c r="F13" s="336">
        <v>311</v>
      </c>
      <c r="G13" s="336"/>
      <c r="H13" s="336">
        <f t="shared" si="0"/>
        <v>69975</v>
      </c>
      <c r="I13" s="387">
        <v>69975</v>
      </c>
      <c r="J13" s="338" t="s">
        <v>369</v>
      </c>
    </row>
    <row r="14" spans="1:11" ht="15" x14ac:dyDescent="0.2">
      <c r="A14" s="340" t="s">
        <v>368</v>
      </c>
      <c r="B14" s="337"/>
      <c r="C14" s="336"/>
      <c r="D14" s="336"/>
      <c r="E14" s="337">
        <v>225</v>
      </c>
      <c r="F14" s="336">
        <v>25</v>
      </c>
      <c r="G14" s="336"/>
      <c r="H14" s="336">
        <f t="shared" si="0"/>
        <v>5625</v>
      </c>
      <c r="I14" s="387">
        <v>5625</v>
      </c>
      <c r="J14" s="338"/>
    </row>
    <row r="15" spans="1:11" ht="15" x14ac:dyDescent="0.2">
      <c r="A15" s="340" t="s">
        <v>367</v>
      </c>
      <c r="B15" s="337"/>
      <c r="C15" s="336"/>
      <c r="D15" s="336"/>
      <c r="E15" s="337">
        <v>7</v>
      </c>
      <c r="F15" s="336">
        <v>1469</v>
      </c>
      <c r="G15" s="336"/>
      <c r="H15" s="336">
        <f t="shared" si="0"/>
        <v>10283</v>
      </c>
      <c r="I15" s="387">
        <v>10283</v>
      </c>
    </row>
    <row r="16" spans="1:11" ht="15" x14ac:dyDescent="0.2">
      <c r="A16" s="340" t="s">
        <v>477</v>
      </c>
      <c r="B16" s="337"/>
      <c r="C16" s="336"/>
      <c r="D16" s="336"/>
      <c r="E16" s="337">
        <v>32</v>
      </c>
      <c r="F16" s="336">
        <v>322</v>
      </c>
      <c r="G16" s="336"/>
      <c r="H16" s="336">
        <f>E16*F16</f>
        <v>10304</v>
      </c>
      <c r="I16" s="387">
        <f>832+9472</f>
        <v>10304</v>
      </c>
      <c r="J16" s="20" t="s">
        <v>478</v>
      </c>
    </row>
    <row r="17" spans="1:10" ht="15" x14ac:dyDescent="0.2">
      <c r="A17" s="340"/>
      <c r="B17" s="337"/>
      <c r="C17" s="336"/>
      <c r="D17" s="336"/>
      <c r="F17" s="336"/>
      <c r="G17" s="336"/>
      <c r="H17" s="336"/>
      <c r="I17" s="387"/>
    </row>
    <row r="18" spans="1:10" ht="15" x14ac:dyDescent="0.2">
      <c r="A18" s="340"/>
      <c r="B18" s="337"/>
      <c r="C18" s="341" t="s">
        <v>236</v>
      </c>
      <c r="D18" s="342">
        <f>SUM(D5:D12)</f>
        <v>306600</v>
      </c>
      <c r="E18" s="343"/>
      <c r="F18" s="342"/>
      <c r="G18" s="341" t="s">
        <v>236</v>
      </c>
      <c r="H18" s="344">
        <f>SUM(H5:H16)</f>
        <v>313342.30000000005</v>
      </c>
      <c r="I18" s="387"/>
      <c r="J18" s="36"/>
    </row>
    <row r="19" spans="1:10" ht="15" x14ac:dyDescent="0.2">
      <c r="A19" s="340"/>
      <c r="B19" s="337"/>
      <c r="C19" s="336"/>
      <c r="D19" s="336"/>
      <c r="F19" s="336"/>
      <c r="G19" s="336"/>
      <c r="H19" s="336"/>
      <c r="I19" s="387"/>
    </row>
    <row r="20" spans="1:10" ht="15" x14ac:dyDescent="0.2">
      <c r="A20" s="339" t="s">
        <v>366</v>
      </c>
      <c r="B20" s="337"/>
      <c r="C20" s="336"/>
      <c r="D20" s="336"/>
      <c r="F20" s="336"/>
      <c r="G20" s="336"/>
      <c r="H20" s="336"/>
      <c r="I20" s="387"/>
      <c r="J20" s="36"/>
    </row>
    <row r="21" spans="1:10" ht="15" x14ac:dyDescent="0.2">
      <c r="A21" s="340" t="s">
        <v>365</v>
      </c>
      <c r="B21" s="337">
        <v>1</v>
      </c>
      <c r="C21" s="336">
        <v>10000</v>
      </c>
      <c r="D21" s="336">
        <f>B21*C21</f>
        <v>10000</v>
      </c>
      <c r="F21" s="336"/>
      <c r="G21" s="336"/>
      <c r="H21" s="374">
        <v>10000</v>
      </c>
      <c r="I21" s="387"/>
      <c r="J21" s="377" t="s">
        <v>485</v>
      </c>
    </row>
    <row r="22" spans="1:10" ht="15" x14ac:dyDescent="0.2">
      <c r="A22" s="340" t="s">
        <v>363</v>
      </c>
      <c r="B22" s="337">
        <v>1</v>
      </c>
      <c r="C22" s="336">
        <v>26000</v>
      </c>
      <c r="D22" s="336">
        <f>B22*C22</f>
        <v>26000</v>
      </c>
      <c r="F22" s="336"/>
      <c r="G22" s="336"/>
      <c r="H22" s="374">
        <v>26000</v>
      </c>
      <c r="I22" s="387"/>
    </row>
    <row r="23" spans="1:10" ht="15" x14ac:dyDescent="0.2">
      <c r="A23" s="340" t="s">
        <v>362</v>
      </c>
      <c r="B23" s="337">
        <v>1</v>
      </c>
      <c r="C23" s="336">
        <v>15000</v>
      </c>
      <c r="D23" s="336">
        <f>B23*C23</f>
        <v>15000</v>
      </c>
      <c r="F23" s="336"/>
      <c r="G23" s="336"/>
      <c r="H23" s="374">
        <v>14000</v>
      </c>
      <c r="I23" s="387"/>
    </row>
    <row r="24" spans="1:10" ht="15" x14ac:dyDescent="0.2">
      <c r="A24" s="340" t="s">
        <v>361</v>
      </c>
      <c r="B24" s="337">
        <v>1</v>
      </c>
      <c r="C24" s="336">
        <v>8000</v>
      </c>
      <c r="D24" s="336">
        <f>B24*C24</f>
        <v>8000</v>
      </c>
      <c r="E24" s="337">
        <v>1</v>
      </c>
      <c r="F24" s="336">
        <v>7037.93</v>
      </c>
      <c r="G24" s="336"/>
      <c r="H24" s="336">
        <f>E24*F24</f>
        <v>7037.93</v>
      </c>
      <c r="I24" s="387">
        <v>7037.93</v>
      </c>
    </row>
    <row r="25" spans="1:10" ht="15" x14ac:dyDescent="0.2">
      <c r="A25" s="340"/>
      <c r="B25" s="337"/>
      <c r="C25" s="336"/>
      <c r="D25" s="336"/>
      <c r="F25" s="336"/>
      <c r="G25" s="336"/>
      <c r="H25" s="336"/>
      <c r="I25" s="387"/>
    </row>
    <row r="26" spans="1:10" ht="15" x14ac:dyDescent="0.25">
      <c r="A26" s="346"/>
      <c r="B26" s="337"/>
      <c r="C26" s="341" t="s">
        <v>360</v>
      </c>
      <c r="D26" s="347">
        <f>SUM(D21:D24)</f>
        <v>59000</v>
      </c>
      <c r="E26" s="348"/>
      <c r="F26" s="347"/>
      <c r="G26" s="341" t="s">
        <v>360</v>
      </c>
      <c r="H26" s="344">
        <f>SUM(H21:H24)</f>
        <v>57037.93</v>
      </c>
      <c r="I26" s="387"/>
    </row>
    <row r="27" spans="1:10" ht="15" x14ac:dyDescent="0.25">
      <c r="A27" s="346"/>
      <c r="B27" s="337"/>
      <c r="C27" s="341"/>
      <c r="D27" s="347"/>
      <c r="E27" s="348"/>
      <c r="F27" s="347"/>
      <c r="G27" s="336"/>
      <c r="H27" s="336"/>
      <c r="I27" s="387"/>
    </row>
    <row r="28" spans="1:10" ht="15" x14ac:dyDescent="0.25">
      <c r="A28" s="349" t="s">
        <v>359</v>
      </c>
      <c r="B28" s="337"/>
      <c r="C28" s="341"/>
      <c r="D28" s="347"/>
      <c r="E28" s="348"/>
      <c r="F28" s="347"/>
      <c r="G28" s="336"/>
      <c r="H28" s="336"/>
      <c r="I28" s="387"/>
    </row>
    <row r="29" spans="1:10" ht="15" x14ac:dyDescent="0.25">
      <c r="A29" s="346" t="s">
        <v>358</v>
      </c>
      <c r="B29" s="337">
        <v>1</v>
      </c>
      <c r="C29" s="341"/>
      <c r="D29" s="350">
        <v>4000</v>
      </c>
      <c r="E29" s="351">
        <v>1</v>
      </c>
      <c r="F29" s="350"/>
      <c r="G29" s="336"/>
      <c r="H29" s="335">
        <v>5074.95</v>
      </c>
      <c r="I29" s="387">
        <v>5074.95</v>
      </c>
    </row>
    <row r="30" spans="1:10" ht="15" x14ac:dyDescent="0.25">
      <c r="A30" s="346" t="s">
        <v>357</v>
      </c>
      <c r="B30" s="337"/>
      <c r="C30" s="341"/>
      <c r="D30" s="350">
        <v>10000</v>
      </c>
      <c r="E30" s="351"/>
      <c r="F30" s="350"/>
      <c r="G30" s="336"/>
      <c r="H30" s="374">
        <v>0</v>
      </c>
      <c r="I30" s="387"/>
      <c r="J30" s="20" t="s">
        <v>497</v>
      </c>
    </row>
    <row r="31" spans="1:10" ht="15" x14ac:dyDescent="0.25">
      <c r="A31" s="346"/>
      <c r="B31" s="337"/>
      <c r="C31" s="341"/>
      <c r="D31" s="350"/>
      <c r="E31" s="351"/>
      <c r="F31" s="350"/>
      <c r="G31" s="336"/>
      <c r="H31" s="336"/>
      <c r="I31" s="387"/>
    </row>
    <row r="32" spans="1:10" ht="15" x14ac:dyDescent="0.25">
      <c r="A32" s="349"/>
      <c r="B32" s="337"/>
      <c r="C32" s="341" t="s">
        <v>356</v>
      </c>
      <c r="D32" s="347">
        <f>SUM(D29:D31)</f>
        <v>14000</v>
      </c>
      <c r="E32" s="348"/>
      <c r="F32" s="347"/>
      <c r="G32" s="341" t="s">
        <v>356</v>
      </c>
      <c r="H32" s="344">
        <f>SUM(H29:H31)</f>
        <v>5074.95</v>
      </c>
      <c r="I32" s="387"/>
    </row>
    <row r="33" spans="1:11" ht="15" x14ac:dyDescent="0.2">
      <c r="A33" s="340"/>
      <c r="B33" s="337"/>
      <c r="C33" s="336"/>
      <c r="D33" s="336"/>
      <c r="F33" s="336"/>
      <c r="G33" s="336"/>
      <c r="H33" s="336"/>
      <c r="I33" s="387"/>
    </row>
    <row r="34" spans="1:11" x14ac:dyDescent="0.2">
      <c r="A34" s="352" t="s">
        <v>259</v>
      </c>
      <c r="B34" s="337"/>
      <c r="C34" s="336"/>
      <c r="D34" s="353"/>
      <c r="E34" s="354"/>
      <c r="F34" s="353"/>
      <c r="G34" s="336"/>
      <c r="H34" s="336"/>
      <c r="I34" s="387"/>
    </row>
    <row r="35" spans="1:11" ht="15" x14ac:dyDescent="0.2">
      <c r="A35" s="340"/>
      <c r="B35" s="337"/>
      <c r="C35" s="336"/>
      <c r="D35" s="336"/>
      <c r="F35" s="336"/>
      <c r="G35" s="336"/>
      <c r="H35" s="336"/>
      <c r="I35" s="387"/>
    </row>
    <row r="36" spans="1:11" ht="15" x14ac:dyDescent="0.2">
      <c r="A36" s="340"/>
      <c r="B36" s="337"/>
      <c r="C36" s="341" t="s">
        <v>270</v>
      </c>
      <c r="D36" s="342">
        <f>SUM(D35:D35)</f>
        <v>0</v>
      </c>
      <c r="E36" s="343"/>
      <c r="F36" s="342"/>
      <c r="G36" s="341" t="s">
        <v>355</v>
      </c>
      <c r="H36" s="344">
        <v>0</v>
      </c>
      <c r="I36" s="387"/>
    </row>
    <row r="37" spans="1:11" ht="15" x14ac:dyDescent="0.2">
      <c r="A37" s="339" t="s">
        <v>271</v>
      </c>
      <c r="B37" s="337"/>
      <c r="C37" s="341"/>
      <c r="D37" s="342"/>
      <c r="E37" s="343"/>
      <c r="F37" s="342"/>
      <c r="G37" s="336"/>
      <c r="H37" s="336"/>
      <c r="I37" s="387"/>
    </row>
    <row r="38" spans="1:11" ht="15" x14ac:dyDescent="0.2">
      <c r="A38" s="340"/>
      <c r="B38" s="337"/>
      <c r="C38" s="341"/>
      <c r="D38" s="342"/>
      <c r="E38" s="343"/>
      <c r="F38" s="342"/>
      <c r="G38" s="336"/>
      <c r="H38" s="336"/>
      <c r="I38" s="387"/>
    </row>
    <row r="39" spans="1:11" ht="15" x14ac:dyDescent="0.2">
      <c r="A39" s="340" t="s">
        <v>354</v>
      </c>
      <c r="B39" s="337"/>
      <c r="C39" s="341"/>
      <c r="D39" s="335">
        <v>20000</v>
      </c>
      <c r="E39" s="334"/>
      <c r="F39" s="335"/>
      <c r="G39" s="336"/>
      <c r="H39" s="345">
        <v>18000</v>
      </c>
      <c r="I39" s="387"/>
      <c r="J39" s="375">
        <v>12000</v>
      </c>
      <c r="K39" s="375" t="s">
        <v>483</v>
      </c>
    </row>
    <row r="40" spans="1:11" ht="15" x14ac:dyDescent="0.2">
      <c r="A40" s="340" t="s">
        <v>276</v>
      </c>
      <c r="B40" s="337"/>
      <c r="C40" s="341"/>
      <c r="D40" s="355">
        <v>3400</v>
      </c>
      <c r="E40" s="356"/>
      <c r="F40" s="355"/>
      <c r="G40" s="336"/>
      <c r="H40" s="335">
        <v>0</v>
      </c>
      <c r="I40" s="387"/>
    </row>
    <row r="41" spans="1:11" ht="15" x14ac:dyDescent="0.2">
      <c r="A41" s="340"/>
      <c r="B41" s="337"/>
      <c r="C41" s="341"/>
      <c r="D41" s="335"/>
      <c r="E41" s="334"/>
      <c r="F41" s="335"/>
      <c r="G41" s="336"/>
      <c r="H41" s="336"/>
      <c r="I41" s="387"/>
    </row>
    <row r="42" spans="1:11" ht="15" x14ac:dyDescent="0.2">
      <c r="A42" s="340"/>
      <c r="B42" s="337"/>
      <c r="C42" s="341" t="s">
        <v>279</v>
      </c>
      <c r="D42" s="342">
        <f>SUM(D37:D41)</f>
        <v>23400</v>
      </c>
      <c r="E42" s="343"/>
      <c r="F42" s="342"/>
      <c r="G42" s="341" t="s">
        <v>279</v>
      </c>
      <c r="H42" s="344">
        <f>SUM(H39:H41)</f>
        <v>18000</v>
      </c>
      <c r="I42" s="387"/>
    </row>
    <row r="43" spans="1:11" ht="15" x14ac:dyDescent="0.2">
      <c r="A43" s="340"/>
      <c r="B43" s="337"/>
      <c r="C43" s="336"/>
      <c r="D43" s="336"/>
      <c r="F43" s="336"/>
      <c r="G43" s="336"/>
      <c r="H43" s="336"/>
      <c r="I43" s="387"/>
    </row>
    <row r="44" spans="1:11" x14ac:dyDescent="0.2">
      <c r="A44" s="357"/>
      <c r="B44" s="337"/>
      <c r="C44" s="336"/>
      <c r="D44" s="353"/>
      <c r="E44" s="354"/>
      <c r="F44" s="353"/>
      <c r="G44" s="336"/>
      <c r="H44" s="336"/>
      <c r="I44" s="387"/>
    </row>
    <row r="45" spans="1:11" ht="15" x14ac:dyDescent="0.2">
      <c r="A45" s="358" t="s">
        <v>280</v>
      </c>
      <c r="B45" s="359"/>
      <c r="C45" s="360"/>
      <c r="D45" s="360">
        <f>D18+D26+D32+D36+D42</f>
        <v>403000</v>
      </c>
      <c r="E45" s="359"/>
      <c r="F45" s="360"/>
      <c r="G45" s="360"/>
      <c r="H45" s="360">
        <f>H18+H26+H32+H42</f>
        <v>393455.18000000005</v>
      </c>
      <c r="I45" s="387">
        <f>SUM(I5:I44)</f>
        <v>326744.63</v>
      </c>
      <c r="J45" s="361" t="s">
        <v>351</v>
      </c>
      <c r="K45" s="361"/>
    </row>
    <row r="46" spans="1:11" ht="15" x14ac:dyDescent="0.2">
      <c r="A46" s="358"/>
      <c r="B46" s="359"/>
      <c r="C46" s="360"/>
      <c r="D46" s="360"/>
      <c r="E46" s="359"/>
      <c r="F46" s="360"/>
      <c r="G46" s="360"/>
      <c r="H46" s="360"/>
      <c r="I46" s="387"/>
      <c r="K46" s="361"/>
    </row>
    <row r="47" spans="1:11" ht="15" x14ac:dyDescent="0.2">
      <c r="A47" s="339"/>
      <c r="B47" s="359"/>
      <c r="C47" s="360"/>
      <c r="D47" s="360"/>
      <c r="E47" s="359"/>
      <c r="F47" s="360"/>
      <c r="G47" s="360"/>
      <c r="H47" s="360"/>
      <c r="I47" s="387"/>
      <c r="J47" s="361"/>
      <c r="K47" s="361"/>
    </row>
    <row r="48" spans="1:11" ht="15" x14ac:dyDescent="0.2">
      <c r="A48" s="358"/>
      <c r="B48" s="359"/>
      <c r="C48" s="360"/>
      <c r="D48" s="360"/>
      <c r="E48" s="359"/>
      <c r="F48" s="360"/>
      <c r="G48" s="360"/>
      <c r="H48" s="360">
        <f>H30+J39+H23+H22+H21</f>
        <v>62000</v>
      </c>
      <c r="I48" s="387"/>
      <c r="J48" s="361"/>
      <c r="K48" s="361"/>
    </row>
    <row r="49" spans="1:10" x14ac:dyDescent="0.2">
      <c r="B49" s="337"/>
      <c r="C49" s="336"/>
      <c r="D49" s="336"/>
      <c r="F49" s="336"/>
      <c r="G49" s="336"/>
      <c r="H49" s="336"/>
      <c r="I49" s="387"/>
    </row>
    <row r="50" spans="1:10" x14ac:dyDescent="0.2">
      <c r="B50" s="337"/>
      <c r="C50" s="336"/>
      <c r="D50" s="336"/>
      <c r="F50" s="336"/>
      <c r="G50" s="336"/>
      <c r="H50" s="336"/>
      <c r="I50" s="387"/>
    </row>
    <row r="51" spans="1:10" x14ac:dyDescent="0.2">
      <c r="B51" s="337"/>
      <c r="C51" s="336"/>
      <c r="D51" s="336"/>
      <c r="F51" s="336"/>
      <c r="G51" s="336"/>
      <c r="H51" s="336"/>
      <c r="I51" s="387"/>
    </row>
    <row r="52" spans="1:10" x14ac:dyDescent="0.2">
      <c r="B52" s="337"/>
      <c r="C52" s="336"/>
      <c r="D52" s="336"/>
      <c r="F52" s="336"/>
      <c r="G52" s="336"/>
      <c r="H52" s="336"/>
      <c r="I52" s="387"/>
    </row>
    <row r="53" spans="1:10" x14ac:dyDescent="0.2">
      <c r="B53" s="337"/>
      <c r="C53" s="336"/>
      <c r="D53" s="336"/>
      <c r="F53" s="336"/>
      <c r="G53" s="336"/>
      <c r="H53" s="336"/>
      <c r="I53" s="387"/>
    </row>
    <row r="54" spans="1:10" x14ac:dyDescent="0.2">
      <c r="A54" s="183" t="s">
        <v>283</v>
      </c>
      <c r="B54" s="183" t="s">
        <v>479</v>
      </c>
      <c r="C54" s="362"/>
      <c r="D54" s="305"/>
      <c r="E54" s="307"/>
      <c r="F54" s="305"/>
      <c r="G54" s="336"/>
      <c r="H54" s="336"/>
      <c r="I54" s="387"/>
      <c r="J54" s="363"/>
    </row>
    <row r="55" spans="1:10" x14ac:dyDescent="0.2">
      <c r="A55" s="186"/>
      <c r="B55" s="186"/>
      <c r="C55" s="362"/>
      <c r="D55" s="305"/>
      <c r="E55" s="307"/>
      <c r="F55" s="305"/>
      <c r="G55" s="336"/>
      <c r="H55" s="336"/>
      <c r="I55" s="387"/>
      <c r="J55" s="363"/>
    </row>
    <row r="56" spans="1:10" x14ac:dyDescent="0.2">
      <c r="A56" s="186" t="s">
        <v>35</v>
      </c>
      <c r="B56" s="186">
        <v>651</v>
      </c>
      <c r="C56" s="305">
        <f>H9+H10+H11+H12+H14</f>
        <v>37365</v>
      </c>
      <c r="D56" s="392">
        <f>I9+I10+I11+I12+I14</f>
        <v>38654.450000000004</v>
      </c>
      <c r="E56" s="307"/>
      <c r="F56" s="305"/>
      <c r="G56" s="336"/>
      <c r="H56" s="336"/>
      <c r="I56" s="387"/>
    </row>
    <row r="57" spans="1:10" x14ac:dyDescent="0.2">
      <c r="A57" s="183" t="s">
        <v>36</v>
      </c>
      <c r="B57" s="186">
        <v>652</v>
      </c>
      <c r="C57" s="305">
        <f>H29+H30</f>
        <v>5074.95</v>
      </c>
      <c r="D57" s="392">
        <f>I29+I30</f>
        <v>5074.95</v>
      </c>
      <c r="E57" s="365"/>
      <c r="F57" s="364"/>
      <c r="G57" s="336"/>
      <c r="H57" s="336"/>
      <c r="I57" s="387"/>
    </row>
    <row r="58" spans="1:10" x14ac:dyDescent="0.2">
      <c r="A58" s="186" t="s">
        <v>37</v>
      </c>
      <c r="B58" s="186">
        <v>652</v>
      </c>
      <c r="C58" s="305">
        <f>H5+H6+H7+H8</f>
        <v>185415.3</v>
      </c>
      <c r="D58" s="392">
        <f>I5+I6+I7+I8</f>
        <v>185415.3</v>
      </c>
      <c r="E58" s="365"/>
      <c r="F58" s="364"/>
      <c r="I58" s="387"/>
    </row>
    <row r="59" spans="1:10" x14ac:dyDescent="0.2">
      <c r="A59" s="186" t="s">
        <v>38</v>
      </c>
      <c r="B59" s="186">
        <v>652</v>
      </c>
      <c r="C59" s="305">
        <f>H13+H15+H16</f>
        <v>90562</v>
      </c>
      <c r="D59" s="392">
        <f>I13+I15+I16</f>
        <v>90562</v>
      </c>
      <c r="E59" s="365"/>
      <c r="F59" s="364"/>
      <c r="I59" s="387"/>
    </row>
    <row r="60" spans="1:10" ht="15" x14ac:dyDescent="0.25">
      <c r="A60" s="186" t="s">
        <v>39</v>
      </c>
      <c r="B60" s="186">
        <v>652</v>
      </c>
      <c r="C60" s="305"/>
      <c r="D60" s="392"/>
      <c r="E60" s="367"/>
      <c r="F60" s="366"/>
      <c r="I60" s="387"/>
    </row>
    <row r="61" spans="1:10" x14ac:dyDescent="0.2">
      <c r="A61" s="186" t="s">
        <v>44</v>
      </c>
      <c r="B61" s="186">
        <v>652</v>
      </c>
      <c r="C61" s="305"/>
      <c r="D61" s="392"/>
      <c r="E61" s="307"/>
      <c r="F61" s="362"/>
      <c r="I61" s="387"/>
    </row>
    <row r="62" spans="1:10" x14ac:dyDescent="0.2">
      <c r="A62" s="186" t="s">
        <v>285</v>
      </c>
      <c r="B62" s="186">
        <v>652</v>
      </c>
      <c r="C62" s="305"/>
      <c r="D62" s="392"/>
      <c r="E62" s="307"/>
      <c r="F62" s="362"/>
      <c r="I62" s="387"/>
    </row>
    <row r="63" spans="1:10" x14ac:dyDescent="0.2">
      <c r="A63" s="186" t="s">
        <v>41</v>
      </c>
      <c r="B63" s="186">
        <v>652</v>
      </c>
      <c r="C63" s="305">
        <f>H39+H40</f>
        <v>18000</v>
      </c>
      <c r="D63" s="392">
        <f>I39+I40</f>
        <v>0</v>
      </c>
      <c r="E63" s="307"/>
      <c r="F63" s="362"/>
      <c r="I63" s="387"/>
    </row>
    <row r="64" spans="1:10" x14ac:dyDescent="0.2">
      <c r="A64" s="186" t="s">
        <v>42</v>
      </c>
      <c r="B64" s="186">
        <v>734</v>
      </c>
      <c r="C64" s="305"/>
      <c r="D64" s="392"/>
      <c r="E64" s="307"/>
      <c r="F64" s="362"/>
      <c r="I64" s="387"/>
    </row>
    <row r="65" spans="1:9" x14ac:dyDescent="0.2">
      <c r="A65" s="183" t="s">
        <v>43</v>
      </c>
      <c r="B65" s="186">
        <v>734</v>
      </c>
      <c r="C65" s="305">
        <f>H21+H22+H23+H24</f>
        <v>57037.93</v>
      </c>
      <c r="D65" s="392">
        <f>I21+I22+I23+I24</f>
        <v>7037.93</v>
      </c>
      <c r="E65" s="307"/>
      <c r="F65" s="362"/>
      <c r="I65" s="387"/>
    </row>
    <row r="66" spans="1:9" x14ac:dyDescent="0.2">
      <c r="A66" s="186" t="s">
        <v>44</v>
      </c>
      <c r="B66" s="186">
        <v>734</v>
      </c>
      <c r="C66" s="305"/>
      <c r="D66" s="392"/>
      <c r="E66" s="307"/>
      <c r="F66" s="362"/>
    </row>
    <row r="67" spans="1:9" x14ac:dyDescent="0.2">
      <c r="A67" s="186" t="s">
        <v>45</v>
      </c>
      <c r="B67" s="186">
        <v>735</v>
      </c>
      <c r="C67" s="305"/>
      <c r="D67" s="392"/>
      <c r="E67" s="307"/>
      <c r="F67" s="362"/>
    </row>
    <row r="68" spans="1:9" x14ac:dyDescent="0.2">
      <c r="A68" s="362"/>
      <c r="B68" s="362"/>
      <c r="C68" s="362"/>
      <c r="D68" s="393"/>
      <c r="E68" s="307"/>
      <c r="F68" s="362"/>
    </row>
    <row r="69" spans="1:9" x14ac:dyDescent="0.2">
      <c r="A69" s="362"/>
      <c r="B69" s="368" t="s">
        <v>286</v>
      </c>
      <c r="C69" s="305">
        <f>SUM(C56:C67)</f>
        <v>393455.18</v>
      </c>
      <c r="D69" s="392">
        <f>SUM(D56:D68)</f>
        <v>326744.62999999995</v>
      </c>
      <c r="E69" s="307"/>
      <c r="F69" s="362"/>
    </row>
  </sheetData>
  <mergeCells count="1">
    <mergeCell ref="A1:K1"/>
  </mergeCells>
  <pageMargins left="0.7" right="0.7" top="0.75" bottom="0.75" header="0.3" footer="0.3"/>
  <pageSetup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Q81"/>
  <sheetViews>
    <sheetView topLeftCell="A41" zoomScale="90" zoomScaleNormal="90" workbookViewId="0">
      <selection activeCell="P16" sqref="P16"/>
    </sheetView>
  </sheetViews>
  <sheetFormatPr defaultRowHeight="12.75" x14ac:dyDescent="0.2"/>
  <cols>
    <col min="1" max="1" width="49.140625" bestFit="1" customWidth="1"/>
    <col min="3" max="3" width="14" customWidth="1"/>
    <col min="4" max="4" width="15.28515625" bestFit="1" customWidth="1"/>
    <col min="5" max="5" width="15.28515625" style="180" customWidth="1"/>
    <col min="6" max="6" width="15.28515625" customWidth="1"/>
    <col min="7" max="7" width="8.28515625" customWidth="1"/>
    <col min="8" max="8" width="16.42578125" customWidth="1"/>
    <col min="10" max="10" width="44.7109375" customWidth="1"/>
    <col min="12" max="12" width="11" bestFit="1" customWidth="1"/>
    <col min="14" max="14" width="37.28515625" bestFit="1" customWidth="1"/>
  </cols>
  <sheetData>
    <row r="1" spans="1:17" x14ac:dyDescent="0.2">
      <c r="A1" s="561" t="s">
        <v>538</v>
      </c>
      <c r="B1" s="562"/>
      <c r="C1" s="562"/>
      <c r="D1" s="562"/>
      <c r="E1" s="562"/>
      <c r="F1" s="562"/>
      <c r="G1" s="562"/>
      <c r="H1" s="562"/>
      <c r="I1" s="562"/>
      <c r="J1" s="562"/>
      <c r="K1" s="503"/>
      <c r="L1" s="503"/>
      <c r="M1" s="503"/>
      <c r="N1" s="503"/>
      <c r="O1" s="503"/>
    </row>
    <row r="2" spans="1:17" x14ac:dyDescent="0.2">
      <c r="A2" s="503"/>
      <c r="B2" s="503"/>
      <c r="C2" s="503"/>
      <c r="D2" s="503"/>
      <c r="E2" s="145"/>
      <c r="F2" s="503"/>
      <c r="G2" s="503"/>
      <c r="H2" s="503"/>
      <c r="I2" s="503"/>
      <c r="J2" s="503"/>
      <c r="K2" s="503"/>
      <c r="L2" s="503"/>
      <c r="M2" s="503"/>
      <c r="N2" s="503"/>
      <c r="O2" s="503"/>
    </row>
    <row r="3" spans="1:17" x14ac:dyDescent="0.2">
      <c r="A3" s="149"/>
      <c r="B3" s="146" t="s">
        <v>206</v>
      </c>
      <c r="C3" s="147" t="s">
        <v>207</v>
      </c>
      <c r="D3" s="147"/>
      <c r="E3" s="146" t="s">
        <v>383</v>
      </c>
      <c r="F3" s="147" t="s">
        <v>382</v>
      </c>
      <c r="G3" s="147" t="s">
        <v>208</v>
      </c>
      <c r="H3" s="147" t="s">
        <v>381</v>
      </c>
      <c r="I3" s="149"/>
      <c r="J3" s="149" t="s">
        <v>211</v>
      </c>
      <c r="K3" s="335"/>
      <c r="L3" s="335"/>
      <c r="M3" s="20"/>
      <c r="N3" s="338"/>
      <c r="O3" s="20"/>
      <c r="P3" s="20"/>
      <c r="Q3" s="20"/>
    </row>
    <row r="4" spans="1:17" x14ac:dyDescent="0.2">
      <c r="A4" s="411" t="s">
        <v>537</v>
      </c>
      <c r="B4" s="146"/>
      <c r="C4" s="147"/>
      <c r="D4" s="147"/>
      <c r="E4" s="146"/>
      <c r="F4" s="147"/>
      <c r="G4" s="147"/>
      <c r="H4" s="147"/>
      <c r="I4" s="149"/>
      <c r="J4" s="149" t="s">
        <v>392</v>
      </c>
      <c r="K4" s="336"/>
      <c r="L4" s="336"/>
      <c r="M4" s="20"/>
      <c r="N4" s="20"/>
      <c r="O4" s="20"/>
      <c r="P4" s="20"/>
      <c r="Q4" s="20"/>
    </row>
    <row r="5" spans="1:17" x14ac:dyDescent="0.2">
      <c r="A5" s="417" t="s">
        <v>536</v>
      </c>
      <c r="B5" s="146">
        <v>97</v>
      </c>
      <c r="C5" s="147">
        <v>675</v>
      </c>
      <c r="D5" s="147">
        <f>B5*C5</f>
        <v>65475</v>
      </c>
      <c r="E5" s="146">
        <v>65</v>
      </c>
      <c r="F5" s="147">
        <v>545.47</v>
      </c>
      <c r="G5" s="147"/>
      <c r="H5" s="521">
        <f>E5*F5</f>
        <v>35455.550000000003</v>
      </c>
      <c r="I5" s="149"/>
      <c r="J5" s="149" t="s">
        <v>574</v>
      </c>
      <c r="K5" s="336"/>
      <c r="L5" s="336"/>
      <c r="M5" s="20"/>
      <c r="N5" s="338"/>
      <c r="O5" s="20"/>
      <c r="P5" s="20"/>
      <c r="Q5" s="20"/>
    </row>
    <row r="6" spans="1:17" x14ac:dyDescent="0.2">
      <c r="A6" s="417"/>
      <c r="B6" s="146"/>
      <c r="C6" s="147"/>
      <c r="D6" s="147"/>
      <c r="E6" s="146">
        <v>152</v>
      </c>
      <c r="F6" s="147">
        <v>174.74</v>
      </c>
      <c r="G6" s="147"/>
      <c r="H6" s="521">
        <f>E6*F6</f>
        <v>26560.480000000003</v>
      </c>
      <c r="I6" s="149"/>
      <c r="J6" s="149" t="s">
        <v>575</v>
      </c>
      <c r="K6" s="336"/>
      <c r="L6" s="336">
        <f>H5+H10+H15</f>
        <v>91638.96</v>
      </c>
      <c r="M6" s="20"/>
      <c r="N6" s="338"/>
      <c r="O6" s="20"/>
      <c r="P6" s="20"/>
      <c r="Q6" s="20"/>
    </row>
    <row r="7" spans="1:17" x14ac:dyDescent="0.2">
      <c r="A7" s="417"/>
      <c r="B7" s="146"/>
      <c r="C7" s="147"/>
      <c r="D7" s="147"/>
      <c r="E7" s="146">
        <v>22</v>
      </c>
      <c r="F7" s="147">
        <v>48.28</v>
      </c>
      <c r="G7" s="147"/>
      <c r="H7" s="521">
        <f>E7*F7</f>
        <v>1062.1600000000001</v>
      </c>
      <c r="I7" s="149"/>
      <c r="J7" s="149" t="s">
        <v>573</v>
      </c>
      <c r="K7" s="336"/>
      <c r="L7" s="336">
        <f>H6+H11+H7+H8+H12+H13+H16+H17+H18</f>
        <v>56929.020000000011</v>
      </c>
      <c r="M7" s="20"/>
      <c r="N7" s="338"/>
      <c r="O7" s="20"/>
      <c r="P7" s="20"/>
      <c r="Q7" s="20"/>
    </row>
    <row r="8" spans="1:17" x14ac:dyDescent="0.2">
      <c r="A8" s="417"/>
      <c r="B8" s="146"/>
      <c r="C8" s="147"/>
      <c r="D8" s="147"/>
      <c r="E8" s="146">
        <v>10</v>
      </c>
      <c r="F8" s="147">
        <v>38.53</v>
      </c>
      <c r="G8" s="147"/>
      <c r="H8" s="521">
        <f>E8*F8</f>
        <v>385.3</v>
      </c>
      <c r="I8" s="149"/>
      <c r="J8" s="149" t="s">
        <v>572</v>
      </c>
      <c r="K8" s="336"/>
      <c r="L8" s="336"/>
      <c r="M8" s="20"/>
      <c r="N8" s="338"/>
      <c r="O8" s="20"/>
      <c r="P8" s="20"/>
      <c r="Q8" s="20"/>
    </row>
    <row r="9" spans="1:17" x14ac:dyDescent="0.2">
      <c r="A9" s="417"/>
      <c r="B9" s="146"/>
      <c r="C9" s="147"/>
      <c r="D9" s="147"/>
      <c r="E9" s="146"/>
      <c r="F9" s="147"/>
      <c r="G9" s="147"/>
      <c r="H9" s="521"/>
      <c r="I9" s="149"/>
      <c r="J9" s="149"/>
      <c r="K9" s="336"/>
      <c r="L9" s="336"/>
      <c r="M9" s="20"/>
      <c r="N9" s="338"/>
      <c r="O9" s="20"/>
      <c r="P9" s="20"/>
      <c r="Q9" s="20"/>
    </row>
    <row r="10" spans="1:17" x14ac:dyDescent="0.2">
      <c r="A10" s="417" t="s">
        <v>535</v>
      </c>
      <c r="B10" s="146">
        <v>115</v>
      </c>
      <c r="C10" s="147">
        <v>675</v>
      </c>
      <c r="D10" s="147">
        <f>B10*C10</f>
        <v>77625</v>
      </c>
      <c r="E10" s="146">
        <v>78</v>
      </c>
      <c r="F10" s="147">
        <v>545.47</v>
      </c>
      <c r="G10" s="147"/>
      <c r="H10" s="521">
        <f>E10*F10</f>
        <v>42546.66</v>
      </c>
      <c r="I10" s="149"/>
      <c r="J10" s="149" t="s">
        <v>574</v>
      </c>
      <c r="K10" s="336"/>
      <c r="L10" s="336"/>
      <c r="M10" s="20"/>
      <c r="N10" s="20"/>
      <c r="O10" s="20"/>
      <c r="P10" s="20"/>
      <c r="Q10" s="20"/>
    </row>
    <row r="11" spans="1:17" x14ac:dyDescent="0.2">
      <c r="A11" s="417"/>
      <c r="B11" s="146"/>
      <c r="C11" s="147"/>
      <c r="D11" s="147"/>
      <c r="E11" s="146">
        <v>152</v>
      </c>
      <c r="F11" s="147">
        <v>174.74</v>
      </c>
      <c r="G11" s="147"/>
      <c r="H11" s="521">
        <f>E11*F11</f>
        <v>26560.480000000003</v>
      </c>
      <c r="I11" s="149"/>
      <c r="J11" s="149" t="s">
        <v>523</v>
      </c>
      <c r="K11" s="336"/>
      <c r="L11" s="336"/>
      <c r="M11" s="20"/>
      <c r="N11" s="20"/>
      <c r="O11" s="20"/>
      <c r="P11" s="20"/>
      <c r="Q11" s="20"/>
    </row>
    <row r="12" spans="1:17" x14ac:dyDescent="0.2">
      <c r="A12" s="417"/>
      <c r="B12" s="146"/>
      <c r="C12" s="147"/>
      <c r="D12" s="147"/>
      <c r="E12" s="146">
        <v>31</v>
      </c>
      <c r="F12" s="147">
        <v>48.28</v>
      </c>
      <c r="G12" s="147"/>
      <c r="H12" s="521">
        <f>E12*F12</f>
        <v>1496.68</v>
      </c>
      <c r="I12" s="149"/>
      <c r="J12" s="149" t="s">
        <v>573</v>
      </c>
      <c r="K12" s="336"/>
      <c r="L12" s="336"/>
      <c r="M12" s="20"/>
      <c r="N12" s="20"/>
      <c r="O12" s="20"/>
      <c r="P12" s="20"/>
      <c r="Q12" s="20"/>
    </row>
    <row r="13" spans="1:17" x14ac:dyDescent="0.2">
      <c r="A13" s="417"/>
      <c r="B13" s="146"/>
      <c r="C13" s="147"/>
      <c r="D13" s="147"/>
      <c r="E13" s="146">
        <v>10</v>
      </c>
      <c r="F13" s="147">
        <v>38.53</v>
      </c>
      <c r="G13" s="147"/>
      <c r="H13" s="521">
        <f>E13*F13</f>
        <v>385.3</v>
      </c>
      <c r="I13" s="149"/>
      <c r="J13" s="149" t="s">
        <v>572</v>
      </c>
      <c r="K13" s="336"/>
      <c r="L13" s="336"/>
      <c r="M13" s="20"/>
      <c r="N13" s="20"/>
      <c r="O13" s="20"/>
      <c r="P13" s="20"/>
      <c r="Q13" s="20"/>
    </row>
    <row r="14" spans="1:17" x14ac:dyDescent="0.2">
      <c r="A14" s="417"/>
      <c r="B14" s="146"/>
      <c r="C14" s="147"/>
      <c r="D14" s="147"/>
      <c r="E14" s="146"/>
      <c r="F14" s="147"/>
      <c r="G14" s="147"/>
      <c r="H14" s="521"/>
      <c r="I14" s="149"/>
      <c r="J14" s="149"/>
      <c r="K14" s="336"/>
      <c r="L14" s="336"/>
      <c r="M14" s="20"/>
      <c r="N14" s="20"/>
      <c r="O14" s="20"/>
      <c r="P14" s="20"/>
      <c r="Q14" s="20"/>
    </row>
    <row r="15" spans="1:17" x14ac:dyDescent="0.2">
      <c r="A15" s="417" t="s">
        <v>534</v>
      </c>
      <c r="B15" s="146">
        <v>25</v>
      </c>
      <c r="C15" s="147">
        <v>675</v>
      </c>
      <c r="D15" s="147">
        <f>B15*C15</f>
        <v>16875</v>
      </c>
      <c r="E15" s="146">
        <v>25</v>
      </c>
      <c r="F15" s="147">
        <v>545.47</v>
      </c>
      <c r="G15" s="147"/>
      <c r="H15" s="521">
        <f>E15*F15</f>
        <v>13636.75</v>
      </c>
      <c r="I15" s="149"/>
      <c r="J15" s="149" t="s">
        <v>574</v>
      </c>
      <c r="K15" s="336"/>
      <c r="L15" s="336"/>
      <c r="M15" s="20"/>
      <c r="N15" s="20"/>
      <c r="O15" s="20"/>
      <c r="P15" s="20"/>
      <c r="Q15" s="20"/>
    </row>
    <row r="16" spans="1:17" x14ac:dyDescent="0.2">
      <c r="A16" s="417"/>
      <c r="B16" s="146"/>
      <c r="C16" s="147"/>
      <c r="D16" s="147"/>
      <c r="E16" s="146">
        <v>2</v>
      </c>
      <c r="F16" s="147">
        <v>48.28</v>
      </c>
      <c r="G16" s="147"/>
      <c r="H16" s="521">
        <f>E16*F16</f>
        <v>96.56</v>
      </c>
      <c r="I16" s="149"/>
      <c r="J16" s="149" t="s">
        <v>573</v>
      </c>
      <c r="K16" s="336"/>
      <c r="L16" s="336"/>
      <c r="M16" s="20"/>
      <c r="N16" s="338"/>
      <c r="O16" s="20"/>
      <c r="P16" s="20"/>
      <c r="Q16" s="20"/>
    </row>
    <row r="17" spans="1:17" x14ac:dyDescent="0.2">
      <c r="A17" s="417"/>
      <c r="B17" s="146"/>
      <c r="C17" s="147"/>
      <c r="D17" s="147"/>
      <c r="E17" s="146">
        <v>2</v>
      </c>
      <c r="F17" s="147">
        <v>38.53</v>
      </c>
      <c r="G17" s="147"/>
      <c r="H17" s="521">
        <f>E17*F17</f>
        <v>77.06</v>
      </c>
      <c r="I17" s="149"/>
      <c r="J17" s="149" t="s">
        <v>572</v>
      </c>
      <c r="K17" s="336"/>
      <c r="L17" s="336"/>
      <c r="M17" s="20"/>
      <c r="N17" s="338"/>
      <c r="O17" s="20"/>
      <c r="P17" s="20"/>
      <c r="Q17" s="20"/>
    </row>
    <row r="18" spans="1:17" x14ac:dyDescent="0.2">
      <c r="A18" s="417"/>
      <c r="B18" s="146"/>
      <c r="C18" s="147"/>
      <c r="D18" s="147"/>
      <c r="E18" s="146">
        <v>15</v>
      </c>
      <c r="F18" s="147">
        <v>20.329999999999998</v>
      </c>
      <c r="G18" s="147"/>
      <c r="H18" s="521">
        <v>305</v>
      </c>
      <c r="I18" s="149"/>
      <c r="J18" s="149" t="s">
        <v>571</v>
      </c>
      <c r="K18" s="336"/>
      <c r="L18" s="336"/>
      <c r="M18" s="20"/>
      <c r="N18" s="338"/>
      <c r="O18" s="20"/>
      <c r="P18" s="20"/>
      <c r="Q18" s="20"/>
    </row>
    <row r="19" spans="1:17" x14ac:dyDescent="0.2">
      <c r="A19" s="417"/>
      <c r="B19" s="146"/>
      <c r="C19" s="147"/>
      <c r="D19" s="147"/>
      <c r="E19" s="146" t="s">
        <v>570</v>
      </c>
      <c r="F19" s="147"/>
      <c r="G19" s="147"/>
      <c r="H19" s="147"/>
      <c r="I19" s="149"/>
      <c r="J19" s="149"/>
      <c r="K19" s="336"/>
      <c r="L19" s="336"/>
      <c r="M19" s="20"/>
      <c r="N19" s="20"/>
      <c r="O19" s="20"/>
      <c r="P19" s="20"/>
      <c r="Q19" s="20"/>
    </row>
    <row r="20" spans="1:17" x14ac:dyDescent="0.2">
      <c r="A20" s="417" t="s">
        <v>520</v>
      </c>
      <c r="B20" s="146">
        <v>237</v>
      </c>
      <c r="C20" s="147">
        <v>54</v>
      </c>
      <c r="D20" s="147">
        <f>B20*C20</f>
        <v>12798</v>
      </c>
      <c r="E20" s="146"/>
      <c r="F20" s="147"/>
      <c r="G20" s="147"/>
      <c r="H20" s="147"/>
      <c r="I20" s="149"/>
      <c r="J20" s="149"/>
      <c r="K20" s="336"/>
      <c r="L20" s="336"/>
      <c r="M20" s="20"/>
      <c r="N20" s="20"/>
      <c r="O20" s="20"/>
      <c r="P20" s="20"/>
      <c r="Q20" s="20"/>
    </row>
    <row r="21" spans="1:17" x14ac:dyDescent="0.2">
      <c r="A21" s="417"/>
      <c r="B21" s="146"/>
      <c r="C21" s="147"/>
      <c r="D21" s="147"/>
      <c r="E21" s="146">
        <v>65</v>
      </c>
      <c r="F21" s="147">
        <v>53.68</v>
      </c>
      <c r="G21" s="147"/>
      <c r="H21" s="521">
        <f>E21*F21</f>
        <v>3489.2</v>
      </c>
      <c r="I21" s="149"/>
      <c r="J21" s="149" t="s">
        <v>569</v>
      </c>
      <c r="K21" s="336"/>
      <c r="L21" s="336"/>
      <c r="M21" s="20"/>
      <c r="N21" s="20"/>
      <c r="O21" s="20"/>
      <c r="P21" s="20"/>
      <c r="Q21" s="20"/>
    </row>
    <row r="22" spans="1:17" x14ac:dyDescent="0.2">
      <c r="A22" s="417"/>
      <c r="B22" s="146"/>
      <c r="C22" s="147"/>
      <c r="D22" s="147"/>
      <c r="E22" s="146">
        <v>78</v>
      </c>
      <c r="F22" s="147">
        <v>53.68</v>
      </c>
      <c r="G22" s="147"/>
      <c r="H22" s="521">
        <f>E22*F22</f>
        <v>4187.04</v>
      </c>
      <c r="I22" s="149"/>
      <c r="J22" s="149" t="s">
        <v>568</v>
      </c>
      <c r="K22" s="336"/>
      <c r="L22" s="336"/>
      <c r="M22" s="20"/>
      <c r="N22" s="20"/>
      <c r="O22" s="20"/>
      <c r="P22" s="20"/>
      <c r="Q22" s="20"/>
    </row>
    <row r="23" spans="1:17" x14ac:dyDescent="0.2">
      <c r="A23" s="417"/>
      <c r="B23" s="146"/>
      <c r="C23" s="147"/>
      <c r="D23" s="147"/>
      <c r="E23" s="146">
        <v>25</v>
      </c>
      <c r="F23" s="147">
        <v>53.68</v>
      </c>
      <c r="G23" s="147"/>
      <c r="H23" s="521">
        <f>E23*F23</f>
        <v>1342</v>
      </c>
      <c r="I23" s="149"/>
      <c r="J23" s="149" t="s">
        <v>567</v>
      </c>
      <c r="K23" s="336"/>
      <c r="L23" s="336"/>
      <c r="M23" s="20"/>
      <c r="N23" s="20"/>
      <c r="O23" s="20"/>
      <c r="P23" s="20"/>
      <c r="Q23" s="20"/>
    </row>
    <row r="24" spans="1:17" x14ac:dyDescent="0.2">
      <c r="A24" s="417"/>
      <c r="B24" s="146"/>
      <c r="C24" s="147"/>
      <c r="D24" s="147"/>
      <c r="E24" s="146">
        <v>152</v>
      </c>
      <c r="F24" s="147">
        <v>23.96</v>
      </c>
      <c r="G24" s="147"/>
      <c r="H24" s="521">
        <f>E24*F24</f>
        <v>3641.92</v>
      </c>
      <c r="I24" s="149"/>
      <c r="J24" s="149" t="s">
        <v>566</v>
      </c>
      <c r="K24" s="336"/>
      <c r="L24" s="336"/>
      <c r="M24" s="20"/>
      <c r="N24" s="20"/>
      <c r="O24" s="20"/>
      <c r="P24" s="20"/>
      <c r="Q24" s="20"/>
    </row>
    <row r="25" spans="1:17" x14ac:dyDescent="0.2">
      <c r="A25" s="417"/>
      <c r="B25" s="146"/>
      <c r="C25" s="147"/>
      <c r="D25" s="147"/>
      <c r="E25" s="146">
        <v>152</v>
      </c>
      <c r="F25" s="147">
        <v>23.96</v>
      </c>
      <c r="G25" s="147"/>
      <c r="H25" s="521">
        <f>E25*F25</f>
        <v>3641.92</v>
      </c>
      <c r="I25" s="149"/>
      <c r="J25" s="149" t="s">
        <v>565</v>
      </c>
      <c r="K25" s="336"/>
      <c r="L25" s="336"/>
      <c r="M25" s="20"/>
      <c r="N25" s="20"/>
      <c r="O25" s="20"/>
      <c r="P25" s="20"/>
      <c r="Q25" s="20"/>
    </row>
    <row r="26" spans="1:17" x14ac:dyDescent="0.2">
      <c r="A26" s="417"/>
      <c r="B26" s="146"/>
      <c r="C26" s="147"/>
      <c r="D26" s="147"/>
      <c r="E26" s="146"/>
      <c r="F26" s="147"/>
      <c r="G26" s="147"/>
      <c r="H26" s="147"/>
      <c r="I26" s="149"/>
      <c r="J26" s="149"/>
      <c r="K26" s="336"/>
      <c r="L26" s="336"/>
      <c r="M26" s="20"/>
      <c r="N26" s="20"/>
      <c r="O26" s="20"/>
      <c r="P26" s="20"/>
      <c r="Q26" s="20"/>
    </row>
    <row r="27" spans="1:17" x14ac:dyDescent="0.2">
      <c r="A27" s="417"/>
      <c r="B27" s="146"/>
      <c r="C27" s="147"/>
      <c r="D27" s="147"/>
      <c r="E27" s="146"/>
      <c r="F27" s="147"/>
      <c r="G27" s="147"/>
      <c r="H27" s="147"/>
      <c r="I27" s="149"/>
      <c r="J27" s="149"/>
      <c r="K27" s="336"/>
      <c r="L27" s="336"/>
      <c r="M27" s="20"/>
      <c r="N27" s="20"/>
      <c r="O27" s="20"/>
      <c r="P27" s="20"/>
      <c r="Q27" s="20"/>
    </row>
    <row r="28" spans="1:17" x14ac:dyDescent="0.2">
      <c r="A28" s="417"/>
      <c r="B28" s="146"/>
      <c r="C28" s="158" t="s">
        <v>236</v>
      </c>
      <c r="D28" s="159">
        <f>SUM(D5:D20)</f>
        <v>172773</v>
      </c>
      <c r="E28" s="245"/>
      <c r="F28" s="159"/>
      <c r="G28" s="158" t="s">
        <v>236</v>
      </c>
      <c r="H28" s="520">
        <f>SUM(H5:H27)</f>
        <v>164870.06000000006</v>
      </c>
      <c r="I28" s="160"/>
      <c r="J28" s="519">
        <f>D28-H28</f>
        <v>7902.9399999999441</v>
      </c>
      <c r="K28" s="336"/>
      <c r="L28" s="336"/>
      <c r="M28" s="36"/>
      <c r="N28" s="36"/>
      <c r="O28" s="20"/>
      <c r="P28" s="20"/>
      <c r="Q28" s="20"/>
    </row>
    <row r="29" spans="1:17" x14ac:dyDescent="0.2">
      <c r="A29" s="417"/>
      <c r="B29" s="146"/>
      <c r="C29" s="147"/>
      <c r="D29" s="147"/>
      <c r="E29" s="146"/>
      <c r="F29" s="147"/>
      <c r="G29" s="147"/>
      <c r="H29" s="147"/>
      <c r="I29" s="149"/>
      <c r="J29" s="149"/>
      <c r="K29" s="336"/>
      <c r="L29" s="336"/>
      <c r="M29" s="20"/>
      <c r="N29" s="20"/>
      <c r="O29" s="20"/>
      <c r="P29" s="20"/>
      <c r="Q29" s="20"/>
    </row>
    <row r="30" spans="1:17" x14ac:dyDescent="0.2">
      <c r="A30" s="411" t="s">
        <v>366</v>
      </c>
      <c r="B30" s="146"/>
      <c r="C30" s="147"/>
      <c r="D30" s="147"/>
      <c r="E30" s="146"/>
      <c r="F30" s="147"/>
      <c r="G30" s="147"/>
      <c r="H30" s="147"/>
      <c r="I30" s="160"/>
      <c r="J30" s="160"/>
      <c r="K30" s="336"/>
      <c r="L30" s="336"/>
      <c r="M30" s="36"/>
      <c r="N30" s="36"/>
      <c r="O30" s="20"/>
      <c r="P30" s="20"/>
      <c r="Q30" s="20"/>
    </row>
    <row r="31" spans="1:17" x14ac:dyDescent="0.2">
      <c r="A31" s="483" t="s">
        <v>564</v>
      </c>
      <c r="B31" s="146"/>
      <c r="C31" s="147"/>
      <c r="D31" s="147"/>
      <c r="E31" s="146"/>
      <c r="F31" s="147"/>
      <c r="G31" s="147"/>
      <c r="H31" s="147"/>
      <c r="I31" s="149"/>
      <c r="J31" s="149"/>
      <c r="K31" s="336"/>
      <c r="L31" s="336"/>
      <c r="M31" s="20"/>
      <c r="N31" s="20"/>
      <c r="O31" s="20"/>
      <c r="P31" s="20"/>
      <c r="Q31" s="20"/>
    </row>
    <row r="32" spans="1:17" x14ac:dyDescent="0.2">
      <c r="A32" s="515"/>
      <c r="B32" s="146"/>
      <c r="C32" s="158" t="s">
        <v>360</v>
      </c>
      <c r="D32" s="518">
        <v>0</v>
      </c>
      <c r="E32" s="509"/>
      <c r="F32" s="508"/>
      <c r="G32" s="158" t="s">
        <v>360</v>
      </c>
      <c r="H32" s="244">
        <f>SUM(H31:H31)</f>
        <v>0</v>
      </c>
      <c r="I32" s="149"/>
      <c r="J32" s="149"/>
      <c r="K32" s="336"/>
      <c r="L32" s="336"/>
      <c r="M32" s="20"/>
      <c r="N32" s="20"/>
      <c r="O32" s="20"/>
      <c r="P32" s="20"/>
      <c r="Q32" s="20"/>
    </row>
    <row r="33" spans="1:17" x14ac:dyDescent="0.2">
      <c r="A33" s="515"/>
      <c r="B33" s="146"/>
      <c r="C33" s="158"/>
      <c r="D33" s="508"/>
      <c r="E33" s="509"/>
      <c r="F33" s="508"/>
      <c r="G33" s="158"/>
      <c r="H33" s="244"/>
      <c r="I33" s="149"/>
      <c r="J33" s="149"/>
      <c r="K33" s="336"/>
      <c r="L33" s="336"/>
      <c r="M33" s="20"/>
      <c r="N33" s="20"/>
      <c r="O33" s="20"/>
      <c r="P33" s="20"/>
      <c r="Q33" s="20"/>
    </row>
    <row r="34" spans="1:17" ht="15" x14ac:dyDescent="0.25">
      <c r="A34" s="510" t="s">
        <v>359</v>
      </c>
      <c r="B34" s="146"/>
      <c r="C34" s="158"/>
      <c r="D34" s="508"/>
      <c r="E34" s="509"/>
      <c r="F34" s="508"/>
      <c r="G34" s="147"/>
      <c r="H34" s="147"/>
      <c r="I34" s="149"/>
      <c r="J34" s="149"/>
      <c r="K34" s="507"/>
      <c r="L34" s="506"/>
      <c r="M34" s="336"/>
      <c r="N34" s="336"/>
      <c r="O34" s="20"/>
      <c r="P34" s="20"/>
      <c r="Q34" s="20"/>
    </row>
    <row r="35" spans="1:17" ht="15" x14ac:dyDescent="0.25">
      <c r="A35" s="515" t="s">
        <v>563</v>
      </c>
      <c r="B35" s="146"/>
      <c r="C35" s="158"/>
      <c r="D35" s="517">
        <v>90000</v>
      </c>
      <c r="E35" s="509"/>
      <c r="F35" s="508"/>
      <c r="G35" s="147"/>
      <c r="H35" s="147"/>
      <c r="I35" s="149"/>
      <c r="J35" s="149"/>
      <c r="K35" s="507"/>
      <c r="L35" s="506"/>
      <c r="M35" s="336"/>
      <c r="N35" s="336"/>
      <c r="O35" s="20"/>
      <c r="P35" s="20"/>
      <c r="Q35" s="20"/>
    </row>
    <row r="36" spans="1:17" ht="15" x14ac:dyDescent="0.25">
      <c r="A36" s="515" t="s">
        <v>531</v>
      </c>
      <c r="B36" s="146">
        <v>1</v>
      </c>
      <c r="C36" s="165">
        <v>300000</v>
      </c>
      <c r="D36" s="517">
        <v>74000</v>
      </c>
      <c r="E36" s="509"/>
      <c r="F36" s="508"/>
      <c r="G36" s="147"/>
      <c r="H36" s="147"/>
      <c r="I36" s="149"/>
      <c r="J36" s="149" t="s">
        <v>562</v>
      </c>
      <c r="K36" s="512"/>
      <c r="L36" s="511"/>
      <c r="M36" s="336"/>
      <c r="N36" s="335"/>
      <c r="O36" s="20"/>
      <c r="P36" s="20"/>
      <c r="Q36" s="20"/>
    </row>
    <row r="37" spans="1:17" ht="15" x14ac:dyDescent="0.25">
      <c r="A37" s="515" t="s">
        <v>561</v>
      </c>
      <c r="B37" s="146"/>
      <c r="C37" s="158"/>
      <c r="D37" s="513"/>
      <c r="E37" s="514"/>
      <c r="F37" s="513"/>
      <c r="G37" s="153" t="s">
        <v>560</v>
      </c>
      <c r="H37" s="516">
        <v>4655</v>
      </c>
      <c r="I37" s="149"/>
      <c r="J37" s="149" t="s">
        <v>559</v>
      </c>
      <c r="K37" s="512"/>
      <c r="L37" s="511"/>
      <c r="M37" s="336"/>
      <c r="N37" s="345"/>
      <c r="O37" s="20"/>
      <c r="P37" s="20"/>
      <c r="Q37" s="20"/>
    </row>
    <row r="38" spans="1:17" ht="15" x14ac:dyDescent="0.25">
      <c r="A38" s="515" t="s">
        <v>558</v>
      </c>
      <c r="B38" s="146"/>
      <c r="C38" s="158"/>
      <c r="D38" s="513"/>
      <c r="E38" s="514"/>
      <c r="F38" s="513"/>
      <c r="G38" s="153"/>
      <c r="H38" s="505">
        <v>4280.46</v>
      </c>
      <c r="I38" s="149"/>
      <c r="J38" s="149" t="s">
        <v>557</v>
      </c>
      <c r="K38" s="512"/>
      <c r="L38" s="511"/>
      <c r="M38" s="336"/>
      <c r="N38" s="345"/>
      <c r="O38" s="20"/>
      <c r="P38" s="20"/>
      <c r="Q38" s="20"/>
    </row>
    <row r="39" spans="1:17" ht="15" x14ac:dyDescent="0.25">
      <c r="A39" s="515"/>
      <c r="B39" s="146"/>
      <c r="C39" s="158"/>
      <c r="D39" s="513"/>
      <c r="E39" s="514"/>
      <c r="F39" s="513"/>
      <c r="G39" s="147"/>
      <c r="H39" s="147"/>
      <c r="I39" s="149"/>
      <c r="J39" s="149"/>
      <c r="K39" s="512"/>
      <c r="L39" s="511"/>
      <c r="M39" s="336"/>
      <c r="N39" s="336"/>
      <c r="O39" s="20"/>
      <c r="P39" s="20"/>
      <c r="Q39" s="20"/>
    </row>
    <row r="40" spans="1:17" ht="15" x14ac:dyDescent="0.25">
      <c r="A40" s="510"/>
      <c r="B40" s="146"/>
      <c r="C40" s="158" t="s">
        <v>356</v>
      </c>
      <c r="D40" s="508">
        <f>SUM(D36:D39)</f>
        <v>74000</v>
      </c>
      <c r="E40" s="509"/>
      <c r="F40" s="508"/>
      <c r="G40" s="158" t="s">
        <v>356</v>
      </c>
      <c r="H40" s="244">
        <f>SUM(H36:H39)</f>
        <v>8935.4599999999991</v>
      </c>
      <c r="I40" s="149"/>
      <c r="J40" s="149"/>
      <c r="K40" s="507"/>
      <c r="L40" s="506"/>
      <c r="M40" s="341"/>
      <c r="N40" s="344"/>
      <c r="O40" s="20"/>
      <c r="P40" s="20"/>
      <c r="Q40" s="20"/>
    </row>
    <row r="41" spans="1:17" x14ac:dyDescent="0.2">
      <c r="A41" s="417"/>
      <c r="B41" s="146"/>
      <c r="C41" s="147"/>
      <c r="D41" s="147"/>
      <c r="E41" s="146"/>
      <c r="F41" s="147"/>
      <c r="G41" s="147"/>
      <c r="H41" s="147"/>
      <c r="I41" s="149"/>
      <c r="J41" s="149"/>
      <c r="K41" s="336"/>
      <c r="L41" s="336"/>
      <c r="M41" s="20"/>
      <c r="N41" s="20"/>
      <c r="O41" s="20"/>
      <c r="P41" s="20"/>
      <c r="Q41" s="20"/>
    </row>
    <row r="42" spans="1:17" x14ac:dyDescent="0.2">
      <c r="A42" s="168" t="s">
        <v>399</v>
      </c>
      <c r="B42" s="146"/>
      <c r="C42" s="147"/>
      <c r="D42" s="169"/>
      <c r="E42" s="243"/>
      <c r="F42" s="169"/>
      <c r="G42" s="147"/>
      <c r="H42" s="147"/>
      <c r="I42" s="149"/>
      <c r="J42" s="149"/>
      <c r="K42" s="336"/>
      <c r="L42" s="336"/>
      <c r="M42" s="20"/>
      <c r="N42" s="20"/>
      <c r="O42" s="20"/>
      <c r="P42" s="20"/>
      <c r="Q42" s="20"/>
    </row>
    <row r="43" spans="1:17" x14ac:dyDescent="0.2">
      <c r="A43" s="420" t="s">
        <v>401</v>
      </c>
      <c r="B43" s="146">
        <v>1</v>
      </c>
      <c r="C43" s="476">
        <v>4500</v>
      </c>
      <c r="D43" s="419"/>
      <c r="E43" s="243"/>
      <c r="F43" s="169"/>
      <c r="G43" s="147"/>
      <c r="H43" s="147">
        <v>2683.11</v>
      </c>
      <c r="I43" s="149"/>
      <c r="J43" s="149" t="s">
        <v>556</v>
      </c>
      <c r="K43" s="336"/>
      <c r="L43" s="336"/>
      <c r="M43" s="20"/>
      <c r="N43" s="20"/>
      <c r="O43" s="20"/>
      <c r="P43" s="20"/>
      <c r="Q43" s="20"/>
    </row>
    <row r="44" spans="1:17" x14ac:dyDescent="0.2">
      <c r="A44" s="420" t="s">
        <v>555</v>
      </c>
      <c r="B44" s="146"/>
      <c r="C44" s="147"/>
      <c r="D44" s="419"/>
      <c r="E44" s="243"/>
      <c r="F44" s="169"/>
      <c r="G44" s="147"/>
      <c r="H44" s="246"/>
      <c r="I44" s="149"/>
      <c r="J44" s="149" t="s">
        <v>554</v>
      </c>
      <c r="K44" s="336"/>
      <c r="L44" s="336"/>
      <c r="M44" s="20"/>
      <c r="N44" s="20"/>
      <c r="O44" s="20"/>
      <c r="P44" s="20"/>
      <c r="Q44" s="20"/>
    </row>
    <row r="45" spans="1:17" x14ac:dyDescent="0.2">
      <c r="A45" s="417"/>
      <c r="B45" s="146"/>
      <c r="C45" s="147"/>
      <c r="D45" s="147"/>
      <c r="E45" s="146"/>
      <c r="F45" s="147"/>
      <c r="G45" s="147"/>
      <c r="H45" s="147"/>
      <c r="I45" s="149"/>
      <c r="J45" s="149"/>
      <c r="K45" s="336"/>
      <c r="L45" s="336"/>
      <c r="M45" s="20"/>
      <c r="N45" s="20"/>
      <c r="O45" s="20"/>
      <c r="P45" s="20"/>
      <c r="Q45" s="20"/>
    </row>
    <row r="46" spans="1:17" x14ac:dyDescent="0.2">
      <c r="A46" s="417"/>
      <c r="B46" s="146"/>
      <c r="C46" s="158" t="s">
        <v>402</v>
      </c>
      <c r="D46" s="159">
        <f>SUM(D43:D45)</f>
        <v>0</v>
      </c>
      <c r="E46" s="245"/>
      <c r="F46" s="159"/>
      <c r="G46" s="158" t="s">
        <v>355</v>
      </c>
      <c r="H46" s="244">
        <f>SUM(H43:H45)</f>
        <v>2683.11</v>
      </c>
      <c r="I46" s="149"/>
      <c r="J46" s="149"/>
      <c r="K46" s="336"/>
      <c r="L46" s="336"/>
      <c r="M46" s="20"/>
      <c r="N46" s="20"/>
      <c r="O46" s="20"/>
      <c r="P46" s="20"/>
      <c r="Q46" s="20"/>
    </row>
    <row r="47" spans="1:17" x14ac:dyDescent="0.2">
      <c r="A47" s="417"/>
      <c r="B47" s="146"/>
      <c r="C47" s="158"/>
      <c r="D47" s="159"/>
      <c r="E47" s="245"/>
      <c r="F47" s="159"/>
      <c r="G47" s="158"/>
      <c r="H47" s="244"/>
      <c r="I47" s="149"/>
      <c r="J47" s="149"/>
      <c r="K47" s="336"/>
      <c r="L47" s="336"/>
      <c r="M47" s="20"/>
      <c r="N47" s="20"/>
      <c r="O47" s="20"/>
      <c r="P47" s="20"/>
      <c r="Q47" s="20"/>
    </row>
    <row r="48" spans="1:17" x14ac:dyDescent="0.2">
      <c r="A48" s="411" t="s">
        <v>271</v>
      </c>
      <c r="B48" s="146"/>
      <c r="C48" s="158"/>
      <c r="D48" s="159"/>
      <c r="E48" s="245"/>
      <c r="F48" s="159"/>
      <c r="G48" s="147"/>
      <c r="H48" s="147"/>
      <c r="I48" s="149"/>
      <c r="J48" s="149"/>
      <c r="K48" s="336"/>
      <c r="L48" s="336"/>
      <c r="M48" s="20"/>
      <c r="N48" s="20"/>
      <c r="O48" s="20"/>
      <c r="P48" s="20"/>
      <c r="Q48" s="20"/>
    </row>
    <row r="49" spans="1:17" x14ac:dyDescent="0.2">
      <c r="A49" s="483" t="s">
        <v>553</v>
      </c>
      <c r="B49" s="146"/>
      <c r="C49" s="158"/>
      <c r="D49" s="505">
        <v>20000</v>
      </c>
      <c r="E49" s="245"/>
      <c r="F49" s="159"/>
      <c r="G49" s="147"/>
      <c r="H49" s="147"/>
      <c r="I49" s="149"/>
      <c r="J49" s="149"/>
      <c r="K49" s="336"/>
      <c r="L49" s="336"/>
      <c r="M49" s="20"/>
      <c r="N49" s="20"/>
      <c r="O49" s="20"/>
      <c r="P49" s="20"/>
      <c r="Q49" s="20"/>
    </row>
    <row r="50" spans="1:17" x14ac:dyDescent="0.2">
      <c r="A50" s="417" t="s">
        <v>552</v>
      </c>
      <c r="B50" s="146"/>
      <c r="C50" s="158"/>
      <c r="D50" s="412"/>
      <c r="E50" s="245"/>
      <c r="F50" s="159"/>
      <c r="G50" s="147"/>
      <c r="H50" s="476">
        <v>961.5</v>
      </c>
      <c r="I50" s="149"/>
      <c r="J50" s="149" t="s">
        <v>551</v>
      </c>
      <c r="K50" s="336"/>
      <c r="L50" s="336"/>
      <c r="M50" s="20"/>
      <c r="N50" s="20"/>
      <c r="O50" s="20"/>
      <c r="P50" s="20"/>
      <c r="Q50" s="20"/>
    </row>
    <row r="51" spans="1:17" x14ac:dyDescent="0.2">
      <c r="A51" s="417"/>
      <c r="B51" s="146"/>
      <c r="C51" s="158"/>
      <c r="D51" s="172"/>
      <c r="E51" s="245"/>
      <c r="F51" s="159"/>
      <c r="G51" s="147"/>
      <c r="H51" s="147"/>
      <c r="I51" s="149"/>
      <c r="J51" s="149"/>
      <c r="K51" s="336"/>
      <c r="L51" s="336"/>
      <c r="M51" s="20"/>
      <c r="N51" s="20"/>
      <c r="O51" s="20"/>
      <c r="P51" s="20"/>
      <c r="Q51" s="20"/>
    </row>
    <row r="52" spans="1:17" x14ac:dyDescent="0.2">
      <c r="A52" s="417"/>
      <c r="B52" s="146"/>
      <c r="C52" s="158" t="s">
        <v>279</v>
      </c>
      <c r="D52" s="159">
        <f>D49</f>
        <v>20000</v>
      </c>
      <c r="E52" s="247"/>
      <c r="F52" s="159"/>
      <c r="G52" s="158" t="s">
        <v>279</v>
      </c>
      <c r="H52" s="244">
        <f>SUM(H48:H50)</f>
        <v>961.5</v>
      </c>
      <c r="I52" s="149"/>
      <c r="J52" s="149"/>
      <c r="K52" s="336"/>
      <c r="L52" s="336"/>
      <c r="M52" s="20"/>
      <c r="N52" s="20"/>
      <c r="O52" s="20"/>
      <c r="P52" s="20"/>
      <c r="Q52" s="20"/>
    </row>
    <row r="53" spans="1:17" x14ac:dyDescent="0.2">
      <c r="A53" s="417"/>
      <c r="B53" s="146"/>
      <c r="C53" s="147"/>
      <c r="D53" s="147"/>
      <c r="E53" s="146"/>
      <c r="F53" s="147"/>
      <c r="G53" s="147"/>
      <c r="H53" s="147"/>
      <c r="I53" s="149"/>
      <c r="J53" s="149"/>
      <c r="K53" s="336"/>
      <c r="L53" s="336"/>
      <c r="M53" s="20"/>
      <c r="N53" s="20"/>
      <c r="O53" s="20"/>
      <c r="P53" s="20"/>
      <c r="Q53" s="20"/>
    </row>
    <row r="54" spans="1:17" x14ac:dyDescent="0.2">
      <c r="A54" s="174"/>
      <c r="B54" s="146"/>
      <c r="C54" s="147"/>
      <c r="D54" s="169"/>
      <c r="E54" s="245"/>
      <c r="F54" s="169"/>
      <c r="G54" s="147"/>
      <c r="H54" s="147"/>
      <c r="I54" s="149"/>
      <c r="J54" s="149"/>
      <c r="K54" s="336"/>
      <c r="L54" s="336"/>
      <c r="M54" s="20"/>
      <c r="N54" s="20"/>
      <c r="O54" s="20"/>
      <c r="P54" s="20"/>
      <c r="Q54" s="20"/>
    </row>
    <row r="55" spans="1:17" x14ac:dyDescent="0.2">
      <c r="A55" s="410" t="s">
        <v>280</v>
      </c>
      <c r="B55" s="176"/>
      <c r="C55" s="177"/>
      <c r="D55" s="177">
        <f>D28+D32+D40+D46+D52</f>
        <v>266773</v>
      </c>
      <c r="E55" s="146"/>
      <c r="F55" s="177"/>
      <c r="G55" s="177"/>
      <c r="H55" s="177">
        <f>H28+H32+H40+H46+H52</f>
        <v>177450.13000000003</v>
      </c>
      <c r="I55" s="149"/>
      <c r="J55" s="149"/>
      <c r="K55" s="360"/>
      <c r="L55" s="360"/>
      <c r="M55" s="361"/>
      <c r="N55" s="361"/>
      <c r="O55" s="361"/>
      <c r="P55" s="20"/>
      <c r="Q55" s="20"/>
    </row>
    <row r="56" spans="1:17" x14ac:dyDescent="0.2">
      <c r="A56" s="410"/>
      <c r="B56" s="176"/>
      <c r="C56" s="177"/>
      <c r="D56" s="177"/>
      <c r="E56" s="243"/>
      <c r="F56" s="177"/>
      <c r="G56" s="177"/>
      <c r="H56" s="177"/>
      <c r="I56" s="149"/>
      <c r="J56" s="149"/>
      <c r="K56" s="360"/>
      <c r="L56" s="360"/>
      <c r="M56" s="361"/>
      <c r="N56" s="361"/>
      <c r="O56" s="361"/>
      <c r="P56" s="20"/>
      <c r="Q56" s="20"/>
    </row>
    <row r="57" spans="1:17" x14ac:dyDescent="0.2">
      <c r="A57" s="411"/>
      <c r="B57" s="176"/>
      <c r="C57" s="177"/>
      <c r="D57" s="177"/>
      <c r="E57" s="176"/>
      <c r="F57" s="177"/>
      <c r="G57" s="177"/>
      <c r="H57" s="177"/>
      <c r="I57" s="149"/>
      <c r="J57" s="149"/>
      <c r="K57" s="360"/>
      <c r="L57" s="360"/>
      <c r="M57" s="361"/>
      <c r="N57" s="361"/>
      <c r="O57" s="361"/>
      <c r="P57" s="20"/>
      <c r="Q57" s="20"/>
    </row>
    <row r="58" spans="1:17" x14ac:dyDescent="0.2">
      <c r="A58" s="410"/>
      <c r="B58" s="176"/>
      <c r="C58" s="177"/>
      <c r="D58" s="177"/>
      <c r="E58" s="176"/>
      <c r="F58" s="177"/>
      <c r="G58" s="177"/>
      <c r="H58" s="177"/>
      <c r="I58" s="149"/>
      <c r="J58" s="149"/>
      <c r="K58" s="360"/>
      <c r="L58" s="360"/>
      <c r="M58" s="361"/>
      <c r="N58" s="361"/>
      <c r="O58" s="361"/>
      <c r="P58" s="20"/>
      <c r="Q58" s="20"/>
    </row>
    <row r="59" spans="1:17" x14ac:dyDescent="0.2">
      <c r="A59" s="149"/>
      <c r="B59" s="146"/>
      <c r="C59" s="147"/>
      <c r="D59" s="147"/>
      <c r="E59" s="176"/>
      <c r="F59" s="147"/>
      <c r="G59" s="147"/>
      <c r="H59" s="147"/>
      <c r="I59" s="149"/>
      <c r="J59" s="149"/>
      <c r="K59" s="336"/>
      <c r="L59" s="336"/>
      <c r="M59" s="20"/>
      <c r="N59" s="20"/>
      <c r="O59" s="20"/>
      <c r="P59" s="20"/>
      <c r="Q59" s="20"/>
    </row>
    <row r="60" spans="1:17" x14ac:dyDescent="0.2">
      <c r="A60" s="149"/>
      <c r="B60" s="146"/>
      <c r="C60" s="147"/>
      <c r="D60" s="147"/>
      <c r="E60" s="176"/>
      <c r="F60" s="147"/>
      <c r="G60" s="147"/>
      <c r="H60" s="147"/>
      <c r="I60" s="149"/>
      <c r="J60" s="149"/>
      <c r="K60" s="336"/>
      <c r="L60" s="336"/>
      <c r="M60" s="20"/>
      <c r="N60" s="20"/>
      <c r="O60" s="20"/>
      <c r="P60" s="20"/>
      <c r="Q60" s="20"/>
    </row>
    <row r="61" spans="1:17" x14ac:dyDescent="0.2">
      <c r="B61" s="180"/>
      <c r="C61" s="181"/>
      <c r="D61" s="181"/>
      <c r="E61" s="337"/>
      <c r="F61" s="336"/>
      <c r="G61" s="336"/>
      <c r="H61" s="336"/>
      <c r="I61" s="361"/>
      <c r="J61" s="361"/>
      <c r="K61" s="181"/>
      <c r="L61" s="181"/>
    </row>
    <row r="62" spans="1:17" x14ac:dyDescent="0.2">
      <c r="B62" s="180"/>
      <c r="C62" s="181"/>
      <c r="D62" s="181"/>
      <c r="E62" s="337"/>
      <c r="F62" s="336"/>
      <c r="G62" s="336"/>
      <c r="H62" s="336"/>
      <c r="I62" s="361"/>
      <c r="J62" s="20"/>
      <c r="K62" s="181"/>
      <c r="L62" s="181"/>
    </row>
    <row r="63" spans="1:17" x14ac:dyDescent="0.2">
      <c r="A63" s="182" t="s">
        <v>283</v>
      </c>
      <c r="B63" s="183" t="s">
        <v>284</v>
      </c>
      <c r="C63" s="184"/>
      <c r="D63" s="185"/>
      <c r="E63" s="337"/>
      <c r="F63" s="336"/>
      <c r="G63" s="336"/>
      <c r="H63" s="504">
        <f>H28+D32+D35+D36+H37+H38+C43+D49+H50</f>
        <v>363267.02000000008</v>
      </c>
      <c r="I63" s="361"/>
      <c r="J63" s="361"/>
      <c r="K63" s="181"/>
      <c r="L63" s="181"/>
    </row>
    <row r="64" spans="1:17" x14ac:dyDescent="0.2">
      <c r="A64" s="186"/>
      <c r="B64" s="186"/>
      <c r="C64" s="184"/>
      <c r="D64" s="185"/>
      <c r="E64" s="334"/>
      <c r="F64" s="305"/>
      <c r="G64" s="336"/>
      <c r="H64" s="336"/>
      <c r="I64" s="361"/>
      <c r="J64" s="361"/>
      <c r="K64" s="181"/>
      <c r="L64" s="181"/>
      <c r="N64" s="187"/>
    </row>
    <row r="65" spans="1:14" x14ac:dyDescent="0.2">
      <c r="A65" s="188" t="s">
        <v>35</v>
      </c>
      <c r="B65" s="188">
        <v>651</v>
      </c>
      <c r="C65" s="185">
        <v>16302</v>
      </c>
      <c r="D65" s="185"/>
      <c r="E65" s="336"/>
      <c r="F65" s="305"/>
      <c r="G65" s="336"/>
      <c r="H65" s="336"/>
      <c r="I65" s="20"/>
      <c r="J65" s="20"/>
      <c r="K65" s="181"/>
      <c r="L65" s="181"/>
      <c r="N65" s="187"/>
    </row>
    <row r="66" spans="1:14" x14ac:dyDescent="0.2">
      <c r="A66" s="189" t="s">
        <v>36</v>
      </c>
      <c r="B66" s="190">
        <v>652</v>
      </c>
      <c r="C66" s="185">
        <f>H37+H38+0.06</f>
        <v>8935.5199999999986</v>
      </c>
      <c r="D66" s="191"/>
      <c r="E66" s="305"/>
      <c r="F66" s="305"/>
      <c r="G66" s="336"/>
      <c r="H66" s="336"/>
      <c r="I66" s="20"/>
      <c r="J66" s="20"/>
      <c r="K66" s="181"/>
      <c r="L66" s="181"/>
    </row>
    <row r="67" spans="1:14" x14ac:dyDescent="0.2">
      <c r="A67" s="190" t="s">
        <v>37</v>
      </c>
      <c r="B67" s="190">
        <v>652</v>
      </c>
      <c r="C67" s="185">
        <f>SUM(H5:H18)</f>
        <v>148567.98000000001</v>
      </c>
      <c r="D67" s="191"/>
      <c r="E67" s="185"/>
      <c r="F67" s="191"/>
      <c r="G67" s="181"/>
      <c r="H67" s="181"/>
      <c r="K67" s="181"/>
      <c r="L67" s="181"/>
    </row>
    <row r="68" spans="1:14" x14ac:dyDescent="0.2">
      <c r="A68" s="190" t="s">
        <v>38</v>
      </c>
      <c r="B68" s="190">
        <v>652</v>
      </c>
      <c r="C68" s="185"/>
      <c r="D68" s="191"/>
      <c r="E68" s="185"/>
      <c r="F68" s="191"/>
    </row>
    <row r="69" spans="1:14" ht="15" x14ac:dyDescent="0.25">
      <c r="A69" s="190" t="s">
        <v>39</v>
      </c>
      <c r="B69" s="190">
        <v>652</v>
      </c>
      <c r="C69" s="185"/>
      <c r="D69" s="192"/>
      <c r="E69" s="191"/>
      <c r="F69" s="191"/>
    </row>
    <row r="70" spans="1:14" ht="15" x14ac:dyDescent="0.25">
      <c r="A70" s="190" t="s">
        <v>44</v>
      </c>
      <c r="B70" s="190">
        <v>652</v>
      </c>
      <c r="C70" s="185">
        <f>C43</f>
        <v>4500</v>
      </c>
      <c r="D70" s="184"/>
      <c r="E70" s="191"/>
      <c r="F70" s="192"/>
      <c r="J70" s="187"/>
    </row>
    <row r="71" spans="1:14" x14ac:dyDescent="0.2">
      <c r="A71" s="190" t="s">
        <v>285</v>
      </c>
      <c r="B71" s="190">
        <v>652</v>
      </c>
      <c r="C71" s="185"/>
      <c r="D71" s="184"/>
      <c r="E71" s="242"/>
      <c r="F71" s="184"/>
      <c r="J71" s="187"/>
    </row>
    <row r="72" spans="1:14" ht="15" x14ac:dyDescent="0.25">
      <c r="A72" s="190" t="s">
        <v>41</v>
      </c>
      <c r="B72" s="190">
        <v>652</v>
      </c>
      <c r="C72" s="185">
        <f>D49+H50</f>
        <v>20961.5</v>
      </c>
      <c r="D72" s="184"/>
      <c r="E72" s="192"/>
      <c r="F72" s="184"/>
    </row>
    <row r="73" spans="1:14" x14ac:dyDescent="0.2">
      <c r="A73" s="193" t="s">
        <v>42</v>
      </c>
      <c r="B73" s="193">
        <v>734</v>
      </c>
      <c r="C73" s="185"/>
      <c r="D73" s="184"/>
      <c r="E73" s="240"/>
      <c r="F73" s="184"/>
    </row>
    <row r="74" spans="1:14" x14ac:dyDescent="0.2">
      <c r="A74" s="194" t="s">
        <v>43</v>
      </c>
      <c r="B74" s="193">
        <v>734</v>
      </c>
      <c r="C74" s="185">
        <f>D35+D36</f>
        <v>164000</v>
      </c>
      <c r="D74" s="184"/>
      <c r="E74" s="240"/>
      <c r="F74" s="184"/>
    </row>
    <row r="75" spans="1:14" x14ac:dyDescent="0.2">
      <c r="A75" s="193" t="s">
        <v>44</v>
      </c>
      <c r="B75" s="193">
        <v>734</v>
      </c>
      <c r="C75" s="185"/>
      <c r="D75" s="184"/>
      <c r="E75" s="240"/>
      <c r="F75" s="184"/>
    </row>
    <row r="76" spans="1:14" x14ac:dyDescent="0.2">
      <c r="A76" s="195" t="s">
        <v>45</v>
      </c>
      <c r="B76" s="195">
        <v>735</v>
      </c>
      <c r="C76" s="185"/>
      <c r="D76" s="184"/>
      <c r="E76" s="240"/>
      <c r="F76" s="184"/>
    </row>
    <row r="77" spans="1:14" x14ac:dyDescent="0.2">
      <c r="A77" s="184"/>
      <c r="B77" s="184"/>
      <c r="C77" s="184"/>
      <c r="D77" s="184"/>
      <c r="E77" s="240"/>
      <c r="F77" s="184"/>
    </row>
    <row r="78" spans="1:14" ht="13.5" thickBot="1" x14ac:dyDescent="0.25">
      <c r="A78" s="184"/>
      <c r="B78" s="196" t="s">
        <v>286</v>
      </c>
      <c r="C78" s="522">
        <f>SUM(C65:C76)</f>
        <v>363267</v>
      </c>
      <c r="D78" s="184"/>
      <c r="E78" s="185"/>
      <c r="F78" s="184"/>
    </row>
    <row r="79" spans="1:14" ht="13.5" thickTop="1" x14ac:dyDescent="0.2">
      <c r="E79" s="240"/>
      <c r="F79" s="184"/>
    </row>
    <row r="80" spans="1:14" x14ac:dyDescent="0.2">
      <c r="E80" s="240"/>
    </row>
    <row r="81" spans="5:5" x14ac:dyDescent="0.2">
      <c r="E81" s="240"/>
    </row>
  </sheetData>
  <mergeCells count="1">
    <mergeCell ref="A1:J1"/>
  </mergeCells>
  <pageMargins left="0.7" right="0.7" top="0.75" bottom="0.75" header="0.3" footer="0.3"/>
  <pageSetup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>
    <pageSetUpPr fitToPage="1"/>
  </sheetPr>
  <dimension ref="A1:S91"/>
  <sheetViews>
    <sheetView topLeftCell="A29" zoomScale="90" zoomScaleNormal="90" workbookViewId="0">
      <selection activeCell="D85" sqref="D85"/>
    </sheetView>
  </sheetViews>
  <sheetFormatPr defaultRowHeight="12.75" x14ac:dyDescent="0.2"/>
  <cols>
    <col min="1" max="1" width="49.140625" bestFit="1" customWidth="1"/>
    <col min="3" max="3" width="14.28515625" customWidth="1"/>
    <col min="4" max="4" width="15.28515625" style="21" bestFit="1" customWidth="1"/>
    <col min="5" max="5" width="17.42578125" style="180" bestFit="1" customWidth="1"/>
    <col min="6" max="6" width="15.28515625" customWidth="1"/>
    <col min="7" max="7" width="11.85546875" style="404" customWidth="1"/>
    <col min="8" max="8" width="12" bestFit="1" customWidth="1"/>
    <col min="10" max="10" width="13.28515625" style="459" bestFit="1" customWidth="1"/>
    <col min="11" max="11" width="12.140625" style="459" customWidth="1"/>
    <col min="12" max="12" width="14.85546875" customWidth="1"/>
    <col min="16" max="16" width="37.28515625" bestFit="1" customWidth="1"/>
  </cols>
  <sheetData>
    <row r="1" spans="1:19" x14ac:dyDescent="0.2">
      <c r="A1" s="561" t="s">
        <v>390</v>
      </c>
      <c r="B1" s="562"/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403"/>
      <c r="N1" s="403"/>
      <c r="O1" s="403"/>
      <c r="P1" s="403"/>
      <c r="Q1" s="403"/>
    </row>
    <row r="2" spans="1:19" x14ac:dyDescent="0.2">
      <c r="A2" s="403"/>
      <c r="B2" s="403"/>
      <c r="C2" s="403"/>
      <c r="D2" s="403"/>
      <c r="E2" s="145"/>
      <c r="F2" s="403"/>
      <c r="G2" s="434"/>
      <c r="H2" s="403"/>
      <c r="I2" s="403"/>
      <c r="J2" s="475"/>
      <c r="K2" s="475"/>
      <c r="L2" s="403"/>
      <c r="M2" s="403"/>
      <c r="N2" s="403"/>
      <c r="O2" s="403"/>
      <c r="P2" s="403"/>
      <c r="Q2" s="403"/>
    </row>
    <row r="3" spans="1:19" x14ac:dyDescent="0.2">
      <c r="A3" s="149"/>
      <c r="B3" s="146" t="s">
        <v>206</v>
      </c>
      <c r="C3" s="147" t="s">
        <v>207</v>
      </c>
      <c r="D3" s="147"/>
      <c r="E3" s="151" t="s">
        <v>383</v>
      </c>
      <c r="F3" s="148" t="s">
        <v>382</v>
      </c>
      <c r="G3" s="433" t="s">
        <v>208</v>
      </c>
      <c r="H3" s="147" t="s">
        <v>381</v>
      </c>
      <c r="I3" s="8"/>
      <c r="J3" s="476" t="s">
        <v>381</v>
      </c>
      <c r="K3" s="476"/>
      <c r="L3" s="149" t="s">
        <v>211</v>
      </c>
      <c r="M3" s="335"/>
      <c r="N3" s="335"/>
      <c r="O3" s="20"/>
      <c r="P3" s="338"/>
      <c r="Q3" s="20"/>
      <c r="R3" s="20"/>
      <c r="S3" s="20"/>
    </row>
    <row r="4" spans="1:19" x14ac:dyDescent="0.2">
      <c r="A4" s="411" t="s">
        <v>527</v>
      </c>
      <c r="B4" s="151"/>
      <c r="C4" s="148"/>
      <c r="D4" s="147"/>
      <c r="E4" s="151"/>
      <c r="F4" s="148"/>
      <c r="G4" s="408"/>
      <c r="H4" s="148"/>
      <c r="I4" s="8"/>
      <c r="L4" s="149"/>
      <c r="M4" s="336"/>
      <c r="N4" s="336"/>
      <c r="O4" s="20"/>
      <c r="P4" s="20"/>
      <c r="Q4" s="20"/>
      <c r="R4" s="20"/>
      <c r="S4" s="20"/>
    </row>
    <row r="5" spans="1:19" x14ac:dyDescent="0.2">
      <c r="A5" s="411" t="s">
        <v>316</v>
      </c>
      <c r="B5" s="151"/>
      <c r="C5" s="148"/>
      <c r="D5" s="147"/>
      <c r="E5" s="151"/>
      <c r="F5" s="148"/>
      <c r="G5" s="408"/>
      <c r="H5" s="148"/>
      <c r="I5" s="8"/>
      <c r="J5" s="20"/>
      <c r="K5" s="20"/>
      <c r="L5" s="149"/>
      <c r="M5" s="336"/>
      <c r="N5" s="336"/>
      <c r="O5" s="20"/>
      <c r="P5" s="20"/>
      <c r="Q5" s="20"/>
      <c r="R5" s="20"/>
      <c r="S5" s="20"/>
    </row>
    <row r="6" spans="1:19" x14ac:dyDescent="0.2">
      <c r="A6" s="417" t="s">
        <v>525</v>
      </c>
      <c r="B6" s="151">
        <v>190</v>
      </c>
      <c r="C6" s="148">
        <v>675</v>
      </c>
      <c r="D6" s="147">
        <f>B6*C6</f>
        <v>128250</v>
      </c>
      <c r="E6" s="151">
        <v>31</v>
      </c>
      <c r="F6" s="148">
        <v>675</v>
      </c>
      <c r="G6" s="408"/>
      <c r="H6" s="450">
        <f>E6*F6</f>
        <v>20925</v>
      </c>
      <c r="I6" s="8"/>
      <c r="J6" s="479">
        <v>20925</v>
      </c>
      <c r="K6" s="486"/>
      <c r="L6" s="149" t="s">
        <v>525</v>
      </c>
      <c r="M6" s="336"/>
      <c r="N6" s="336"/>
      <c r="O6" s="20"/>
      <c r="P6" s="338"/>
      <c r="Q6" s="20"/>
      <c r="R6" s="20"/>
      <c r="S6" s="20"/>
    </row>
    <row r="7" spans="1:19" x14ac:dyDescent="0.2">
      <c r="A7" s="417" t="s">
        <v>524</v>
      </c>
      <c r="B7" s="151"/>
      <c r="C7" s="148"/>
      <c r="D7" s="147"/>
      <c r="E7" s="151">
        <v>64</v>
      </c>
      <c r="F7" s="148">
        <v>521.41999999999996</v>
      </c>
      <c r="G7" s="408"/>
      <c r="H7" s="450">
        <f>E7*F7</f>
        <v>33370.879999999997</v>
      </c>
      <c r="I7" s="8"/>
      <c r="J7" s="479">
        <f>25028.16+8342.72</f>
        <v>33370.879999999997</v>
      </c>
      <c r="K7" s="486"/>
      <c r="L7" s="149" t="s">
        <v>526</v>
      </c>
      <c r="M7" s="336"/>
      <c r="N7" s="336"/>
      <c r="O7" s="20"/>
      <c r="P7" s="338"/>
      <c r="Q7" s="20"/>
      <c r="R7" s="20"/>
      <c r="S7" s="20"/>
    </row>
    <row r="8" spans="1:19" x14ac:dyDescent="0.2">
      <c r="A8" s="417" t="s">
        <v>523</v>
      </c>
      <c r="B8" s="151"/>
      <c r="C8" s="148"/>
      <c r="D8" s="147"/>
      <c r="E8" s="151">
        <v>224</v>
      </c>
      <c r="F8" s="148">
        <v>268.64</v>
      </c>
      <c r="G8" s="408"/>
      <c r="H8" s="450">
        <f>E8*F8</f>
        <v>60175.360000000001</v>
      </c>
      <c r="I8" s="8"/>
      <c r="J8" s="479">
        <v>60175.360000000001</v>
      </c>
      <c r="K8" s="486"/>
      <c r="L8" s="149" t="s">
        <v>523</v>
      </c>
      <c r="M8" s="336"/>
      <c r="N8" s="336"/>
      <c r="O8" s="20"/>
      <c r="P8" s="338"/>
      <c r="Q8" s="20"/>
      <c r="R8" s="20"/>
      <c r="S8" s="20"/>
    </row>
    <row r="9" spans="1:19" x14ac:dyDescent="0.2">
      <c r="A9" s="417" t="s">
        <v>522</v>
      </c>
      <c r="B9" s="151"/>
      <c r="C9" s="148"/>
      <c r="D9" s="147"/>
      <c r="E9" s="151">
        <v>7</v>
      </c>
      <c r="F9" s="148">
        <v>1350</v>
      </c>
      <c r="G9" s="408"/>
      <c r="H9" s="450">
        <f>E9*F9</f>
        <v>9450</v>
      </c>
      <c r="I9" s="8"/>
      <c r="J9" s="479">
        <v>9450</v>
      </c>
      <c r="K9" s="486"/>
      <c r="L9" s="149"/>
      <c r="M9" s="336"/>
      <c r="N9" s="336"/>
      <c r="O9" s="20"/>
      <c r="P9" s="338"/>
      <c r="Q9" s="20"/>
      <c r="R9" s="20"/>
      <c r="S9" s="20"/>
    </row>
    <row r="10" spans="1:19" x14ac:dyDescent="0.2">
      <c r="A10" s="417" t="s">
        <v>521</v>
      </c>
      <c r="B10" s="151"/>
      <c r="C10" s="148"/>
      <c r="D10" s="147"/>
      <c r="E10" s="151">
        <v>224</v>
      </c>
      <c r="F10" s="148">
        <v>28.72</v>
      </c>
      <c r="G10" s="408"/>
      <c r="H10" s="450">
        <f>E10*F10</f>
        <v>6433.28</v>
      </c>
      <c r="I10" s="8"/>
      <c r="J10" s="479">
        <v>6433.28</v>
      </c>
      <c r="K10" s="486"/>
      <c r="L10" s="149"/>
      <c r="M10" s="336"/>
      <c r="N10" s="336"/>
      <c r="O10" s="20"/>
      <c r="P10" s="338"/>
      <c r="Q10" s="20"/>
      <c r="R10" s="20"/>
      <c r="S10" s="20"/>
    </row>
    <row r="11" spans="1:19" x14ac:dyDescent="0.2">
      <c r="A11" s="483" t="s">
        <v>547</v>
      </c>
      <c r="B11" s="151"/>
      <c r="C11" s="148"/>
      <c r="D11" s="147"/>
      <c r="E11" s="151"/>
      <c r="F11" s="148"/>
      <c r="G11" s="408"/>
      <c r="H11" s="148"/>
      <c r="I11" s="8"/>
      <c r="J11" s="479">
        <f>192+154.12</f>
        <v>346.12</v>
      </c>
      <c r="K11" s="485">
        <v>4327.28</v>
      </c>
      <c r="L11" s="484" t="s">
        <v>519</v>
      </c>
      <c r="M11" s="336"/>
      <c r="N11" s="336"/>
      <c r="O11" s="20"/>
      <c r="P11" s="338"/>
      <c r="Q11" s="20"/>
      <c r="R11" s="20"/>
      <c r="S11" s="20"/>
    </row>
    <row r="12" spans="1:19" x14ac:dyDescent="0.2">
      <c r="A12" s="411" t="s">
        <v>262</v>
      </c>
      <c r="B12" s="151"/>
      <c r="C12" s="148"/>
      <c r="D12" s="147"/>
      <c r="E12" s="151"/>
      <c r="F12" s="148"/>
      <c r="G12" s="408"/>
      <c r="H12" s="148"/>
      <c r="I12" s="8"/>
      <c r="J12" s="486"/>
      <c r="K12" s="486"/>
      <c r="L12" s="149"/>
      <c r="M12" s="336"/>
      <c r="N12" s="336"/>
      <c r="O12" s="20"/>
      <c r="P12" s="338"/>
      <c r="Q12" s="20"/>
      <c r="R12" s="20"/>
      <c r="S12" s="20"/>
    </row>
    <row r="13" spans="1:19" x14ac:dyDescent="0.2">
      <c r="A13" s="417" t="s">
        <v>525</v>
      </c>
      <c r="B13" s="151">
        <v>195</v>
      </c>
      <c r="C13" s="148">
        <v>675</v>
      </c>
      <c r="D13" s="147">
        <f>B13*C13</f>
        <v>131625</v>
      </c>
      <c r="E13" s="151">
        <v>31</v>
      </c>
      <c r="F13" s="148">
        <v>675</v>
      </c>
      <c r="G13" s="408"/>
      <c r="H13" s="450">
        <f t="shared" ref="H13:H17" si="0">E13*F13</f>
        <v>20925</v>
      </c>
      <c r="I13" s="8"/>
      <c r="J13" s="479">
        <v>20925</v>
      </c>
      <c r="K13" s="486"/>
      <c r="L13" s="8"/>
      <c r="M13" s="336"/>
      <c r="N13" s="336"/>
      <c r="O13" s="20"/>
      <c r="P13" s="20"/>
      <c r="Q13" s="20"/>
      <c r="R13" s="20"/>
      <c r="S13" s="20"/>
    </row>
    <row r="14" spans="1:19" x14ac:dyDescent="0.2">
      <c r="A14" s="417" t="s">
        <v>524</v>
      </c>
      <c r="B14" s="151"/>
      <c r="C14" s="148"/>
      <c r="D14" s="147"/>
      <c r="E14" s="151">
        <v>60</v>
      </c>
      <c r="F14" s="148">
        <v>521.41999999999996</v>
      </c>
      <c r="G14" s="408"/>
      <c r="H14" s="450">
        <f t="shared" si="0"/>
        <v>31285.199999999997</v>
      </c>
      <c r="I14" s="8"/>
      <c r="J14" s="479">
        <f>25028.16+6257.04</f>
        <v>31285.200000000001</v>
      </c>
      <c r="K14" s="486"/>
      <c r="L14" s="8"/>
      <c r="M14" s="336"/>
      <c r="N14" s="336"/>
      <c r="O14" s="20"/>
      <c r="P14" s="20"/>
      <c r="Q14" s="20"/>
      <c r="R14" s="20"/>
      <c r="S14" s="20"/>
    </row>
    <row r="15" spans="1:19" x14ac:dyDescent="0.2">
      <c r="A15" s="417" t="s">
        <v>523</v>
      </c>
      <c r="B15" s="151"/>
      <c r="C15" s="148"/>
      <c r="D15" s="147"/>
      <c r="E15" s="151">
        <v>224</v>
      </c>
      <c r="F15" s="148">
        <v>268.64</v>
      </c>
      <c r="G15" s="408"/>
      <c r="H15" s="450">
        <f t="shared" si="0"/>
        <v>60175.360000000001</v>
      </c>
      <c r="I15" s="8"/>
      <c r="J15" s="479">
        <v>60175.360000000001</v>
      </c>
      <c r="K15" s="486"/>
      <c r="L15" s="8"/>
      <c r="M15" s="336"/>
      <c r="N15" s="336"/>
      <c r="O15" s="20"/>
      <c r="P15" s="20"/>
      <c r="Q15" s="20"/>
      <c r="R15" s="20"/>
      <c r="S15" s="20"/>
    </row>
    <row r="16" spans="1:19" x14ac:dyDescent="0.2">
      <c r="A16" s="417" t="s">
        <v>522</v>
      </c>
      <c r="B16" s="151"/>
      <c r="C16" s="148"/>
      <c r="D16" s="147"/>
      <c r="E16" s="151">
        <v>7</v>
      </c>
      <c r="F16" s="148">
        <v>1350</v>
      </c>
      <c r="G16" s="408"/>
      <c r="H16" s="450">
        <f t="shared" si="0"/>
        <v>9450</v>
      </c>
      <c r="I16" s="8"/>
      <c r="J16" s="479">
        <v>9450</v>
      </c>
      <c r="K16" s="486"/>
      <c r="L16" s="8"/>
      <c r="M16" s="336"/>
      <c r="N16" s="336"/>
      <c r="O16" s="20"/>
      <c r="P16" s="20"/>
      <c r="Q16" s="20"/>
      <c r="R16" s="20"/>
      <c r="S16" s="20"/>
    </row>
    <row r="17" spans="1:19" x14ac:dyDescent="0.2">
      <c r="A17" s="417" t="s">
        <v>521</v>
      </c>
      <c r="B17" s="151"/>
      <c r="C17" s="148"/>
      <c r="D17" s="147"/>
      <c r="E17" s="151">
        <v>224</v>
      </c>
      <c r="F17" s="148">
        <v>28.72</v>
      </c>
      <c r="G17" s="408"/>
      <c r="H17" s="450">
        <f t="shared" si="0"/>
        <v>6433.28</v>
      </c>
      <c r="I17" s="8"/>
      <c r="J17" s="479">
        <v>6433.28</v>
      </c>
      <c r="K17" s="486"/>
      <c r="L17" s="8"/>
      <c r="M17" s="336"/>
      <c r="N17" s="336"/>
      <c r="O17" s="20"/>
      <c r="P17" s="20"/>
      <c r="Q17" s="20"/>
      <c r="R17" s="20"/>
      <c r="S17" s="20"/>
    </row>
    <row r="18" spans="1:19" x14ac:dyDescent="0.2">
      <c r="A18" s="417" t="s">
        <v>520</v>
      </c>
      <c r="B18" s="151">
        <v>385</v>
      </c>
      <c r="C18" s="148">
        <v>54</v>
      </c>
      <c r="D18" s="147">
        <f>B18*C18</f>
        <v>20790</v>
      </c>
      <c r="E18" s="151">
        <v>75</v>
      </c>
      <c r="F18" s="148">
        <v>53.68</v>
      </c>
      <c r="G18" s="408"/>
      <c r="H18" s="450">
        <f>E18*F18</f>
        <v>4026</v>
      </c>
      <c r="I18" s="8" t="s">
        <v>544</v>
      </c>
      <c r="J18" s="479">
        <v>4026</v>
      </c>
      <c r="K18" s="486"/>
      <c r="L18" s="8"/>
      <c r="M18" s="336"/>
      <c r="N18" s="336"/>
      <c r="O18" s="20"/>
      <c r="P18" s="20"/>
      <c r="Q18" s="20"/>
      <c r="R18" s="20"/>
      <c r="S18" s="20"/>
    </row>
    <row r="19" spans="1:19" x14ac:dyDescent="0.2">
      <c r="A19" s="483" t="s">
        <v>547</v>
      </c>
      <c r="B19" s="151"/>
      <c r="C19" s="148"/>
      <c r="D19" s="147"/>
      <c r="E19" s="151"/>
      <c r="F19" s="148"/>
      <c r="G19" s="408"/>
      <c r="H19" s="148"/>
      <c r="I19" s="8"/>
      <c r="J19" s="479">
        <f>192+154.12</f>
        <v>346.12</v>
      </c>
      <c r="K19" s="486"/>
      <c r="L19" s="8"/>
      <c r="M19" s="336"/>
      <c r="N19" s="336"/>
      <c r="O19" s="20"/>
      <c r="P19" s="20"/>
      <c r="Q19" s="20"/>
      <c r="R19" s="20"/>
      <c r="S19" s="20"/>
    </row>
    <row r="20" spans="1:19" x14ac:dyDescent="0.2">
      <c r="A20" s="417" t="s">
        <v>519</v>
      </c>
      <c r="B20" s="151"/>
      <c r="C20" s="148"/>
      <c r="D20" s="147"/>
      <c r="E20" s="151">
        <v>25</v>
      </c>
      <c r="F20" s="148">
        <v>564.91</v>
      </c>
      <c r="G20" s="408"/>
      <c r="H20" s="450">
        <f>E20*F20</f>
        <v>14122.75</v>
      </c>
      <c r="I20" s="8"/>
      <c r="J20" s="479">
        <v>4327.28</v>
      </c>
      <c r="K20" s="486"/>
      <c r="L20" s="8"/>
      <c r="M20" s="336"/>
      <c r="N20" s="336"/>
      <c r="O20" s="20"/>
      <c r="P20" s="20"/>
      <c r="Q20" s="20"/>
      <c r="R20" s="20"/>
      <c r="S20" s="20"/>
    </row>
    <row r="21" spans="1:19" x14ac:dyDescent="0.2">
      <c r="A21" s="417"/>
      <c r="B21" s="151"/>
      <c r="C21" s="148"/>
      <c r="D21" s="147"/>
      <c r="E21" s="151"/>
      <c r="F21" s="148"/>
      <c r="G21" s="408"/>
      <c r="H21" s="408"/>
      <c r="I21" s="8"/>
      <c r="J21" s="486"/>
      <c r="K21" s="486"/>
      <c r="L21" s="8"/>
      <c r="M21" s="336"/>
      <c r="N21" s="336"/>
      <c r="O21" s="20"/>
      <c r="P21" s="20"/>
      <c r="Q21" s="20"/>
      <c r="R21" s="20"/>
      <c r="S21" s="20"/>
    </row>
    <row r="22" spans="1:19" x14ac:dyDescent="0.2">
      <c r="A22" s="411" t="s">
        <v>548</v>
      </c>
      <c r="B22" s="151"/>
      <c r="C22" s="148"/>
      <c r="D22" s="147"/>
      <c r="E22" s="151"/>
      <c r="F22" s="148"/>
      <c r="G22" s="408"/>
      <c r="H22" s="408"/>
      <c r="I22" s="8"/>
      <c r="J22" s="479">
        <f>4868.19+154.12</f>
        <v>5022.3099999999995</v>
      </c>
      <c r="K22" s="486"/>
      <c r="L22" s="8"/>
      <c r="M22" s="336"/>
      <c r="N22" s="336"/>
      <c r="O22" s="20"/>
      <c r="P22" s="20"/>
      <c r="Q22" s="20"/>
      <c r="R22" s="20"/>
      <c r="S22" s="20"/>
    </row>
    <row r="23" spans="1:19" x14ac:dyDescent="0.2">
      <c r="A23" s="483" t="s">
        <v>546</v>
      </c>
      <c r="B23" s="151"/>
      <c r="C23" s="148"/>
      <c r="D23" s="147"/>
      <c r="E23" s="151"/>
      <c r="F23" s="148"/>
      <c r="G23" s="408"/>
      <c r="H23" s="148"/>
      <c r="I23" s="8"/>
      <c r="J23" s="479">
        <f>216+982.8+4390+2384.4</f>
        <v>7973.2000000000007</v>
      </c>
      <c r="K23" s="486"/>
      <c r="L23" s="8"/>
      <c r="M23" s="336"/>
      <c r="N23" s="336"/>
      <c r="O23" s="20"/>
      <c r="P23" s="20"/>
      <c r="Q23" s="20"/>
      <c r="R23" s="20"/>
      <c r="S23" s="20"/>
    </row>
    <row r="24" spans="1:19" x14ac:dyDescent="0.2">
      <c r="A24" s="411" t="s">
        <v>549</v>
      </c>
      <c r="B24" s="151"/>
      <c r="C24" s="148"/>
      <c r="D24" s="147"/>
      <c r="E24" s="151"/>
      <c r="F24" s="148"/>
      <c r="G24" s="408"/>
      <c r="H24" s="408"/>
      <c r="I24" s="8"/>
      <c r="J24" s="479">
        <v>154.12</v>
      </c>
      <c r="K24" s="486"/>
      <c r="L24" s="8"/>
      <c r="M24" s="336"/>
      <c r="N24" s="336"/>
      <c r="O24" s="20"/>
      <c r="P24" s="20"/>
      <c r="Q24" s="20"/>
      <c r="R24" s="20"/>
      <c r="S24" s="20"/>
    </row>
    <row r="25" spans="1:19" x14ac:dyDescent="0.2">
      <c r="A25" s="417"/>
      <c r="B25" s="151"/>
      <c r="C25" s="158" t="s">
        <v>236</v>
      </c>
      <c r="D25" s="159">
        <f>SUM(D6:D18)</f>
        <v>280665</v>
      </c>
      <c r="E25" s="245"/>
      <c r="F25" s="159"/>
      <c r="G25" s="418" t="s">
        <v>236</v>
      </c>
      <c r="H25" s="244">
        <f>SUM(H6:H20)</f>
        <v>276772.11</v>
      </c>
      <c r="I25" s="160"/>
      <c r="J25" s="487"/>
      <c r="K25" s="487"/>
      <c r="L25" s="160"/>
      <c r="M25" s="336"/>
      <c r="N25" s="336"/>
      <c r="O25" s="36"/>
      <c r="P25" s="36"/>
      <c r="Q25" s="20"/>
      <c r="R25" s="20"/>
      <c r="S25" s="20"/>
    </row>
    <row r="26" spans="1:19" x14ac:dyDescent="0.2">
      <c r="A26" s="417"/>
      <c r="B26" s="151"/>
      <c r="C26" s="148"/>
      <c r="D26" s="147"/>
      <c r="E26" s="151"/>
      <c r="F26" s="148"/>
      <c r="G26" s="408"/>
      <c r="H26" s="148"/>
      <c r="I26" s="8"/>
      <c r="J26" s="486"/>
      <c r="K26" s="486"/>
      <c r="L26" s="8"/>
      <c r="M26" s="336"/>
      <c r="N26" s="336"/>
      <c r="O26" s="20"/>
      <c r="P26" s="20"/>
      <c r="Q26" s="20"/>
      <c r="R26" s="20"/>
      <c r="S26" s="20"/>
    </row>
    <row r="27" spans="1:19" x14ac:dyDescent="0.2">
      <c r="A27" s="411" t="s">
        <v>366</v>
      </c>
      <c r="B27" s="151"/>
      <c r="C27" s="148"/>
      <c r="D27" s="147"/>
      <c r="E27" s="151"/>
      <c r="F27" s="148"/>
      <c r="G27" s="408"/>
      <c r="H27" s="148"/>
      <c r="I27" s="160"/>
      <c r="J27" s="487"/>
      <c r="K27" s="487"/>
      <c r="L27" s="160"/>
      <c r="M27" s="336"/>
      <c r="N27" s="336"/>
      <c r="O27" s="36"/>
      <c r="P27" s="36"/>
      <c r="Q27" s="20"/>
      <c r="R27" s="20"/>
      <c r="S27" s="20"/>
    </row>
    <row r="28" spans="1:19" x14ac:dyDescent="0.2">
      <c r="A28" s="417" t="s">
        <v>394</v>
      </c>
      <c r="B28" s="151">
        <v>1</v>
      </c>
      <c r="C28" s="148">
        <v>9000</v>
      </c>
      <c r="D28" s="451">
        <f>B28*C28</f>
        <v>9000</v>
      </c>
      <c r="E28" s="151"/>
      <c r="F28" s="148"/>
      <c r="G28" s="408"/>
      <c r="H28" s="246"/>
      <c r="I28" s="8"/>
      <c r="J28" s="479">
        <v>5792.27</v>
      </c>
      <c r="K28" s="486"/>
      <c r="L28" s="149"/>
      <c r="M28" s="336"/>
      <c r="N28" s="336"/>
      <c r="O28" s="20"/>
      <c r="P28" s="20"/>
      <c r="Q28" s="20"/>
      <c r="R28" s="20"/>
      <c r="S28" s="20"/>
    </row>
    <row r="29" spans="1:19" x14ac:dyDescent="0.2">
      <c r="A29" s="417" t="s">
        <v>518</v>
      </c>
      <c r="B29" s="151">
        <v>1</v>
      </c>
      <c r="C29" s="148">
        <v>5500</v>
      </c>
      <c r="D29" s="451">
        <f>B29*C29</f>
        <v>5500</v>
      </c>
      <c r="E29" s="151"/>
      <c r="F29" s="148"/>
      <c r="G29" s="408"/>
      <c r="H29" s="148"/>
      <c r="I29" s="8" t="s">
        <v>544</v>
      </c>
      <c r="J29" s="479">
        <v>2267.46</v>
      </c>
      <c r="K29" s="486"/>
      <c r="L29" s="8"/>
      <c r="M29" s="336"/>
      <c r="N29" s="336"/>
      <c r="O29" s="20"/>
      <c r="P29" s="20"/>
      <c r="Q29" s="20"/>
      <c r="R29" s="20"/>
      <c r="S29" s="20"/>
    </row>
    <row r="30" spans="1:19" x14ac:dyDescent="0.2">
      <c r="A30" s="417" t="s">
        <v>396</v>
      </c>
      <c r="B30" s="151">
        <v>1</v>
      </c>
      <c r="C30" s="157">
        <v>17000</v>
      </c>
      <c r="D30" s="451">
        <f>B30*C30</f>
        <v>17000</v>
      </c>
      <c r="E30" s="151"/>
      <c r="F30" s="148"/>
      <c r="G30" s="408"/>
      <c r="H30" s="148"/>
      <c r="I30" s="8"/>
      <c r="J30" s="486"/>
      <c r="K30" s="486"/>
      <c r="L30" s="8"/>
      <c r="M30" s="336"/>
      <c r="N30" s="336"/>
      <c r="O30" s="20"/>
      <c r="P30" s="20"/>
      <c r="Q30" s="20"/>
      <c r="R30" s="20"/>
      <c r="S30" s="20"/>
    </row>
    <row r="31" spans="1:19" x14ac:dyDescent="0.2">
      <c r="A31" s="417"/>
      <c r="B31" s="151"/>
      <c r="C31" s="148"/>
      <c r="D31" s="147"/>
      <c r="E31" s="151"/>
      <c r="F31" s="148"/>
      <c r="G31" s="408"/>
      <c r="H31" s="148"/>
      <c r="I31" s="8"/>
      <c r="J31" s="486"/>
      <c r="K31" s="486"/>
      <c r="L31" s="8"/>
      <c r="M31" s="336"/>
      <c r="N31" s="336"/>
      <c r="O31" s="20"/>
      <c r="P31" s="20"/>
      <c r="Q31" s="20"/>
      <c r="R31" s="20"/>
      <c r="S31" s="20"/>
    </row>
    <row r="32" spans="1:19" ht="15" x14ac:dyDescent="0.25">
      <c r="A32" s="432"/>
      <c r="B32" s="151"/>
      <c r="C32" s="158" t="s">
        <v>360</v>
      </c>
      <c r="D32" s="425">
        <f>SUM(D28:D30)</f>
        <v>31500</v>
      </c>
      <c r="E32" s="424"/>
      <c r="F32" s="423"/>
      <c r="G32" s="418" t="s">
        <v>360</v>
      </c>
      <c r="H32" s="244">
        <f>SUM(H28:H28)</f>
        <v>0</v>
      </c>
      <c r="I32" s="8"/>
      <c r="J32" s="486"/>
      <c r="K32" s="486"/>
      <c r="L32" s="8"/>
      <c r="M32" s="336"/>
      <c r="N32" s="336"/>
      <c r="O32" s="20"/>
      <c r="P32" s="20"/>
      <c r="Q32" s="20"/>
      <c r="R32" s="20"/>
      <c r="S32" s="20"/>
    </row>
    <row r="33" spans="1:19" ht="15" x14ac:dyDescent="0.25">
      <c r="A33" s="426" t="s">
        <v>359</v>
      </c>
      <c r="B33" s="151"/>
      <c r="C33" s="158"/>
      <c r="D33" s="425"/>
      <c r="E33" s="424"/>
      <c r="F33" s="423"/>
      <c r="G33" s="408"/>
      <c r="H33" s="148"/>
      <c r="I33" s="8"/>
      <c r="J33" s="486"/>
      <c r="K33" s="486"/>
      <c r="L33" s="8"/>
      <c r="M33" s="422"/>
      <c r="N33" s="421"/>
      <c r="O33" s="336"/>
      <c r="P33" s="336"/>
      <c r="Q33" s="20"/>
      <c r="R33" s="20"/>
      <c r="S33" s="20"/>
    </row>
    <row r="34" spans="1:19" ht="15" x14ac:dyDescent="0.25">
      <c r="A34" s="432" t="s">
        <v>397</v>
      </c>
      <c r="B34" s="151">
        <v>11</v>
      </c>
      <c r="C34" s="165">
        <v>2000</v>
      </c>
      <c r="D34" s="453">
        <f>B34*C34</f>
        <v>22000</v>
      </c>
      <c r="E34" s="424"/>
      <c r="F34" s="423"/>
      <c r="G34" s="408"/>
      <c r="H34" s="148"/>
      <c r="I34" s="8"/>
      <c r="J34" s="486"/>
      <c r="K34" s="486"/>
      <c r="L34" s="8"/>
      <c r="M34" s="428"/>
      <c r="N34" s="427"/>
      <c r="O34" s="336"/>
      <c r="P34" s="335"/>
      <c r="Q34" s="20"/>
      <c r="R34" s="20"/>
      <c r="S34" s="20"/>
    </row>
    <row r="35" spans="1:19" ht="15" x14ac:dyDescent="0.25">
      <c r="A35" s="432" t="s">
        <v>517</v>
      </c>
      <c r="B35" s="151">
        <v>30</v>
      </c>
      <c r="C35" s="165">
        <v>900</v>
      </c>
      <c r="D35" s="431">
        <f>B35*C35</f>
        <v>27000</v>
      </c>
      <c r="E35" s="430">
        <v>21</v>
      </c>
      <c r="F35" s="431">
        <v>565.90650000000005</v>
      </c>
      <c r="G35" s="408"/>
      <c r="H35" s="454">
        <f>E35*F35</f>
        <v>11884.036500000002</v>
      </c>
      <c r="I35" s="8"/>
      <c r="J35" s="479">
        <v>11884.04</v>
      </c>
      <c r="K35" s="486"/>
      <c r="L35" s="338" t="s">
        <v>516</v>
      </c>
      <c r="M35" s="428"/>
      <c r="N35" s="427"/>
      <c r="O35" s="336"/>
      <c r="P35" s="345"/>
      <c r="Q35" s="20"/>
      <c r="R35" s="20"/>
      <c r="S35" s="20"/>
    </row>
    <row r="36" spans="1:19" ht="15" x14ac:dyDescent="0.25">
      <c r="A36" s="432"/>
      <c r="B36" s="151"/>
      <c r="C36" s="158"/>
      <c r="D36" s="431"/>
      <c r="E36" s="430"/>
      <c r="F36" s="429"/>
      <c r="G36" s="408"/>
      <c r="H36" s="148"/>
      <c r="I36" s="8"/>
      <c r="J36" s="486"/>
      <c r="K36" s="486"/>
      <c r="L36" s="8"/>
      <c r="M36" s="428"/>
      <c r="N36" s="427"/>
      <c r="O36" s="336"/>
      <c r="P36" s="336"/>
      <c r="Q36" s="20"/>
      <c r="R36" s="20"/>
      <c r="S36" s="20"/>
    </row>
    <row r="37" spans="1:19" ht="15" x14ac:dyDescent="0.25">
      <c r="A37" s="426"/>
      <c r="B37" s="151"/>
      <c r="C37" s="158" t="s">
        <v>356</v>
      </c>
      <c r="D37" s="425">
        <f>SUM(D34:D36)</f>
        <v>49000</v>
      </c>
      <c r="E37" s="424"/>
      <c r="F37" s="423"/>
      <c r="G37" s="418" t="s">
        <v>356</v>
      </c>
      <c r="H37" s="244">
        <f>SUM(H35:H36)</f>
        <v>11884.036500000002</v>
      </c>
      <c r="I37" s="8"/>
      <c r="J37" s="486"/>
      <c r="K37" s="486"/>
      <c r="L37" s="8"/>
      <c r="M37" s="422"/>
      <c r="N37" s="421"/>
      <c r="O37" s="341"/>
      <c r="P37" s="344"/>
      <c r="Q37" s="20"/>
      <c r="R37" s="20"/>
      <c r="S37" s="20"/>
    </row>
    <row r="38" spans="1:19" x14ac:dyDescent="0.2">
      <c r="A38" s="417"/>
      <c r="B38" s="151"/>
      <c r="C38" s="148"/>
      <c r="D38" s="147"/>
      <c r="E38" s="151"/>
      <c r="F38" s="148"/>
      <c r="G38" s="408"/>
      <c r="H38" s="148"/>
      <c r="I38" s="8"/>
      <c r="J38" s="486"/>
      <c r="K38" s="486"/>
      <c r="L38" s="8"/>
      <c r="M38" s="336"/>
      <c r="N38" s="336"/>
      <c r="O38" s="20"/>
      <c r="P38" s="20"/>
      <c r="Q38" s="20"/>
      <c r="R38" s="20"/>
      <c r="S38" s="20"/>
    </row>
    <row r="39" spans="1:19" x14ac:dyDescent="0.2">
      <c r="A39" s="168" t="s">
        <v>399</v>
      </c>
      <c r="B39" s="151"/>
      <c r="C39" s="148"/>
      <c r="D39" s="169"/>
      <c r="E39" s="243"/>
      <c r="F39" s="169"/>
      <c r="G39" s="408"/>
      <c r="H39" s="148"/>
      <c r="I39" s="8"/>
      <c r="J39" s="486"/>
      <c r="K39" s="486"/>
      <c r="L39" s="8"/>
      <c r="M39" s="336"/>
      <c r="N39" s="336"/>
      <c r="O39" s="20"/>
      <c r="P39" s="20"/>
      <c r="Q39" s="20"/>
      <c r="R39" s="20"/>
      <c r="S39" s="20"/>
    </row>
    <row r="40" spans="1:19" x14ac:dyDescent="0.2">
      <c r="A40" s="420" t="s">
        <v>400</v>
      </c>
      <c r="B40" s="151">
        <v>1</v>
      </c>
      <c r="C40" s="157">
        <v>75000</v>
      </c>
      <c r="D40" s="452">
        <f>B40*C40</f>
        <v>75000</v>
      </c>
      <c r="E40" s="243"/>
      <c r="F40" s="169"/>
      <c r="G40" s="408"/>
      <c r="H40" s="148"/>
      <c r="I40" s="8"/>
      <c r="J40" s="479">
        <f>2690</f>
        <v>2690</v>
      </c>
      <c r="K40" s="479">
        <f>15415+6125</f>
        <v>21540</v>
      </c>
      <c r="L40" s="8" t="s">
        <v>545</v>
      </c>
      <c r="M40" s="336"/>
      <c r="N40" s="336"/>
      <c r="O40" s="20"/>
      <c r="P40" s="20"/>
      <c r="Q40" s="20"/>
      <c r="R40" s="20"/>
      <c r="S40" s="20"/>
    </row>
    <row r="41" spans="1:19" x14ac:dyDescent="0.2">
      <c r="A41" s="420" t="s">
        <v>401</v>
      </c>
      <c r="B41" s="151">
        <v>1</v>
      </c>
      <c r="C41" s="148">
        <v>4500</v>
      </c>
      <c r="D41" s="452">
        <f>B41*C41</f>
        <v>4500</v>
      </c>
      <c r="E41" s="243"/>
      <c r="F41" s="169"/>
      <c r="G41" s="408"/>
      <c r="H41" s="148"/>
      <c r="I41" s="8"/>
      <c r="J41" s="486"/>
      <c r="K41" s="486"/>
      <c r="L41" s="8"/>
      <c r="M41" s="336"/>
      <c r="N41" s="336"/>
      <c r="O41" s="20"/>
      <c r="P41" s="20"/>
      <c r="Q41" s="20"/>
      <c r="R41" s="20"/>
      <c r="S41" s="20"/>
    </row>
    <row r="42" spans="1:19" x14ac:dyDescent="0.2">
      <c r="A42" s="417"/>
      <c r="B42" s="151"/>
      <c r="C42" s="148"/>
      <c r="D42" s="147"/>
      <c r="E42" s="151"/>
      <c r="F42" s="148"/>
      <c r="G42" s="408"/>
      <c r="H42" s="148"/>
      <c r="I42" s="8"/>
      <c r="J42" s="486"/>
      <c r="K42" s="486"/>
      <c r="L42" s="8"/>
      <c r="M42" s="336"/>
      <c r="N42" s="336"/>
      <c r="O42" s="20"/>
      <c r="P42" s="20"/>
      <c r="Q42" s="20"/>
      <c r="R42" s="20"/>
      <c r="S42" s="20"/>
    </row>
    <row r="43" spans="1:19" x14ac:dyDescent="0.2">
      <c r="A43" s="417"/>
      <c r="B43" s="151"/>
      <c r="C43" s="158" t="s">
        <v>402</v>
      </c>
      <c r="D43" s="159">
        <f>SUM(D40:D42)</f>
        <v>79500</v>
      </c>
      <c r="E43" s="245"/>
      <c r="F43" s="159"/>
      <c r="G43" s="418" t="s">
        <v>355</v>
      </c>
      <c r="H43" s="244">
        <v>0</v>
      </c>
      <c r="I43" s="8"/>
      <c r="J43" s="486"/>
      <c r="K43" s="486"/>
      <c r="L43" s="8"/>
      <c r="M43" s="336"/>
      <c r="N43" s="336"/>
      <c r="O43" s="20"/>
      <c r="P43" s="20"/>
      <c r="Q43" s="20"/>
      <c r="R43" s="20"/>
      <c r="S43" s="20"/>
    </row>
    <row r="44" spans="1:19" x14ac:dyDescent="0.2">
      <c r="A44" s="417"/>
      <c r="B44" s="151"/>
      <c r="C44" s="158"/>
      <c r="D44" s="159"/>
      <c r="E44" s="245"/>
      <c r="F44" s="159"/>
      <c r="G44" s="418"/>
      <c r="H44" s="244"/>
      <c r="I44" s="8"/>
      <c r="J44" s="486"/>
      <c r="K44" s="486"/>
      <c r="L44" s="8"/>
      <c r="M44" s="336"/>
      <c r="N44" s="336"/>
      <c r="O44" s="20"/>
      <c r="P44" s="20"/>
      <c r="Q44" s="20"/>
      <c r="R44" s="20"/>
      <c r="S44" s="20"/>
    </row>
    <row r="45" spans="1:19" x14ac:dyDescent="0.2">
      <c r="A45" s="411" t="s">
        <v>271</v>
      </c>
      <c r="B45" s="151"/>
      <c r="C45" s="158"/>
      <c r="D45" s="159"/>
      <c r="E45" s="245"/>
      <c r="F45" s="159"/>
      <c r="G45" s="408"/>
      <c r="H45" s="148"/>
      <c r="I45" s="8"/>
      <c r="J45" s="486"/>
      <c r="K45" s="486"/>
      <c r="L45" s="8"/>
      <c r="M45" s="336"/>
      <c r="N45" s="336"/>
      <c r="O45" s="20"/>
      <c r="P45" s="20"/>
      <c r="Q45" s="20"/>
      <c r="R45" s="20"/>
      <c r="S45" s="20"/>
    </row>
    <row r="46" spans="1:19" x14ac:dyDescent="0.2">
      <c r="A46" s="417" t="s">
        <v>515</v>
      </c>
      <c r="B46" s="151"/>
      <c r="C46" s="158"/>
      <c r="D46" s="454">
        <v>18000</v>
      </c>
      <c r="E46" s="245"/>
      <c r="F46" s="159"/>
      <c r="G46" s="408"/>
      <c r="H46" s="148"/>
      <c r="I46" s="8"/>
      <c r="J46" s="486"/>
      <c r="K46" s="486"/>
      <c r="L46" s="8"/>
      <c r="M46" s="336"/>
      <c r="N46" s="336"/>
      <c r="O46" s="20"/>
      <c r="P46" s="20"/>
      <c r="Q46" s="20"/>
      <c r="R46" s="20"/>
      <c r="S46" s="20"/>
    </row>
    <row r="47" spans="1:19" x14ac:dyDescent="0.2">
      <c r="A47" s="417" t="s">
        <v>514</v>
      </c>
      <c r="B47" s="151"/>
      <c r="C47" s="158"/>
      <c r="D47" s="412"/>
      <c r="E47" s="245"/>
      <c r="F47" s="159"/>
      <c r="G47" s="408">
        <v>42411</v>
      </c>
      <c r="H47" s="336">
        <v>2915</v>
      </c>
      <c r="I47" s="8" t="s">
        <v>544</v>
      </c>
      <c r="J47" s="479">
        <v>5412.8</v>
      </c>
      <c r="K47" s="479">
        <f>3050.6+7559.64</f>
        <v>10610.24</v>
      </c>
      <c r="L47" s="149" t="s">
        <v>512</v>
      </c>
      <c r="M47" s="336"/>
      <c r="N47" s="336"/>
      <c r="O47" s="20"/>
      <c r="P47" s="20"/>
      <c r="Q47" s="20"/>
      <c r="R47" s="20"/>
      <c r="S47" s="20"/>
    </row>
    <row r="48" spans="1:19" x14ac:dyDescent="0.2">
      <c r="A48" s="417" t="s">
        <v>513</v>
      </c>
      <c r="B48" s="151"/>
      <c r="C48" s="158"/>
      <c r="D48" s="412"/>
      <c r="E48" s="245"/>
      <c r="F48" s="159"/>
      <c r="G48" s="408">
        <v>42411</v>
      </c>
      <c r="H48" s="336">
        <v>7559.64</v>
      </c>
      <c r="I48" s="8"/>
      <c r="J48" s="479">
        <v>2915</v>
      </c>
      <c r="K48" s="486"/>
      <c r="L48" s="149" t="s">
        <v>512</v>
      </c>
      <c r="M48" s="336"/>
      <c r="N48" s="336"/>
      <c r="O48" s="20"/>
      <c r="P48" s="20"/>
      <c r="Q48" s="20"/>
      <c r="R48" s="20"/>
      <c r="S48" s="20"/>
    </row>
    <row r="49" spans="1:19" x14ac:dyDescent="0.2">
      <c r="A49" s="417"/>
      <c r="B49" s="151"/>
      <c r="C49" s="158"/>
      <c r="D49" s="412"/>
      <c r="E49" s="245"/>
      <c r="F49" s="159"/>
      <c r="G49" s="408"/>
      <c r="H49" s="148"/>
      <c r="I49" s="8"/>
      <c r="J49" s="486"/>
      <c r="K49" s="486"/>
      <c r="L49" s="8"/>
      <c r="M49" s="336"/>
      <c r="N49" s="336"/>
      <c r="O49" s="20"/>
      <c r="P49" s="20"/>
      <c r="Q49" s="20"/>
      <c r="R49" s="20"/>
      <c r="S49" s="20"/>
    </row>
    <row r="50" spans="1:19" x14ac:dyDescent="0.2">
      <c r="A50" s="417"/>
      <c r="B50" s="151"/>
      <c r="C50" s="158"/>
      <c r="D50" s="412"/>
      <c r="E50" s="245"/>
      <c r="F50" s="159"/>
      <c r="G50" s="408"/>
      <c r="H50" s="148"/>
      <c r="I50" s="8"/>
      <c r="J50" s="486"/>
      <c r="K50" s="486"/>
      <c r="L50" s="8"/>
      <c r="M50" s="336"/>
      <c r="N50" s="336"/>
      <c r="O50" s="20"/>
      <c r="P50" s="20"/>
      <c r="Q50" s="20"/>
      <c r="R50" s="20"/>
      <c r="S50" s="20"/>
    </row>
    <row r="51" spans="1:19" x14ac:dyDescent="0.2">
      <c r="A51" s="417"/>
      <c r="B51" s="151"/>
      <c r="C51" s="158"/>
      <c r="D51" s="159"/>
      <c r="E51" s="146"/>
      <c r="F51" s="147"/>
      <c r="G51" s="408"/>
      <c r="H51" s="148"/>
      <c r="I51" s="8"/>
      <c r="J51" s="486"/>
      <c r="K51" s="486"/>
      <c r="L51" s="8"/>
      <c r="M51" s="336"/>
      <c r="N51" s="336"/>
      <c r="O51" s="20"/>
      <c r="P51" s="20"/>
      <c r="Q51" s="20"/>
      <c r="R51" s="20"/>
      <c r="S51" s="20"/>
    </row>
    <row r="52" spans="1:19" x14ac:dyDescent="0.2">
      <c r="A52" s="417"/>
      <c r="B52" s="151"/>
      <c r="C52" s="158" t="s">
        <v>279</v>
      </c>
      <c r="D52" s="159">
        <f>D46</f>
        <v>18000</v>
      </c>
      <c r="E52" s="247"/>
      <c r="F52" s="159"/>
      <c r="G52" s="418" t="s">
        <v>279</v>
      </c>
      <c r="H52" s="244">
        <f>SUM(H47:H51)</f>
        <v>10474.64</v>
      </c>
      <c r="I52" s="8"/>
      <c r="J52" s="486"/>
      <c r="K52" s="486"/>
      <c r="L52" s="8"/>
      <c r="M52" s="336"/>
      <c r="N52" s="336"/>
      <c r="O52" s="20"/>
      <c r="P52" s="20"/>
      <c r="Q52" s="20"/>
      <c r="R52" s="20"/>
      <c r="S52" s="20"/>
    </row>
    <row r="53" spans="1:19" x14ac:dyDescent="0.2">
      <c r="A53" s="417"/>
      <c r="B53" s="151"/>
      <c r="C53" s="148"/>
      <c r="D53" s="147"/>
      <c r="E53" s="146"/>
      <c r="F53" s="148"/>
      <c r="G53" s="408"/>
      <c r="H53" s="148"/>
      <c r="I53" s="8"/>
      <c r="J53" s="486"/>
      <c r="K53" s="486"/>
      <c r="L53" s="8"/>
      <c r="M53" s="336"/>
      <c r="N53" s="336"/>
      <c r="O53" s="20"/>
      <c r="P53" s="20"/>
      <c r="Q53" s="20"/>
      <c r="R53" s="20"/>
      <c r="S53" s="20"/>
    </row>
    <row r="54" spans="1:19" x14ac:dyDescent="0.2">
      <c r="A54" s="174"/>
      <c r="B54" s="151"/>
      <c r="C54" s="148"/>
      <c r="D54" s="169"/>
      <c r="E54" s="245"/>
      <c r="F54" s="169"/>
      <c r="G54" s="408"/>
      <c r="H54" s="148"/>
      <c r="I54" s="8"/>
      <c r="J54" s="486"/>
      <c r="K54" s="486"/>
      <c r="L54" s="8"/>
      <c r="M54" s="336"/>
      <c r="N54" s="336"/>
      <c r="O54" s="20"/>
      <c r="P54" s="20"/>
      <c r="Q54" s="20"/>
      <c r="R54" s="20"/>
      <c r="S54" s="20"/>
    </row>
    <row r="55" spans="1:19" x14ac:dyDescent="0.2">
      <c r="A55" s="410" t="s">
        <v>511</v>
      </c>
      <c r="B55" s="176"/>
      <c r="C55" s="177"/>
      <c r="D55" s="177">
        <f>D25+D32+D37+D43+D52</f>
        <v>458665</v>
      </c>
      <c r="E55" s="151"/>
      <c r="F55" s="177"/>
      <c r="G55" s="409"/>
      <c r="H55" s="177">
        <f>H25+H32+H37+H52</f>
        <v>299130.78649999999</v>
      </c>
      <c r="I55" s="8"/>
      <c r="J55" s="486"/>
      <c r="K55" s="486"/>
      <c r="L55" s="149" t="s">
        <v>510</v>
      </c>
      <c r="M55" s="360"/>
      <c r="N55" s="360"/>
      <c r="O55" s="361"/>
      <c r="P55" s="361"/>
      <c r="Q55" s="361"/>
      <c r="R55" s="20"/>
      <c r="S55" s="20"/>
    </row>
    <row r="56" spans="1:19" x14ac:dyDescent="0.2">
      <c r="A56" s="410"/>
      <c r="B56" s="176"/>
      <c r="C56" s="177"/>
      <c r="D56" s="177"/>
      <c r="E56" s="151"/>
      <c r="F56" s="177"/>
      <c r="G56" s="409"/>
      <c r="H56" s="177"/>
      <c r="I56" s="8"/>
      <c r="J56" s="486"/>
      <c r="K56" s="486"/>
      <c r="L56" s="149"/>
      <c r="M56" s="360"/>
      <c r="N56" s="360"/>
      <c r="O56" s="361"/>
      <c r="P56" s="361"/>
      <c r="Q56" s="361"/>
      <c r="R56" s="20"/>
      <c r="S56" s="20"/>
    </row>
    <row r="57" spans="1:19" x14ac:dyDescent="0.2">
      <c r="A57" s="416" t="s">
        <v>509</v>
      </c>
      <c r="B57" s="176"/>
      <c r="C57" s="177"/>
      <c r="D57" s="177"/>
      <c r="E57" s="151"/>
      <c r="F57" s="177"/>
      <c r="G57" s="409"/>
      <c r="H57" s="177"/>
      <c r="I57" s="8"/>
      <c r="J57" s="486"/>
      <c r="K57" s="486"/>
      <c r="L57" s="149"/>
      <c r="M57" s="360"/>
      <c r="N57" s="360"/>
      <c r="O57" s="361"/>
      <c r="P57" s="361"/>
      <c r="Q57" s="361"/>
      <c r="R57" s="20"/>
      <c r="S57" s="20"/>
    </row>
    <row r="58" spans="1:19" x14ac:dyDescent="0.2">
      <c r="A58" s="416"/>
      <c r="B58" s="176"/>
      <c r="C58" s="177"/>
      <c r="D58" s="177"/>
      <c r="E58" s="151"/>
      <c r="F58" s="177"/>
      <c r="G58" s="409"/>
      <c r="H58" s="177"/>
      <c r="I58" s="8"/>
      <c r="J58" s="486"/>
      <c r="K58" s="486"/>
      <c r="L58" s="149"/>
      <c r="M58" s="360"/>
      <c r="N58" s="360"/>
      <c r="O58" s="361"/>
      <c r="P58" s="361"/>
      <c r="Q58" s="361"/>
      <c r="R58" s="20"/>
      <c r="S58" s="20"/>
    </row>
    <row r="59" spans="1:19" x14ac:dyDescent="0.2">
      <c r="A59" s="415" t="s">
        <v>508</v>
      </c>
      <c r="B59" s="414"/>
      <c r="C59" s="412"/>
      <c r="D59" s="412">
        <v>26000</v>
      </c>
      <c r="E59" s="414"/>
      <c r="F59" s="412"/>
      <c r="G59" s="413"/>
      <c r="H59" s="412">
        <v>23301.8</v>
      </c>
      <c r="I59" s="8" t="s">
        <v>544</v>
      </c>
      <c r="J59" s="480">
        <f>H59-K59</f>
        <v>22853.8</v>
      </c>
      <c r="K59" s="479">
        <v>448</v>
      </c>
      <c r="L59" s="149" t="s">
        <v>507</v>
      </c>
      <c r="M59" s="360"/>
      <c r="N59" s="360"/>
      <c r="O59" s="361"/>
      <c r="P59" s="361"/>
      <c r="Q59" s="361"/>
      <c r="R59" s="20"/>
      <c r="S59" s="20"/>
    </row>
    <row r="60" spans="1:19" x14ac:dyDescent="0.2">
      <c r="A60" s="415" t="s">
        <v>506</v>
      </c>
      <c r="B60" s="414"/>
      <c r="C60" s="412"/>
      <c r="D60" s="412">
        <v>10000</v>
      </c>
      <c r="E60" s="414"/>
      <c r="F60" s="412"/>
      <c r="G60" s="413"/>
      <c r="H60" s="412"/>
      <c r="I60" s="8"/>
      <c r="J60" s="486"/>
      <c r="K60" s="486"/>
      <c r="L60" s="149"/>
      <c r="M60" s="360"/>
      <c r="N60" s="360"/>
      <c r="O60" s="361"/>
      <c r="P60" s="361"/>
      <c r="Q60" s="361"/>
      <c r="R60" s="20"/>
      <c r="S60" s="20"/>
    </row>
    <row r="61" spans="1:19" x14ac:dyDescent="0.2">
      <c r="A61" s="415" t="s">
        <v>362</v>
      </c>
      <c r="B61" s="414"/>
      <c r="C61" s="412"/>
      <c r="D61" s="412">
        <v>14000</v>
      </c>
      <c r="E61" s="414"/>
      <c r="F61" s="412"/>
      <c r="G61" s="413"/>
      <c r="H61" s="412"/>
      <c r="I61" s="8"/>
      <c r="J61" s="479">
        <v>21824.66</v>
      </c>
      <c r="K61" s="486"/>
      <c r="L61" s="149"/>
      <c r="M61" s="360"/>
      <c r="N61" s="360"/>
      <c r="O61" s="361"/>
      <c r="P61" s="361"/>
      <c r="Q61" s="361"/>
      <c r="R61" s="20"/>
      <c r="S61" s="20"/>
    </row>
    <row r="62" spans="1:19" x14ac:dyDescent="0.2">
      <c r="A62" s="415" t="s">
        <v>505</v>
      </c>
      <c r="B62" s="414"/>
      <c r="C62" s="412"/>
      <c r="D62" s="412">
        <v>14450</v>
      </c>
      <c r="E62" s="149"/>
      <c r="F62" s="412"/>
      <c r="G62" s="413"/>
      <c r="H62" s="412"/>
      <c r="I62" s="8"/>
      <c r="J62" s="479">
        <v>2983</v>
      </c>
      <c r="K62" s="486"/>
      <c r="L62" s="149"/>
      <c r="M62" s="360"/>
      <c r="N62" s="360"/>
      <c r="O62" s="361"/>
      <c r="P62" s="361"/>
      <c r="Q62" s="361"/>
      <c r="R62" s="20"/>
      <c r="S62" s="20"/>
    </row>
    <row r="63" spans="1:19" x14ac:dyDescent="0.2">
      <c r="A63" s="415"/>
      <c r="B63" s="414"/>
      <c r="C63" s="412"/>
      <c r="D63" s="412"/>
      <c r="E63" s="414"/>
      <c r="F63" s="412"/>
      <c r="G63" s="413"/>
      <c r="H63" s="412"/>
      <c r="I63" s="8"/>
      <c r="K63" s="478"/>
      <c r="L63" s="149"/>
      <c r="M63" s="360"/>
      <c r="N63" s="360"/>
      <c r="O63" s="361"/>
      <c r="P63" s="361"/>
      <c r="Q63" s="361"/>
      <c r="R63" s="20"/>
      <c r="S63" s="20"/>
    </row>
    <row r="64" spans="1:19" x14ac:dyDescent="0.2">
      <c r="A64" s="416" t="s">
        <v>504</v>
      </c>
      <c r="B64" s="414"/>
      <c r="C64" s="412"/>
      <c r="D64" s="177">
        <f>SUM(D59:D62)</f>
        <v>64450</v>
      </c>
      <c r="E64" s="149"/>
      <c r="F64" s="149"/>
      <c r="G64" s="413"/>
      <c r="H64" s="412"/>
      <c r="I64" s="8"/>
      <c r="J64" s="478"/>
      <c r="K64" s="478"/>
      <c r="L64" s="149"/>
      <c r="M64" s="360"/>
      <c r="N64" s="360"/>
      <c r="O64" s="361"/>
      <c r="P64" s="361"/>
      <c r="Q64" s="361"/>
      <c r="R64" s="20"/>
      <c r="S64" s="20"/>
    </row>
    <row r="65" spans="1:19" x14ac:dyDescent="0.2">
      <c r="A65" s="415"/>
      <c r="B65" s="414"/>
      <c r="C65" s="412"/>
      <c r="D65" s="412"/>
      <c r="E65" s="414"/>
      <c r="F65" s="412"/>
      <c r="G65" s="413"/>
      <c r="H65" s="412"/>
      <c r="I65" s="8"/>
      <c r="J65" s="478"/>
      <c r="K65" s="478"/>
      <c r="L65" s="149"/>
      <c r="M65" s="360"/>
      <c r="N65" s="360"/>
      <c r="O65" s="361"/>
      <c r="P65" s="361"/>
      <c r="Q65" s="361"/>
      <c r="R65" s="20"/>
      <c r="S65" s="20"/>
    </row>
    <row r="66" spans="1:19" x14ac:dyDescent="0.2">
      <c r="A66" s="410" t="s">
        <v>503</v>
      </c>
      <c r="B66" s="176"/>
      <c r="C66" s="177"/>
      <c r="D66" s="177">
        <f>D55+D64</f>
        <v>523115</v>
      </c>
      <c r="E66" s="243"/>
      <c r="F66" s="177"/>
      <c r="G66" s="409"/>
      <c r="H66" s="177"/>
      <c r="I66" s="8"/>
      <c r="J66" s="478"/>
      <c r="K66" s="478"/>
      <c r="L66" s="149"/>
      <c r="M66" s="360"/>
      <c r="N66" s="360"/>
      <c r="O66" s="361"/>
      <c r="P66" s="361"/>
      <c r="Q66" s="361"/>
      <c r="R66" s="20"/>
      <c r="S66" s="20"/>
    </row>
    <row r="67" spans="1:19" x14ac:dyDescent="0.2">
      <c r="A67" s="411"/>
      <c r="B67" s="176"/>
      <c r="C67" s="177"/>
      <c r="D67" s="177"/>
      <c r="E67" s="176"/>
      <c r="F67" s="177"/>
      <c r="G67" s="409"/>
      <c r="H67" s="177"/>
      <c r="I67" s="8"/>
      <c r="J67" s="478"/>
      <c r="K67" s="478"/>
      <c r="L67" s="8"/>
      <c r="M67" s="360"/>
      <c r="N67" s="360"/>
      <c r="O67" s="361"/>
      <c r="P67" s="361"/>
      <c r="Q67" s="361"/>
      <c r="R67" s="20"/>
      <c r="S67" s="20"/>
    </row>
    <row r="68" spans="1:19" x14ac:dyDescent="0.2">
      <c r="A68" s="410"/>
      <c r="B68" s="176"/>
      <c r="C68" s="177"/>
      <c r="D68" s="177"/>
      <c r="E68" s="176"/>
      <c r="F68" s="177"/>
      <c r="G68" s="409"/>
      <c r="H68" s="177"/>
      <c r="I68" s="8"/>
      <c r="J68" s="478"/>
      <c r="K68" s="478"/>
      <c r="L68" s="8"/>
      <c r="M68" s="360"/>
      <c r="N68" s="360"/>
      <c r="O68" s="361"/>
      <c r="P68" s="361"/>
      <c r="Q68" s="361"/>
      <c r="R68" s="20"/>
      <c r="S68" s="20"/>
    </row>
    <row r="69" spans="1:19" x14ac:dyDescent="0.2">
      <c r="A69" s="149"/>
      <c r="B69" s="151"/>
      <c r="C69" s="148"/>
      <c r="D69" s="147"/>
      <c r="E69" s="176"/>
      <c r="F69" s="148"/>
      <c r="G69" s="408"/>
      <c r="H69" s="148"/>
      <c r="I69" s="8"/>
      <c r="J69" s="478"/>
      <c r="K69" s="478"/>
      <c r="L69" s="8"/>
      <c r="M69" s="336"/>
      <c r="N69" s="336"/>
      <c r="O69" s="20"/>
      <c r="P69" s="20"/>
      <c r="Q69" s="20"/>
      <c r="R69" s="20"/>
      <c r="S69" s="20"/>
    </row>
    <row r="70" spans="1:19" x14ac:dyDescent="0.2">
      <c r="A70" s="149"/>
      <c r="B70" s="151"/>
      <c r="C70" s="148"/>
      <c r="D70" s="147"/>
      <c r="E70" s="176"/>
      <c r="F70" s="148"/>
      <c r="G70" s="408"/>
      <c r="H70" s="148"/>
      <c r="I70" s="8"/>
      <c r="J70" s="478"/>
      <c r="K70" s="478"/>
      <c r="L70" s="8"/>
      <c r="M70" s="336"/>
      <c r="N70" s="336"/>
      <c r="O70" s="20"/>
      <c r="P70" s="20"/>
      <c r="Q70" s="20"/>
      <c r="R70" s="20"/>
      <c r="S70" s="20"/>
    </row>
    <row r="71" spans="1:19" x14ac:dyDescent="0.2">
      <c r="B71" s="180"/>
      <c r="C71" s="181"/>
      <c r="D71" s="407"/>
      <c r="E71" s="337"/>
      <c r="F71" s="336"/>
      <c r="G71" s="406"/>
      <c r="H71" s="336"/>
      <c r="I71" s="361"/>
      <c r="J71" s="481">
        <f>SUM(J6:J70)</f>
        <v>359441.54</v>
      </c>
      <c r="K71" s="481">
        <f>SUM(K6:K70)</f>
        <v>36925.519999999997</v>
      </c>
      <c r="L71" s="482">
        <f>K71+J71</f>
        <v>396367.06</v>
      </c>
      <c r="M71" s="181"/>
      <c r="N71" s="181"/>
    </row>
    <row r="72" spans="1:19" x14ac:dyDescent="0.2">
      <c r="B72" s="180"/>
      <c r="C72" s="181"/>
      <c r="D72" s="407"/>
      <c r="E72" s="337"/>
      <c r="F72" s="336"/>
      <c r="G72" s="406"/>
      <c r="H72" s="336"/>
      <c r="I72" s="361"/>
      <c r="J72" s="477"/>
      <c r="K72" s="477"/>
      <c r="L72" s="20"/>
      <c r="M72" s="181"/>
      <c r="N72" s="181"/>
    </row>
    <row r="73" spans="1:19" ht="13.5" thickBot="1" x14ac:dyDescent="0.25">
      <c r="A73" s="182" t="s">
        <v>283</v>
      </c>
      <c r="B73" s="183" t="s">
        <v>502</v>
      </c>
      <c r="C73" s="184"/>
      <c r="D73" s="405"/>
      <c r="E73" s="337"/>
      <c r="F73" s="336"/>
      <c r="G73" s="406"/>
      <c r="H73" s="336"/>
      <c r="I73" s="361"/>
      <c r="J73" s="477"/>
      <c r="K73" s="477"/>
      <c r="L73" s="361"/>
      <c r="M73" s="181"/>
      <c r="N73" s="181"/>
    </row>
    <row r="74" spans="1:19" x14ac:dyDescent="0.2">
      <c r="A74" s="186"/>
      <c r="B74" s="186"/>
      <c r="C74" s="184"/>
      <c r="D74" s="488"/>
      <c r="E74" s="494" t="s">
        <v>550</v>
      </c>
      <c r="F74" s="305" t="s">
        <v>501</v>
      </c>
      <c r="G74" s="406"/>
      <c r="H74" s="336"/>
      <c r="I74" s="361"/>
      <c r="J74" s="477"/>
      <c r="K74" s="477"/>
      <c r="L74" s="361"/>
      <c r="M74" s="181"/>
      <c r="N74" s="181"/>
      <c r="P74" s="187"/>
    </row>
    <row r="75" spans="1:19" x14ac:dyDescent="0.2">
      <c r="A75" s="188" t="s">
        <v>35</v>
      </c>
      <c r="B75" s="188">
        <v>651</v>
      </c>
      <c r="C75" s="185">
        <f>H10+H17+H18+D29</f>
        <v>22392.559999999998</v>
      </c>
      <c r="D75" s="489">
        <f>J29+J18+J17+J10+K59</f>
        <v>19608.02</v>
      </c>
      <c r="E75" s="495">
        <f>C75-D75</f>
        <v>2784.5399999999972</v>
      </c>
      <c r="F75" s="305">
        <v>26290</v>
      </c>
      <c r="G75" s="406"/>
      <c r="H75" s="336"/>
      <c r="I75" s="20"/>
      <c r="L75" s="20"/>
      <c r="M75" s="181"/>
      <c r="N75" s="181"/>
      <c r="P75" s="187"/>
    </row>
    <row r="76" spans="1:19" x14ac:dyDescent="0.2">
      <c r="A76" s="189" t="s">
        <v>36</v>
      </c>
      <c r="B76" s="190">
        <v>652</v>
      </c>
      <c r="C76" s="185">
        <f>D34+D41</f>
        <v>26500</v>
      </c>
      <c r="D76" s="490">
        <f>J59+J20</f>
        <v>27181.079999999998</v>
      </c>
      <c r="E76" s="495">
        <f t="shared" ref="E76:E86" si="1">C76-D76</f>
        <v>-681.07999999999811</v>
      </c>
      <c r="F76" s="305">
        <v>26500</v>
      </c>
      <c r="G76" s="406"/>
      <c r="H76" s="336"/>
      <c r="I76" s="20"/>
      <c r="L76" s="20"/>
      <c r="M76" s="181"/>
      <c r="N76" s="181"/>
    </row>
    <row r="77" spans="1:19" x14ac:dyDescent="0.2">
      <c r="A77" s="190" t="s">
        <v>37</v>
      </c>
      <c r="B77" s="190">
        <v>652</v>
      </c>
      <c r="C77" s="185">
        <f>H6+H7+H13+H14+H20</f>
        <v>120628.83</v>
      </c>
      <c r="D77" s="490">
        <f>J22+J23+J6+J7+J13+J14+J11+J19+J24</f>
        <v>120347.94999999998</v>
      </c>
      <c r="E77" s="495">
        <f t="shared" si="1"/>
        <v>280.88000000001921</v>
      </c>
      <c r="F77" s="191">
        <v>259875</v>
      </c>
      <c r="H77" s="181"/>
      <c r="M77" s="181"/>
      <c r="N77" s="181"/>
    </row>
    <row r="78" spans="1:19" x14ac:dyDescent="0.2">
      <c r="A78" s="190" t="s">
        <v>38</v>
      </c>
      <c r="B78" s="190">
        <v>652</v>
      </c>
      <c r="C78" s="185">
        <f>H8+H9+H15+H16</f>
        <v>139250.72</v>
      </c>
      <c r="D78" s="490">
        <f>J8+J9+J15+J16</f>
        <v>139250.72</v>
      </c>
      <c r="E78" s="495">
        <f t="shared" si="1"/>
        <v>0</v>
      </c>
      <c r="F78" s="191"/>
    </row>
    <row r="79" spans="1:19" x14ac:dyDescent="0.2">
      <c r="A79" s="190" t="s">
        <v>39</v>
      </c>
      <c r="B79" s="190">
        <v>652</v>
      </c>
      <c r="C79" s="185">
        <f>H35</f>
        <v>11884.036500000002</v>
      </c>
      <c r="D79" s="489">
        <f>J35+K11</f>
        <v>16211.32</v>
      </c>
      <c r="E79" s="495">
        <f t="shared" si="1"/>
        <v>-4327.2834999999977</v>
      </c>
      <c r="F79" s="191">
        <v>27000</v>
      </c>
    </row>
    <row r="80" spans="1:19" ht="15" x14ac:dyDescent="0.25">
      <c r="A80" s="190" t="s">
        <v>44</v>
      </c>
      <c r="B80" s="190">
        <v>652</v>
      </c>
      <c r="D80" s="491">
        <f>J40</f>
        <v>2690</v>
      </c>
      <c r="E80" s="495">
        <f t="shared" si="1"/>
        <v>-2690</v>
      </c>
      <c r="F80" s="192">
        <v>75000</v>
      </c>
      <c r="L80" s="187"/>
    </row>
    <row r="81" spans="1:12" x14ac:dyDescent="0.2">
      <c r="A81" s="190" t="s">
        <v>285</v>
      </c>
      <c r="B81" s="190">
        <v>652</v>
      </c>
      <c r="C81" s="185">
        <v>19008.849999999999</v>
      </c>
      <c r="D81" s="489"/>
      <c r="E81" s="495">
        <f t="shared" si="1"/>
        <v>19008.849999999999</v>
      </c>
      <c r="F81" s="185"/>
      <c r="L81" s="187"/>
    </row>
    <row r="82" spans="1:12" x14ac:dyDescent="0.2">
      <c r="A82" s="190" t="s">
        <v>41</v>
      </c>
      <c r="B82" s="190">
        <v>652</v>
      </c>
      <c r="C82" s="185">
        <f>D46+D62</f>
        <v>32450</v>
      </c>
      <c r="D82" s="491">
        <f>J62+J47+K47+J48</f>
        <v>21921.040000000001</v>
      </c>
      <c r="E82" s="495">
        <f t="shared" si="1"/>
        <v>10528.96</v>
      </c>
      <c r="F82" s="185">
        <v>18000</v>
      </c>
    </row>
    <row r="83" spans="1:12" x14ac:dyDescent="0.2">
      <c r="A83" s="193" t="s">
        <v>42</v>
      </c>
      <c r="B83" s="193">
        <v>734</v>
      </c>
      <c r="C83" s="185"/>
      <c r="D83" s="492"/>
      <c r="E83" s="495">
        <f t="shared" si="1"/>
        <v>0</v>
      </c>
      <c r="F83" s="185"/>
    </row>
    <row r="84" spans="1:12" x14ac:dyDescent="0.2">
      <c r="A84" s="194" t="s">
        <v>43</v>
      </c>
      <c r="B84" s="193">
        <v>734</v>
      </c>
      <c r="C84" s="185">
        <f>D28+D59+D60+D61</f>
        <v>59000</v>
      </c>
      <c r="D84" s="491">
        <f>J61+J28</f>
        <v>27616.93</v>
      </c>
      <c r="E84" s="495">
        <f t="shared" si="1"/>
        <v>31383.07</v>
      </c>
      <c r="F84" s="185">
        <v>9000</v>
      </c>
    </row>
    <row r="85" spans="1:12" x14ac:dyDescent="0.2">
      <c r="A85" s="193" t="s">
        <v>44</v>
      </c>
      <c r="B85" s="193">
        <v>734</v>
      </c>
      <c r="C85" s="185">
        <f>D40</f>
        <v>75000</v>
      </c>
      <c r="D85" s="491">
        <f>K40</f>
        <v>21540</v>
      </c>
      <c r="E85" s="495">
        <f t="shared" si="1"/>
        <v>53460</v>
      </c>
      <c r="F85" s="185"/>
    </row>
    <row r="86" spans="1:12" x14ac:dyDescent="0.2">
      <c r="A86" s="195" t="s">
        <v>45</v>
      </c>
      <c r="B86" s="195">
        <v>735</v>
      </c>
      <c r="C86" s="185">
        <f>D30</f>
        <v>17000</v>
      </c>
      <c r="D86" s="492"/>
      <c r="E86" s="495">
        <f t="shared" si="1"/>
        <v>17000</v>
      </c>
      <c r="F86" s="185">
        <v>17000</v>
      </c>
    </row>
    <row r="87" spans="1:12" x14ac:dyDescent="0.2">
      <c r="A87" s="184"/>
      <c r="B87" s="184"/>
      <c r="C87" s="184"/>
      <c r="D87" s="492"/>
      <c r="E87" s="496"/>
      <c r="F87" s="185"/>
    </row>
    <row r="88" spans="1:12" ht="13.5" thickBot="1" x14ac:dyDescent="0.25">
      <c r="A88" s="184"/>
      <c r="B88" s="196" t="s">
        <v>286</v>
      </c>
      <c r="C88" s="185">
        <f>SUM(C75:C86)</f>
        <v>523114.99649999995</v>
      </c>
      <c r="D88" s="493">
        <f>SUM(D75:D86)</f>
        <v>396367.06</v>
      </c>
      <c r="E88" s="497">
        <f>SUM(E75:E86)</f>
        <v>126747.93650000001</v>
      </c>
      <c r="F88" s="185">
        <v>458665</v>
      </c>
    </row>
    <row r="89" spans="1:12" x14ac:dyDescent="0.2">
      <c r="E89" s="240"/>
      <c r="F89" s="184"/>
    </row>
    <row r="90" spans="1:12" x14ac:dyDescent="0.2">
      <c r="E90" s="240"/>
    </row>
    <row r="91" spans="1:12" x14ac:dyDescent="0.2">
      <c r="E91" s="240"/>
    </row>
  </sheetData>
  <mergeCells count="1">
    <mergeCell ref="A1:L1"/>
  </mergeCells>
  <pageMargins left="0.7" right="0.7" top="0.75" bottom="0.75" header="0.3" footer="0.3"/>
  <pageSetup scale="44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>
    <pageSetUpPr fitToPage="1"/>
  </sheetPr>
  <dimension ref="A1:O62"/>
  <sheetViews>
    <sheetView zoomScale="90" zoomScaleNormal="90" workbookViewId="0">
      <selection activeCell="C82" sqref="C82"/>
    </sheetView>
  </sheetViews>
  <sheetFormatPr defaultColWidth="9.140625" defaultRowHeight="12.75" x14ac:dyDescent="0.2"/>
  <cols>
    <col min="1" max="1" width="49.140625" style="8" bestFit="1" customWidth="1"/>
    <col min="2" max="2" width="9.140625" style="8"/>
    <col min="3" max="3" width="14" style="8" customWidth="1"/>
    <col min="4" max="4" width="15.28515625" style="8" bestFit="1" customWidth="1"/>
    <col min="5" max="5" width="15.28515625" style="151" customWidth="1"/>
    <col min="6" max="6" width="15.28515625" style="8" customWidth="1"/>
    <col min="7" max="7" width="8.28515625" style="8" customWidth="1"/>
    <col min="8" max="8" width="11.140625" style="8" bestFit="1" customWidth="1"/>
    <col min="9" max="9" width="9.140625" style="8"/>
    <col min="10" max="10" width="40.7109375" style="8" bestFit="1" customWidth="1"/>
    <col min="11" max="13" width="9.140625" style="8"/>
    <col min="14" max="14" width="37.28515625" style="8" bestFit="1" customWidth="1"/>
    <col min="15" max="16384" width="9.140625" style="8"/>
  </cols>
  <sheetData>
    <row r="1" spans="1:15" x14ac:dyDescent="0.2">
      <c r="A1" s="563" t="s">
        <v>538</v>
      </c>
      <c r="B1" s="564"/>
      <c r="C1" s="564"/>
      <c r="D1" s="564"/>
      <c r="E1" s="564"/>
      <c r="F1" s="564"/>
      <c r="G1" s="564"/>
      <c r="H1" s="564"/>
      <c r="I1" s="564"/>
      <c r="J1" s="564"/>
      <c r="K1" s="435"/>
      <c r="L1" s="435"/>
      <c r="M1" s="435"/>
      <c r="N1" s="435"/>
      <c r="O1" s="435"/>
    </row>
    <row r="2" spans="1:15" x14ac:dyDescent="0.2">
      <c r="A2" s="435"/>
      <c r="B2" s="435"/>
      <c r="C2" s="435"/>
      <c r="D2" s="435"/>
      <c r="E2" s="436"/>
      <c r="F2" s="435"/>
      <c r="G2" s="435"/>
      <c r="H2" s="435"/>
      <c r="I2" s="435"/>
      <c r="J2" s="435"/>
      <c r="K2" s="435"/>
      <c r="L2" s="435"/>
      <c r="M2" s="435"/>
      <c r="N2" s="435"/>
      <c r="O2" s="435"/>
    </row>
    <row r="3" spans="1:15" x14ac:dyDescent="0.2">
      <c r="A3" s="149"/>
      <c r="B3" s="146" t="s">
        <v>206</v>
      </c>
      <c r="C3" s="147" t="s">
        <v>207</v>
      </c>
      <c r="D3" s="147"/>
      <c r="E3" s="146" t="s">
        <v>383</v>
      </c>
      <c r="F3" s="147" t="s">
        <v>382</v>
      </c>
      <c r="G3" s="147" t="s">
        <v>208</v>
      </c>
      <c r="H3" s="147" t="s">
        <v>381</v>
      </c>
      <c r="I3" s="149"/>
      <c r="J3" s="149" t="s">
        <v>211</v>
      </c>
      <c r="K3" s="147"/>
      <c r="L3" s="147"/>
      <c r="N3" s="149"/>
    </row>
    <row r="4" spans="1:15" x14ac:dyDescent="0.2">
      <c r="A4" s="411" t="s">
        <v>537</v>
      </c>
      <c r="B4" s="146"/>
      <c r="C4" s="147"/>
      <c r="D4" s="147"/>
      <c r="E4" s="146"/>
      <c r="F4" s="147"/>
      <c r="G4" s="147"/>
      <c r="H4" s="147"/>
      <c r="I4" s="149"/>
      <c r="J4" s="149"/>
      <c r="K4" s="148"/>
      <c r="L4" s="148"/>
    </row>
    <row r="5" spans="1:15" x14ac:dyDescent="0.2">
      <c r="A5" s="417" t="s">
        <v>536</v>
      </c>
      <c r="B5" s="146">
        <v>97</v>
      </c>
      <c r="C5" s="147">
        <v>675</v>
      </c>
      <c r="D5" s="147">
        <f>B5*C5</f>
        <v>65475</v>
      </c>
      <c r="E5" s="146"/>
      <c r="F5" s="147"/>
      <c r="G5" s="147"/>
      <c r="H5" s="147"/>
      <c r="I5" s="149"/>
      <c r="J5" s="149" t="s">
        <v>392</v>
      </c>
      <c r="K5" s="148"/>
      <c r="L5" s="148"/>
      <c r="N5" s="149"/>
    </row>
    <row r="6" spans="1:15" x14ac:dyDescent="0.2">
      <c r="A6" s="417" t="s">
        <v>535</v>
      </c>
      <c r="B6" s="146">
        <v>115</v>
      </c>
      <c r="C6" s="147">
        <v>675</v>
      </c>
      <c r="D6" s="147">
        <f>B6*C6</f>
        <v>77625</v>
      </c>
      <c r="E6" s="146"/>
      <c r="F6" s="147"/>
      <c r="G6" s="147"/>
      <c r="H6" s="147"/>
      <c r="I6" s="149"/>
      <c r="J6" s="149"/>
      <c r="K6" s="148"/>
      <c r="L6" s="148"/>
    </row>
    <row r="7" spans="1:15" x14ac:dyDescent="0.2">
      <c r="A7" s="417" t="s">
        <v>534</v>
      </c>
      <c r="B7" s="146">
        <v>25</v>
      </c>
      <c r="C7" s="147">
        <v>675</v>
      </c>
      <c r="D7" s="147">
        <f>B7*C7</f>
        <v>16875</v>
      </c>
      <c r="E7" s="146"/>
      <c r="F7" s="147"/>
      <c r="G7" s="147"/>
      <c r="H7" s="147"/>
      <c r="I7" s="149"/>
      <c r="J7" s="149"/>
      <c r="K7" s="148"/>
      <c r="L7" s="148"/>
    </row>
    <row r="8" spans="1:15" x14ac:dyDescent="0.2">
      <c r="A8" s="417" t="s">
        <v>520</v>
      </c>
      <c r="B8" s="146">
        <v>237</v>
      </c>
      <c r="C8" s="147">
        <v>54</v>
      </c>
      <c r="D8" s="147">
        <f>B8*C8</f>
        <v>12798</v>
      </c>
      <c r="E8" s="146"/>
      <c r="F8" s="147"/>
      <c r="G8" s="147"/>
      <c r="H8" s="147"/>
      <c r="I8" s="149"/>
      <c r="J8" s="149"/>
      <c r="K8" s="148"/>
      <c r="L8" s="148"/>
    </row>
    <row r="9" spans="1:15" x14ac:dyDescent="0.2">
      <c r="A9" s="417"/>
      <c r="B9" s="146"/>
      <c r="C9" s="147"/>
      <c r="D9" s="147"/>
      <c r="E9" s="146"/>
      <c r="F9" s="147"/>
      <c r="G9" s="147"/>
      <c r="H9" s="147"/>
      <c r="I9" s="149"/>
      <c r="J9" s="149"/>
      <c r="K9" s="148"/>
      <c r="L9" s="148"/>
    </row>
    <row r="10" spans="1:15" x14ac:dyDescent="0.2">
      <c r="A10" s="417"/>
      <c r="B10" s="146"/>
      <c r="C10" s="158" t="s">
        <v>236</v>
      </c>
      <c r="D10" s="159">
        <f>SUM(D5:D8)</f>
        <v>172773</v>
      </c>
      <c r="E10" s="245"/>
      <c r="F10" s="159"/>
      <c r="G10" s="158" t="s">
        <v>236</v>
      </c>
      <c r="H10" s="244">
        <f>SUM(H5:H7)</f>
        <v>0</v>
      </c>
      <c r="I10" s="160"/>
      <c r="J10" s="160"/>
      <c r="K10" s="148"/>
      <c r="L10" s="148"/>
      <c r="M10" s="160"/>
      <c r="N10" s="160"/>
    </row>
    <row r="11" spans="1:15" x14ac:dyDescent="0.2">
      <c r="A11" s="417"/>
      <c r="B11" s="146"/>
      <c r="C11" s="147"/>
      <c r="D11" s="147"/>
      <c r="E11" s="146"/>
      <c r="F11" s="147"/>
      <c r="G11" s="147"/>
      <c r="H11" s="147"/>
      <c r="I11" s="149"/>
      <c r="J11" s="149"/>
      <c r="K11" s="148"/>
      <c r="L11" s="148"/>
    </row>
    <row r="12" spans="1:15" x14ac:dyDescent="0.2">
      <c r="A12" s="411" t="s">
        <v>366</v>
      </c>
      <c r="B12" s="146"/>
      <c r="C12" s="147"/>
      <c r="D12" s="147"/>
      <c r="E12" s="146"/>
      <c r="F12" s="147"/>
      <c r="G12" s="147"/>
      <c r="H12" s="147"/>
      <c r="I12" s="160"/>
      <c r="J12" s="160"/>
      <c r="K12" s="148"/>
      <c r="L12" s="148"/>
      <c r="M12" s="160"/>
      <c r="N12" s="160"/>
    </row>
    <row r="13" spans="1:15" x14ac:dyDescent="0.2">
      <c r="A13" s="417" t="s">
        <v>533</v>
      </c>
      <c r="B13" s="146">
        <v>1</v>
      </c>
      <c r="C13" s="147">
        <v>40000</v>
      </c>
      <c r="D13" s="147">
        <f>B13*C13</f>
        <v>40000</v>
      </c>
      <c r="E13" s="146"/>
      <c r="F13" s="147"/>
      <c r="G13" s="147"/>
      <c r="H13" s="246"/>
      <c r="I13" s="149"/>
      <c r="J13" s="149"/>
      <c r="K13" s="148"/>
      <c r="L13" s="148"/>
    </row>
    <row r="14" spans="1:15" x14ac:dyDescent="0.2">
      <c r="A14" s="417" t="s">
        <v>532</v>
      </c>
      <c r="B14" s="146">
        <v>1</v>
      </c>
      <c r="C14" s="147">
        <v>40000</v>
      </c>
      <c r="D14" s="147">
        <f>B14*C14</f>
        <v>40000</v>
      </c>
      <c r="E14" s="146"/>
      <c r="F14" s="147"/>
      <c r="G14" s="147"/>
      <c r="H14" s="147"/>
      <c r="I14" s="149"/>
      <c r="J14" s="149"/>
      <c r="K14" s="148"/>
      <c r="L14" s="148"/>
    </row>
    <row r="15" spans="1:15" x14ac:dyDescent="0.2">
      <c r="A15" s="417"/>
      <c r="B15" s="146"/>
      <c r="C15" s="147"/>
      <c r="D15" s="147"/>
      <c r="E15" s="146"/>
      <c r="F15" s="147"/>
      <c r="G15" s="147"/>
      <c r="H15" s="147"/>
      <c r="I15" s="149"/>
      <c r="J15" s="149"/>
      <c r="K15" s="148"/>
      <c r="L15" s="148"/>
    </row>
    <row r="16" spans="1:15" x14ac:dyDescent="0.2">
      <c r="A16" s="432"/>
      <c r="B16" s="146"/>
      <c r="C16" s="158" t="s">
        <v>360</v>
      </c>
      <c r="D16" s="425">
        <f>SUM(D13:D14)</f>
        <v>80000</v>
      </c>
      <c r="E16" s="437"/>
      <c r="F16" s="425"/>
      <c r="G16" s="158" t="s">
        <v>360</v>
      </c>
      <c r="H16" s="244">
        <f>SUM(H13:H13)</f>
        <v>0</v>
      </c>
      <c r="I16" s="149"/>
      <c r="J16" s="149"/>
      <c r="K16" s="148"/>
      <c r="L16" s="148"/>
    </row>
    <row r="17" spans="1:14" x14ac:dyDescent="0.2">
      <c r="A17" s="432"/>
      <c r="B17" s="146"/>
      <c r="C17" s="158"/>
      <c r="D17" s="425"/>
      <c r="E17" s="437"/>
      <c r="F17" s="425"/>
      <c r="G17" s="158"/>
      <c r="H17" s="244"/>
      <c r="I17" s="149"/>
      <c r="J17" s="149"/>
      <c r="K17" s="148"/>
      <c r="L17" s="148"/>
    </row>
    <row r="18" spans="1:14" ht="15" x14ac:dyDescent="0.25">
      <c r="A18" s="426" t="s">
        <v>359</v>
      </c>
      <c r="B18" s="146"/>
      <c r="C18" s="158"/>
      <c r="D18" s="425"/>
      <c r="E18" s="437"/>
      <c r="F18" s="425"/>
      <c r="G18" s="147"/>
      <c r="H18" s="147"/>
      <c r="I18" s="149"/>
      <c r="J18" s="149"/>
      <c r="K18" s="424"/>
      <c r="L18" s="423"/>
      <c r="M18" s="148"/>
      <c r="N18" s="148"/>
    </row>
    <row r="19" spans="1:14" ht="15" x14ac:dyDescent="0.25">
      <c r="A19" s="432" t="s">
        <v>531</v>
      </c>
      <c r="B19" s="146">
        <v>1</v>
      </c>
      <c r="C19" s="165">
        <v>300000</v>
      </c>
      <c r="D19" s="431">
        <v>110000</v>
      </c>
      <c r="E19" s="437"/>
      <c r="F19" s="425"/>
      <c r="G19" s="147"/>
      <c r="H19" s="147"/>
      <c r="I19" s="149"/>
      <c r="J19" s="149"/>
      <c r="K19" s="430"/>
      <c r="L19" s="429"/>
      <c r="M19" s="148"/>
      <c r="N19" s="147"/>
    </row>
    <row r="20" spans="1:14" ht="15" x14ac:dyDescent="0.25">
      <c r="A20" s="432" t="s">
        <v>530</v>
      </c>
      <c r="B20" s="146">
        <v>60</v>
      </c>
      <c r="C20" s="165">
        <v>900</v>
      </c>
      <c r="D20" s="431">
        <f>B20*C20</f>
        <v>54000</v>
      </c>
      <c r="E20" s="437"/>
      <c r="F20" s="425"/>
      <c r="G20" s="147"/>
      <c r="H20" s="147"/>
      <c r="I20" s="149"/>
      <c r="J20" s="149"/>
      <c r="K20" s="430"/>
      <c r="L20" s="429"/>
      <c r="M20" s="148"/>
      <c r="N20" s="147"/>
    </row>
    <row r="21" spans="1:14" ht="15" x14ac:dyDescent="0.25">
      <c r="A21" s="432"/>
      <c r="B21" s="146"/>
      <c r="C21" s="158"/>
      <c r="D21" s="431"/>
      <c r="E21" s="438"/>
      <c r="F21" s="431"/>
      <c r="G21" s="147"/>
      <c r="H21" s="246"/>
      <c r="I21" s="149"/>
      <c r="J21" s="149"/>
      <c r="K21" s="430"/>
      <c r="L21" s="429"/>
      <c r="M21" s="148"/>
      <c r="N21" s="246"/>
    </row>
    <row r="22" spans="1:14" ht="15" x14ac:dyDescent="0.25">
      <c r="A22" s="432"/>
      <c r="B22" s="146"/>
      <c r="C22" s="158"/>
      <c r="D22" s="431"/>
      <c r="E22" s="438"/>
      <c r="F22" s="431"/>
      <c r="G22" s="147"/>
      <c r="H22" s="147"/>
      <c r="I22" s="149"/>
      <c r="J22" s="149"/>
      <c r="K22" s="430"/>
      <c r="L22" s="429"/>
      <c r="M22" s="148"/>
      <c r="N22" s="148"/>
    </row>
    <row r="23" spans="1:14" ht="15" x14ac:dyDescent="0.25">
      <c r="A23" s="426"/>
      <c r="B23" s="146"/>
      <c r="C23" s="158" t="s">
        <v>356</v>
      </c>
      <c r="D23" s="425">
        <f>SUM(D19:D22)</f>
        <v>164000</v>
      </c>
      <c r="E23" s="437"/>
      <c r="F23" s="425"/>
      <c r="G23" s="158" t="s">
        <v>356</v>
      </c>
      <c r="H23" s="244">
        <f>SUM(H21:H22)</f>
        <v>0</v>
      </c>
      <c r="I23" s="149"/>
      <c r="J23" s="149"/>
      <c r="K23" s="424"/>
      <c r="L23" s="423"/>
      <c r="M23" s="158"/>
      <c r="N23" s="244"/>
    </row>
    <row r="24" spans="1:14" x14ac:dyDescent="0.2">
      <c r="A24" s="417"/>
      <c r="B24" s="146"/>
      <c r="C24" s="147"/>
      <c r="D24" s="147"/>
      <c r="E24" s="146"/>
      <c r="F24" s="147"/>
      <c r="G24" s="147"/>
      <c r="H24" s="147"/>
      <c r="I24" s="149"/>
      <c r="J24" s="149"/>
      <c r="K24" s="148"/>
      <c r="L24" s="148"/>
    </row>
    <row r="25" spans="1:14" x14ac:dyDescent="0.2">
      <c r="A25" s="168" t="s">
        <v>399</v>
      </c>
      <c r="B25" s="146"/>
      <c r="C25" s="147"/>
      <c r="D25" s="169"/>
      <c r="E25" s="243"/>
      <c r="F25" s="169"/>
      <c r="G25" s="147"/>
      <c r="H25" s="147"/>
      <c r="I25" s="149"/>
      <c r="J25" s="149"/>
      <c r="K25" s="148"/>
      <c r="L25" s="148"/>
    </row>
    <row r="26" spans="1:14" x14ac:dyDescent="0.2">
      <c r="A26" s="420" t="s">
        <v>529</v>
      </c>
      <c r="B26" s="146">
        <v>1</v>
      </c>
      <c r="C26" s="147">
        <v>75000</v>
      </c>
      <c r="D26" s="419">
        <f>B26*C26</f>
        <v>75000</v>
      </c>
      <c r="E26" s="243"/>
      <c r="F26" s="169"/>
      <c r="G26" s="147"/>
      <c r="H26" s="147"/>
      <c r="I26" s="149"/>
      <c r="J26" s="149"/>
      <c r="K26" s="148"/>
      <c r="L26" s="148"/>
    </row>
    <row r="27" spans="1:14" x14ac:dyDescent="0.2">
      <c r="A27" s="417"/>
      <c r="B27" s="146"/>
      <c r="C27" s="147"/>
      <c r="D27" s="147"/>
      <c r="E27" s="146"/>
      <c r="F27" s="147"/>
      <c r="G27" s="147"/>
      <c r="H27" s="147"/>
      <c r="I27" s="149"/>
      <c r="J27" s="149"/>
      <c r="K27" s="148"/>
      <c r="L27" s="148"/>
    </row>
    <row r="28" spans="1:14" x14ac:dyDescent="0.2">
      <c r="A28" s="417"/>
      <c r="B28" s="146"/>
      <c r="C28" s="158" t="s">
        <v>402</v>
      </c>
      <c r="D28" s="159">
        <f>SUM(D26:D27)</f>
        <v>75000</v>
      </c>
      <c r="E28" s="245"/>
      <c r="F28" s="159"/>
      <c r="G28" s="158" t="s">
        <v>355</v>
      </c>
      <c r="H28" s="244">
        <v>0</v>
      </c>
      <c r="I28" s="149"/>
      <c r="J28" s="149"/>
      <c r="K28" s="148"/>
      <c r="L28" s="148"/>
    </row>
    <row r="29" spans="1:14" x14ac:dyDescent="0.2">
      <c r="A29" s="417"/>
      <c r="B29" s="146"/>
      <c r="C29" s="158"/>
      <c r="D29" s="159"/>
      <c r="E29" s="245"/>
      <c r="F29" s="159"/>
      <c r="G29" s="158"/>
      <c r="H29" s="244"/>
      <c r="I29" s="149"/>
      <c r="J29" s="149"/>
      <c r="K29" s="148"/>
      <c r="L29" s="148"/>
    </row>
    <row r="30" spans="1:14" x14ac:dyDescent="0.2">
      <c r="A30" s="411" t="s">
        <v>271</v>
      </c>
      <c r="B30" s="146"/>
      <c r="C30" s="158"/>
      <c r="D30" s="159"/>
      <c r="E30" s="245"/>
      <c r="F30" s="159"/>
      <c r="G30" s="147"/>
      <c r="H30" s="147"/>
      <c r="I30" s="149"/>
      <c r="J30" s="149"/>
      <c r="K30" s="148"/>
      <c r="L30" s="148"/>
    </row>
    <row r="31" spans="1:14" x14ac:dyDescent="0.2">
      <c r="A31" s="417" t="s">
        <v>528</v>
      </c>
      <c r="B31" s="146"/>
      <c r="C31" s="158"/>
      <c r="D31" s="412">
        <v>20000</v>
      </c>
      <c r="E31" s="245"/>
      <c r="F31" s="159"/>
      <c r="G31" s="147"/>
      <c r="H31" s="147"/>
      <c r="I31" s="149"/>
      <c r="J31" s="149"/>
      <c r="K31" s="148"/>
      <c r="L31" s="148"/>
    </row>
    <row r="32" spans="1:14" x14ac:dyDescent="0.2">
      <c r="A32" s="417"/>
      <c r="B32" s="146"/>
      <c r="C32" s="158"/>
      <c r="D32" s="172"/>
      <c r="E32" s="245"/>
      <c r="F32" s="159"/>
      <c r="G32" s="147"/>
      <c r="H32" s="147"/>
      <c r="I32" s="149"/>
      <c r="J32" s="149"/>
      <c r="K32" s="148"/>
      <c r="L32" s="148"/>
    </row>
    <row r="33" spans="1:15" x14ac:dyDescent="0.2">
      <c r="A33" s="417"/>
      <c r="B33" s="146"/>
      <c r="C33" s="158" t="s">
        <v>279</v>
      </c>
      <c r="D33" s="159">
        <f>D31</f>
        <v>20000</v>
      </c>
      <c r="E33" s="247"/>
      <c r="F33" s="159"/>
      <c r="G33" s="158" t="s">
        <v>279</v>
      </c>
      <c r="H33" s="244">
        <f>SUM(H30:H31)</f>
        <v>0</v>
      </c>
      <c r="I33" s="149"/>
      <c r="J33" s="149"/>
      <c r="K33" s="148"/>
      <c r="L33" s="148"/>
    </row>
    <row r="34" spans="1:15" x14ac:dyDescent="0.2">
      <c r="A34" s="417"/>
      <c r="B34" s="146"/>
      <c r="C34" s="147"/>
      <c r="D34" s="147"/>
      <c r="E34" s="146"/>
      <c r="F34" s="147"/>
      <c r="G34" s="147"/>
      <c r="H34" s="147"/>
      <c r="I34" s="149"/>
      <c r="J34" s="149"/>
      <c r="K34" s="148"/>
      <c r="L34" s="148"/>
    </row>
    <row r="35" spans="1:15" x14ac:dyDescent="0.2">
      <c r="A35" s="174"/>
      <c r="B35" s="146"/>
      <c r="C35" s="147"/>
      <c r="D35" s="169"/>
      <c r="E35" s="245"/>
      <c r="F35" s="169"/>
      <c r="G35" s="147"/>
      <c r="H35" s="147"/>
      <c r="I35" s="149"/>
      <c r="J35" s="149"/>
      <c r="K35" s="148"/>
      <c r="L35" s="148"/>
    </row>
    <row r="36" spans="1:15" x14ac:dyDescent="0.2">
      <c r="A36" s="410" t="s">
        <v>280</v>
      </c>
      <c r="B36" s="176"/>
      <c r="C36" s="177"/>
      <c r="D36" s="177">
        <f>D10+D16+D23+D28+D33</f>
        <v>511773</v>
      </c>
      <c r="E36" s="146"/>
      <c r="F36" s="177"/>
      <c r="G36" s="177"/>
      <c r="H36" s="177">
        <f>H10+H16+H23+H33</f>
        <v>0</v>
      </c>
      <c r="I36" s="149"/>
      <c r="J36" s="149"/>
      <c r="K36" s="177"/>
      <c r="L36" s="177"/>
      <c r="M36" s="178"/>
      <c r="N36" s="178"/>
      <c r="O36" s="178"/>
    </row>
    <row r="37" spans="1:15" x14ac:dyDescent="0.2">
      <c r="A37" s="410"/>
      <c r="B37" s="176"/>
      <c r="C37" s="177"/>
      <c r="D37" s="177"/>
      <c r="E37" s="243"/>
      <c r="F37" s="177"/>
      <c r="G37" s="177"/>
      <c r="H37" s="177"/>
      <c r="I37" s="149"/>
      <c r="J37" s="149"/>
      <c r="K37" s="177"/>
      <c r="L37" s="177"/>
      <c r="M37" s="178"/>
      <c r="N37" s="178"/>
      <c r="O37" s="178"/>
    </row>
    <row r="38" spans="1:15" x14ac:dyDescent="0.2">
      <c r="A38" s="411"/>
      <c r="B38" s="176"/>
      <c r="C38" s="177"/>
      <c r="D38" s="177"/>
      <c r="E38" s="176"/>
      <c r="F38" s="177"/>
      <c r="G38" s="177"/>
      <c r="H38" s="177"/>
      <c r="I38" s="149"/>
      <c r="J38" s="149"/>
      <c r="K38" s="177"/>
      <c r="L38" s="177"/>
      <c r="M38" s="178"/>
      <c r="N38" s="178"/>
      <c r="O38" s="178"/>
    </row>
    <row r="39" spans="1:15" x14ac:dyDescent="0.2">
      <c r="A39" s="410"/>
      <c r="B39" s="176"/>
      <c r="C39" s="177"/>
      <c r="D39" s="177"/>
      <c r="E39" s="176"/>
      <c r="F39" s="177"/>
      <c r="G39" s="177"/>
      <c r="H39" s="177"/>
      <c r="I39" s="149"/>
      <c r="J39" s="149"/>
      <c r="K39" s="177"/>
      <c r="L39" s="177"/>
      <c r="M39" s="178"/>
      <c r="N39" s="178"/>
      <c r="O39" s="178"/>
    </row>
    <row r="40" spans="1:15" x14ac:dyDescent="0.2">
      <c r="A40" s="149"/>
      <c r="B40" s="146"/>
      <c r="C40" s="147"/>
      <c r="D40" s="147"/>
      <c r="E40" s="176"/>
      <c r="F40" s="147"/>
      <c r="G40" s="147"/>
      <c r="H40" s="147"/>
      <c r="I40" s="149"/>
      <c r="J40" s="149"/>
      <c r="K40" s="148"/>
      <c r="L40" s="148"/>
    </row>
    <row r="41" spans="1:15" x14ac:dyDescent="0.2">
      <c r="A41" s="149"/>
      <c r="B41" s="146"/>
      <c r="C41" s="147"/>
      <c r="D41" s="147"/>
      <c r="E41" s="176"/>
      <c r="F41" s="147"/>
      <c r="G41" s="147"/>
      <c r="H41" s="147"/>
      <c r="I41" s="149"/>
      <c r="J41" s="149"/>
      <c r="K41" s="148"/>
      <c r="L41" s="148"/>
    </row>
    <row r="42" spans="1:15" x14ac:dyDescent="0.2">
      <c r="B42" s="151"/>
      <c r="C42" s="148"/>
      <c r="D42" s="148"/>
      <c r="F42" s="148"/>
      <c r="G42" s="148"/>
      <c r="H42" s="148"/>
      <c r="I42" s="178"/>
      <c r="J42" s="178"/>
      <c r="K42" s="148"/>
      <c r="L42" s="148"/>
    </row>
    <row r="43" spans="1:15" x14ac:dyDescent="0.2">
      <c r="B43" s="151"/>
      <c r="C43" s="148"/>
      <c r="D43" s="148"/>
      <c r="F43" s="148"/>
      <c r="G43" s="148"/>
      <c r="H43" s="148"/>
      <c r="I43" s="178"/>
      <c r="K43" s="148"/>
      <c r="L43" s="148"/>
    </row>
    <row r="44" spans="1:15" x14ac:dyDescent="0.2">
      <c r="A44" s="439" t="s">
        <v>283</v>
      </c>
      <c r="B44" s="439" t="s">
        <v>502</v>
      </c>
      <c r="C44" s="440"/>
      <c r="D44" s="441"/>
      <c r="F44" s="148"/>
      <c r="G44" s="148"/>
      <c r="H44" s="148"/>
      <c r="I44" s="178"/>
      <c r="J44" s="178"/>
      <c r="K44" s="148"/>
      <c r="L44" s="148"/>
    </row>
    <row r="45" spans="1:15" x14ac:dyDescent="0.2">
      <c r="A45" s="442"/>
      <c r="B45" s="442"/>
      <c r="C45" s="440"/>
      <c r="D45" s="441"/>
      <c r="F45" s="441"/>
      <c r="G45" s="148"/>
      <c r="H45" s="148"/>
      <c r="I45" s="178"/>
      <c r="J45" s="178"/>
      <c r="K45" s="148"/>
      <c r="L45" s="148"/>
      <c r="N45" s="443"/>
    </row>
    <row r="46" spans="1:15" x14ac:dyDescent="0.2">
      <c r="A46" s="442" t="s">
        <v>35</v>
      </c>
      <c r="B46" s="442">
        <v>651</v>
      </c>
      <c r="C46" s="441">
        <f>D8+D13</f>
        <v>52798</v>
      </c>
      <c r="D46" s="441"/>
      <c r="F46" s="441"/>
      <c r="G46" s="148"/>
      <c r="H46" s="148"/>
      <c r="K46" s="148"/>
      <c r="L46" s="148"/>
      <c r="N46" s="443"/>
    </row>
    <row r="47" spans="1:15" x14ac:dyDescent="0.2">
      <c r="A47" s="439" t="s">
        <v>36</v>
      </c>
      <c r="B47" s="442">
        <v>652</v>
      </c>
      <c r="C47" s="441"/>
      <c r="D47" s="444"/>
      <c r="E47" s="445"/>
      <c r="F47" s="441"/>
      <c r="G47" s="148"/>
      <c r="H47" s="148"/>
      <c r="K47" s="148"/>
      <c r="L47" s="148"/>
    </row>
    <row r="48" spans="1:15" x14ac:dyDescent="0.2">
      <c r="A48" s="442" t="s">
        <v>37</v>
      </c>
      <c r="B48" s="442">
        <v>652</v>
      </c>
      <c r="C48" s="441">
        <f>D5+D6+D7</f>
        <v>159975</v>
      </c>
      <c r="D48" s="444"/>
      <c r="E48" s="445"/>
      <c r="F48" s="444"/>
      <c r="G48" s="148"/>
      <c r="H48" s="148"/>
      <c r="K48" s="148"/>
      <c r="L48" s="148"/>
    </row>
    <row r="49" spans="1:10" x14ac:dyDescent="0.2">
      <c r="A49" s="442" t="s">
        <v>38</v>
      </c>
      <c r="B49" s="442">
        <v>652</v>
      </c>
      <c r="C49" s="441"/>
      <c r="D49" s="444"/>
      <c r="E49" s="445"/>
      <c r="F49" s="444"/>
    </row>
    <row r="50" spans="1:10" ht="15" x14ac:dyDescent="0.25">
      <c r="A50" s="442" t="s">
        <v>39</v>
      </c>
      <c r="B50" s="442">
        <v>652</v>
      </c>
      <c r="C50" s="441">
        <f>D20</f>
        <v>54000</v>
      </c>
      <c r="D50" s="446"/>
      <c r="E50" s="447"/>
      <c r="F50" s="444"/>
    </row>
    <row r="51" spans="1:10" ht="15" x14ac:dyDescent="0.25">
      <c r="A51" s="442" t="s">
        <v>44</v>
      </c>
      <c r="B51" s="442">
        <v>652</v>
      </c>
      <c r="C51" s="441"/>
      <c r="D51" s="440"/>
      <c r="E51" s="447"/>
      <c r="F51" s="446"/>
      <c r="J51" s="443"/>
    </row>
    <row r="52" spans="1:10" x14ac:dyDescent="0.2">
      <c r="A52" s="442" t="s">
        <v>285</v>
      </c>
      <c r="B52" s="442">
        <v>652</v>
      </c>
      <c r="C52" s="441"/>
      <c r="D52" s="440"/>
      <c r="E52" s="447"/>
      <c r="F52" s="440"/>
      <c r="J52" s="443"/>
    </row>
    <row r="53" spans="1:10" ht="15" x14ac:dyDescent="0.25">
      <c r="A53" s="442" t="s">
        <v>41</v>
      </c>
      <c r="B53" s="442">
        <v>652</v>
      </c>
      <c r="C53" s="441"/>
      <c r="D53" s="440"/>
      <c r="E53" s="448"/>
      <c r="F53" s="440"/>
    </row>
    <row r="54" spans="1:10" x14ac:dyDescent="0.2">
      <c r="A54" s="442" t="s">
        <v>42</v>
      </c>
      <c r="B54" s="442">
        <v>734</v>
      </c>
      <c r="C54" s="441">
        <f>D31</f>
        <v>20000</v>
      </c>
      <c r="D54" s="440"/>
      <c r="E54" s="445"/>
      <c r="F54" s="440"/>
    </row>
    <row r="55" spans="1:10" x14ac:dyDescent="0.2">
      <c r="A55" s="439" t="s">
        <v>43</v>
      </c>
      <c r="B55" s="442">
        <v>734</v>
      </c>
      <c r="C55" s="441">
        <f>D14+D19</f>
        <v>150000</v>
      </c>
      <c r="D55" s="440"/>
      <c r="E55" s="445"/>
      <c r="F55" s="440"/>
    </row>
    <row r="56" spans="1:10" x14ac:dyDescent="0.2">
      <c r="A56" s="442" t="s">
        <v>44</v>
      </c>
      <c r="B56" s="442">
        <v>734</v>
      </c>
      <c r="C56" s="441">
        <f>D26</f>
        <v>75000</v>
      </c>
      <c r="D56" s="440"/>
      <c r="E56" s="445"/>
      <c r="F56" s="440"/>
    </row>
    <row r="57" spans="1:10" x14ac:dyDescent="0.2">
      <c r="A57" s="442" t="s">
        <v>45</v>
      </c>
      <c r="B57" s="442">
        <v>735</v>
      </c>
      <c r="C57" s="441"/>
      <c r="D57" s="440"/>
      <c r="E57" s="445"/>
      <c r="F57" s="440"/>
    </row>
    <row r="58" spans="1:10" x14ac:dyDescent="0.2">
      <c r="A58" s="440"/>
      <c r="B58" s="440"/>
      <c r="C58" s="440"/>
      <c r="D58" s="440"/>
      <c r="E58" s="445"/>
      <c r="F58" s="440"/>
    </row>
    <row r="59" spans="1:10" x14ac:dyDescent="0.2">
      <c r="A59" s="440"/>
      <c r="B59" s="449" t="s">
        <v>286</v>
      </c>
      <c r="C59" s="441">
        <f>SUM(C46:C57)</f>
        <v>511773</v>
      </c>
      <c r="D59" s="440"/>
      <c r="E59" s="445"/>
      <c r="F59" s="440"/>
    </row>
    <row r="60" spans="1:10" x14ac:dyDescent="0.2">
      <c r="E60" s="445"/>
      <c r="F60" s="440"/>
    </row>
    <row r="61" spans="1:10" x14ac:dyDescent="0.2">
      <c r="E61" s="445"/>
    </row>
    <row r="62" spans="1:10" x14ac:dyDescent="0.2">
      <c r="E62" s="445"/>
    </row>
  </sheetData>
  <mergeCells count="1">
    <mergeCell ref="A1:J1"/>
  </mergeCells>
  <pageMargins left="0.7" right="0.7" top="0.75" bottom="0.75" header="0.3" footer="0.3"/>
  <pageSetup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C28"/>
  <sheetViews>
    <sheetView workbookViewId="0">
      <selection activeCell="C57" sqref="C57"/>
    </sheetView>
  </sheetViews>
  <sheetFormatPr defaultColWidth="9.140625" defaultRowHeight="15" x14ac:dyDescent="0.25"/>
  <cols>
    <col min="1" max="1" width="21.28515625" style="310" customWidth="1"/>
    <col min="2" max="2" width="13.7109375" style="316" bestFit="1" customWidth="1"/>
    <col min="3" max="3" width="20.7109375" style="310" bestFit="1" customWidth="1"/>
    <col min="4" max="16384" width="9.140625" style="310"/>
  </cols>
  <sheetData>
    <row r="1" spans="1:3" x14ac:dyDescent="0.25">
      <c r="A1" s="325" t="s">
        <v>476</v>
      </c>
      <c r="B1" s="324" t="s">
        <v>475</v>
      </c>
      <c r="C1" s="325" t="s">
        <v>474</v>
      </c>
    </row>
    <row r="2" spans="1:3" x14ac:dyDescent="0.25">
      <c r="A2" s="331" t="s">
        <v>473</v>
      </c>
      <c r="B2" s="330">
        <v>6</v>
      </c>
      <c r="C2" s="329">
        <f>[4]Class!B7</f>
        <v>54630</v>
      </c>
    </row>
    <row r="3" spans="1:3" x14ac:dyDescent="0.25">
      <c r="A3" s="328" t="s">
        <v>472</v>
      </c>
      <c r="B3" s="327">
        <v>1</v>
      </c>
      <c r="C3" s="326">
        <f>[4]Flex!B7</f>
        <v>66209.899999999994</v>
      </c>
    </row>
    <row r="4" spans="1:3" x14ac:dyDescent="0.25">
      <c r="A4" s="328" t="s">
        <v>471</v>
      </c>
      <c r="B4" s="327">
        <v>1</v>
      </c>
      <c r="C4" s="326">
        <f>'[4]Tech Lab'!B7</f>
        <v>16640</v>
      </c>
    </row>
    <row r="5" spans="1:3" x14ac:dyDescent="0.25">
      <c r="A5" s="328" t="s">
        <v>470</v>
      </c>
      <c r="B5" s="327">
        <v>1</v>
      </c>
      <c r="C5" s="326">
        <f>'[4]Tech WR'!B7</f>
        <v>721.18000000000006</v>
      </c>
    </row>
    <row r="6" spans="1:3" x14ac:dyDescent="0.25">
      <c r="A6" s="328" t="s">
        <v>469</v>
      </c>
      <c r="B6" s="327">
        <v>1</v>
      </c>
      <c r="C6" s="326">
        <f>[4]Graphic!B7</f>
        <v>25280</v>
      </c>
    </row>
    <row r="7" spans="1:3" x14ac:dyDescent="0.25">
      <c r="A7" s="328" t="s">
        <v>468</v>
      </c>
      <c r="B7" s="327">
        <v>1</v>
      </c>
      <c r="C7" s="326">
        <f>'[4]SPED Class'!B7</f>
        <v>6080</v>
      </c>
    </row>
    <row r="8" spans="1:3" x14ac:dyDescent="0.25">
      <c r="A8" s="328" t="s">
        <v>467</v>
      </c>
      <c r="B8" s="327">
        <v>1</v>
      </c>
      <c r="C8" s="326">
        <f>'[4]SPED Tutor'!B7</f>
        <v>2240</v>
      </c>
    </row>
    <row r="9" spans="1:3" x14ac:dyDescent="0.25">
      <c r="A9" s="328" t="s">
        <v>466</v>
      </c>
      <c r="B9" s="327">
        <v>1</v>
      </c>
      <c r="C9" s="326">
        <f>'[4]SPED Office'!B7</f>
        <v>6675</v>
      </c>
    </row>
    <row r="10" spans="1:3" x14ac:dyDescent="0.25">
      <c r="A10" s="328" t="s">
        <v>465</v>
      </c>
      <c r="B10" s="327">
        <v>1</v>
      </c>
      <c r="C10" s="328"/>
    </row>
    <row r="11" spans="1:3" x14ac:dyDescent="0.25">
      <c r="A11" s="328" t="s">
        <v>464</v>
      </c>
      <c r="B11" s="327">
        <v>4</v>
      </c>
      <c r="C11" s="326">
        <f>'[4]Science Lab'!B7</f>
        <v>39400</v>
      </c>
    </row>
    <row r="12" spans="1:3" x14ac:dyDescent="0.25">
      <c r="A12" s="328" t="s">
        <v>463</v>
      </c>
      <c r="B12" s="327">
        <v>2</v>
      </c>
      <c r="C12" s="326">
        <f>'[4]Science WR'!B7</f>
        <v>12318</v>
      </c>
    </row>
    <row r="13" spans="1:3" x14ac:dyDescent="0.25">
      <c r="A13" s="328" t="s">
        <v>462</v>
      </c>
      <c r="B13" s="327">
        <v>1</v>
      </c>
      <c r="C13" s="328"/>
    </row>
    <row r="14" spans="1:3" x14ac:dyDescent="0.25">
      <c r="A14" s="328" t="s">
        <v>461</v>
      </c>
      <c r="B14" s="327">
        <v>1</v>
      </c>
      <c r="C14" s="326">
        <f>[4]Hall!B7</f>
        <v>4000</v>
      </c>
    </row>
    <row r="15" spans="1:3" x14ac:dyDescent="0.25">
      <c r="A15" s="328" t="s">
        <v>460</v>
      </c>
      <c r="B15" s="327">
        <v>1</v>
      </c>
      <c r="C15" s="326">
        <f>[4]Commons!B7</f>
        <v>72000</v>
      </c>
    </row>
    <row r="16" spans="1:3" x14ac:dyDescent="0.25">
      <c r="A16" s="328" t="s">
        <v>459</v>
      </c>
      <c r="B16" s="327">
        <v>1</v>
      </c>
      <c r="C16" s="326">
        <f>'[4]SPED FSkills'!B7</f>
        <v>4523.8600000000006</v>
      </c>
    </row>
    <row r="17" spans="1:3" x14ac:dyDescent="0.25">
      <c r="A17" s="328" t="s">
        <v>458</v>
      </c>
      <c r="B17" s="327">
        <v>1</v>
      </c>
      <c r="C17" s="326"/>
    </row>
    <row r="18" spans="1:3" x14ac:dyDescent="0.25">
      <c r="C18" s="320"/>
    </row>
    <row r="19" spans="1:3" x14ac:dyDescent="0.25">
      <c r="A19" s="325" t="s">
        <v>286</v>
      </c>
      <c r="B19" s="324"/>
      <c r="C19" s="323">
        <f>SUM(C2:C17)</f>
        <v>310717.93999999994</v>
      </c>
    </row>
    <row r="21" spans="1:3" x14ac:dyDescent="0.25">
      <c r="A21" s="310" t="s">
        <v>457</v>
      </c>
      <c r="C21" s="322">
        <v>50000</v>
      </c>
    </row>
    <row r="22" spans="1:3" x14ac:dyDescent="0.25">
      <c r="A22" s="310" t="s">
        <v>456</v>
      </c>
      <c r="C22" s="322">
        <v>5000</v>
      </c>
    </row>
    <row r="23" spans="1:3" x14ac:dyDescent="0.25">
      <c r="A23" s="310" t="s">
        <v>455</v>
      </c>
      <c r="C23" s="322">
        <v>55000</v>
      </c>
    </row>
    <row r="24" spans="1:3" x14ac:dyDescent="0.25">
      <c r="A24" s="310" t="s">
        <v>454</v>
      </c>
      <c r="C24" s="322">
        <v>35000</v>
      </c>
    </row>
    <row r="25" spans="1:3" ht="15.75" thickBot="1" x14ac:dyDescent="0.3">
      <c r="C25" s="321">
        <f>SUM(C19:C24)</f>
        <v>455717.93999999994</v>
      </c>
    </row>
    <row r="26" spans="1:3" ht="15.75" thickTop="1" x14ac:dyDescent="0.25"/>
    <row r="27" spans="1:3" x14ac:dyDescent="0.25">
      <c r="A27" s="310" t="s">
        <v>453</v>
      </c>
      <c r="C27" s="320">
        <v>605000</v>
      </c>
    </row>
    <row r="28" spans="1:3" x14ac:dyDescent="0.25">
      <c r="A28" s="319" t="s">
        <v>452</v>
      </c>
      <c r="B28" s="318"/>
      <c r="C28" s="317">
        <f>C27-C25</f>
        <v>149282.06000000006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>
    <tabColor rgb="FF99FFCC"/>
    <pageSetUpPr fitToPage="1"/>
  </sheetPr>
  <dimension ref="A1:H53"/>
  <sheetViews>
    <sheetView topLeftCell="A39" workbookViewId="0">
      <selection activeCell="A30" sqref="A30"/>
    </sheetView>
  </sheetViews>
  <sheetFormatPr defaultColWidth="9.140625" defaultRowHeight="15" x14ac:dyDescent="0.25"/>
  <cols>
    <col min="1" max="1" width="41" style="378" bestFit="1" customWidth="1"/>
    <col min="2" max="2" width="9.140625" style="378"/>
    <col min="3" max="4" width="9.140625" style="379"/>
    <col min="5" max="16384" width="9.140625" style="378"/>
  </cols>
  <sheetData>
    <row r="1" spans="1:6" x14ac:dyDescent="0.25">
      <c r="A1" s="384" t="s">
        <v>404</v>
      </c>
      <c r="B1" s="384" t="s">
        <v>405</v>
      </c>
      <c r="C1" s="383" t="s">
        <v>207</v>
      </c>
      <c r="D1" s="383" t="s">
        <v>286</v>
      </c>
    </row>
    <row r="3" spans="1:6" x14ac:dyDescent="0.25">
      <c r="A3" s="382" t="s">
        <v>406</v>
      </c>
    </row>
    <row r="4" spans="1:6" x14ac:dyDescent="0.25">
      <c r="A4" s="378" t="s">
        <v>407</v>
      </c>
      <c r="B4" s="378">
        <v>32</v>
      </c>
      <c r="C4" s="379">
        <v>340</v>
      </c>
      <c r="D4" s="379">
        <f>B4*C4</f>
        <v>10880</v>
      </c>
    </row>
    <row r="5" spans="1:6" x14ac:dyDescent="0.25">
      <c r="A5" s="378" t="s">
        <v>408</v>
      </c>
      <c r="B5" s="378">
        <v>1</v>
      </c>
      <c r="C5" s="379">
        <v>1500</v>
      </c>
      <c r="D5" s="379">
        <f>B5*C5</f>
        <v>1500</v>
      </c>
    </row>
    <row r="7" spans="1:6" x14ac:dyDescent="0.25">
      <c r="A7" s="382" t="s">
        <v>409</v>
      </c>
    </row>
    <row r="8" spans="1:6" x14ac:dyDescent="0.25">
      <c r="A8" s="378" t="s">
        <v>407</v>
      </c>
      <c r="B8" s="378">
        <v>32</v>
      </c>
      <c r="C8" s="379">
        <v>340</v>
      </c>
      <c r="D8" s="379">
        <f>B8*C8</f>
        <v>10880</v>
      </c>
    </row>
    <row r="9" spans="1:6" x14ac:dyDescent="0.25">
      <c r="A9" s="378" t="s">
        <v>408</v>
      </c>
      <c r="B9" s="378">
        <v>1</v>
      </c>
      <c r="C9" s="379">
        <v>1500</v>
      </c>
      <c r="D9" s="379">
        <f>B9*C9</f>
        <v>1500</v>
      </c>
    </row>
    <row r="11" spans="1:6" x14ac:dyDescent="0.25">
      <c r="A11" s="382" t="s">
        <v>496</v>
      </c>
    </row>
    <row r="12" spans="1:6" x14ac:dyDescent="0.25">
      <c r="A12" s="378" t="s">
        <v>411</v>
      </c>
      <c r="B12" s="378">
        <v>32</v>
      </c>
      <c r="C12" s="379">
        <v>700</v>
      </c>
      <c r="D12" s="379">
        <f>B12*C12</f>
        <v>22400</v>
      </c>
    </row>
    <row r="13" spans="1:6" x14ac:dyDescent="0.25">
      <c r="A13" s="378" t="s">
        <v>412</v>
      </c>
      <c r="B13" s="378">
        <v>1</v>
      </c>
      <c r="C13" s="379">
        <v>1500</v>
      </c>
      <c r="D13" s="379">
        <f>B13*C13</f>
        <v>1500</v>
      </c>
    </row>
    <row r="15" spans="1:6" x14ac:dyDescent="0.25">
      <c r="A15" s="382" t="s">
        <v>414</v>
      </c>
    </row>
    <row r="16" spans="1:6" x14ac:dyDescent="0.25">
      <c r="A16" s="378" t="s">
        <v>492</v>
      </c>
      <c r="B16" s="378">
        <v>4</v>
      </c>
      <c r="C16" s="379">
        <v>3000</v>
      </c>
      <c r="D16" s="379">
        <f>B16*C16</f>
        <v>12000</v>
      </c>
      <c r="F16" s="378" t="s">
        <v>495</v>
      </c>
    </row>
    <row r="17" spans="1:6" x14ac:dyDescent="0.25">
      <c r="A17" s="378" t="s">
        <v>493</v>
      </c>
      <c r="B17" s="378">
        <v>6</v>
      </c>
      <c r="C17" s="379">
        <v>700</v>
      </c>
      <c r="D17" s="379">
        <f>B17*C17</f>
        <v>4200</v>
      </c>
    </row>
    <row r="18" spans="1:6" x14ac:dyDescent="0.25">
      <c r="A18" s="378" t="s">
        <v>419</v>
      </c>
      <c r="B18" s="378">
        <v>6</v>
      </c>
      <c r="C18" s="379">
        <v>100</v>
      </c>
      <c r="D18" s="379">
        <f>B18*C18</f>
        <v>600</v>
      </c>
    </row>
    <row r="19" spans="1:6" x14ac:dyDescent="0.25">
      <c r="A19" s="378" t="s">
        <v>420</v>
      </c>
      <c r="B19" s="378">
        <v>6</v>
      </c>
      <c r="C19" s="379">
        <v>400</v>
      </c>
      <c r="D19" s="379">
        <f>B19*C19</f>
        <v>2400</v>
      </c>
    </row>
    <row r="20" spans="1:6" x14ac:dyDescent="0.25">
      <c r="A20" s="378" t="s">
        <v>421</v>
      </c>
      <c r="B20" s="378">
        <v>6</v>
      </c>
      <c r="C20" s="379">
        <v>125</v>
      </c>
      <c r="D20" s="379">
        <f>B20*C20</f>
        <v>750</v>
      </c>
    </row>
    <row r="22" spans="1:6" x14ac:dyDescent="0.25">
      <c r="A22" s="382" t="s">
        <v>422</v>
      </c>
    </row>
    <row r="23" spans="1:6" x14ac:dyDescent="0.25">
      <c r="A23" s="378" t="s">
        <v>492</v>
      </c>
      <c r="B23" s="378">
        <v>2</v>
      </c>
      <c r="C23" s="379">
        <v>3000</v>
      </c>
      <c r="D23" s="379">
        <f t="shared" ref="D23:D28" si="0">B23*C23</f>
        <v>6000</v>
      </c>
      <c r="F23" s="378" t="s">
        <v>494</v>
      </c>
    </row>
    <row r="24" spans="1:6" x14ac:dyDescent="0.25">
      <c r="A24" s="378" t="s">
        <v>424</v>
      </c>
      <c r="B24" s="378">
        <v>1</v>
      </c>
      <c r="C24" s="379">
        <v>2000</v>
      </c>
      <c r="D24" s="379">
        <f t="shared" si="0"/>
        <v>2000</v>
      </c>
    </row>
    <row r="25" spans="1:6" x14ac:dyDescent="0.25">
      <c r="A25" s="378" t="s">
        <v>493</v>
      </c>
      <c r="B25" s="378">
        <v>3</v>
      </c>
      <c r="C25" s="379">
        <v>700</v>
      </c>
      <c r="D25" s="379">
        <f t="shared" si="0"/>
        <v>2100</v>
      </c>
    </row>
    <row r="26" spans="1:6" x14ac:dyDescent="0.25">
      <c r="A26" s="378" t="s">
        <v>419</v>
      </c>
      <c r="B26" s="378">
        <v>3</v>
      </c>
      <c r="C26" s="379">
        <v>100</v>
      </c>
      <c r="D26" s="379">
        <f t="shared" si="0"/>
        <v>300</v>
      </c>
    </row>
    <row r="27" spans="1:6" x14ac:dyDescent="0.25">
      <c r="A27" s="378" t="s">
        <v>420</v>
      </c>
      <c r="B27" s="378">
        <v>3</v>
      </c>
      <c r="C27" s="379">
        <v>400</v>
      </c>
      <c r="D27" s="379">
        <f t="shared" si="0"/>
        <v>1200</v>
      </c>
    </row>
    <row r="28" spans="1:6" x14ac:dyDescent="0.25">
      <c r="A28" s="378" t="s">
        <v>421</v>
      </c>
      <c r="B28" s="378">
        <v>3</v>
      </c>
      <c r="C28" s="379">
        <v>125</v>
      </c>
      <c r="D28" s="379">
        <f t="shared" si="0"/>
        <v>375</v>
      </c>
    </row>
    <row r="30" spans="1:6" x14ac:dyDescent="0.25">
      <c r="A30" s="382" t="s">
        <v>423</v>
      </c>
    </row>
    <row r="31" spans="1:6" x14ac:dyDescent="0.25">
      <c r="A31" s="378" t="s">
        <v>492</v>
      </c>
      <c r="B31" s="378">
        <v>4</v>
      </c>
      <c r="C31" s="379">
        <v>3000</v>
      </c>
      <c r="D31" s="379">
        <f t="shared" ref="D31:D37" si="1">B31*C31</f>
        <v>12000</v>
      </c>
    </row>
    <row r="32" spans="1:6" x14ac:dyDescent="0.25">
      <c r="A32" s="378" t="s">
        <v>424</v>
      </c>
      <c r="B32" s="378">
        <v>4</v>
      </c>
      <c r="C32" s="379">
        <v>2000</v>
      </c>
      <c r="D32" s="379">
        <f t="shared" si="1"/>
        <v>8000</v>
      </c>
    </row>
    <row r="33" spans="1:8" x14ac:dyDescent="0.25">
      <c r="A33" s="378" t="s">
        <v>493</v>
      </c>
      <c r="B33" s="378">
        <v>4</v>
      </c>
      <c r="C33" s="379">
        <v>700</v>
      </c>
      <c r="D33" s="379">
        <f t="shared" si="1"/>
        <v>2800</v>
      </c>
    </row>
    <row r="34" spans="1:8" x14ac:dyDescent="0.25">
      <c r="A34" s="378" t="s">
        <v>419</v>
      </c>
      <c r="B34" s="378">
        <v>4</v>
      </c>
      <c r="C34" s="379">
        <v>100</v>
      </c>
      <c r="D34" s="379">
        <f t="shared" si="1"/>
        <v>400</v>
      </c>
    </row>
    <row r="35" spans="1:8" x14ac:dyDescent="0.25">
      <c r="A35" s="378" t="s">
        <v>420</v>
      </c>
      <c r="B35" s="378">
        <v>4</v>
      </c>
      <c r="C35" s="379">
        <v>400</v>
      </c>
      <c r="D35" s="379">
        <f t="shared" si="1"/>
        <v>1600</v>
      </c>
    </row>
    <row r="36" spans="1:8" x14ac:dyDescent="0.25">
      <c r="A36" s="378" t="s">
        <v>425</v>
      </c>
      <c r="B36" s="378">
        <v>6</v>
      </c>
      <c r="C36" s="379">
        <v>700</v>
      </c>
      <c r="D36" s="379">
        <f t="shared" si="1"/>
        <v>4200</v>
      </c>
    </row>
    <row r="37" spans="1:8" x14ac:dyDescent="0.25">
      <c r="A37" s="378" t="s">
        <v>421</v>
      </c>
      <c r="B37" s="378">
        <v>4</v>
      </c>
      <c r="C37" s="379">
        <v>125</v>
      </c>
      <c r="D37" s="379">
        <f t="shared" si="1"/>
        <v>500</v>
      </c>
    </row>
    <row r="39" spans="1:8" x14ac:dyDescent="0.25">
      <c r="A39" s="382" t="s">
        <v>426</v>
      </c>
    </row>
    <row r="40" spans="1:8" x14ac:dyDescent="0.25">
      <c r="A40" s="378" t="s">
        <v>492</v>
      </c>
      <c r="B40" s="378">
        <v>1</v>
      </c>
      <c r="C40" s="379">
        <v>3000</v>
      </c>
      <c r="D40" s="379">
        <f>B40*C40</f>
        <v>3000</v>
      </c>
    </row>
    <row r="41" spans="1:8" x14ac:dyDescent="0.25">
      <c r="A41" s="378" t="s">
        <v>427</v>
      </c>
      <c r="B41" s="378">
        <v>1</v>
      </c>
      <c r="C41" s="379">
        <v>700</v>
      </c>
      <c r="D41" s="379">
        <f>B41*C41</f>
        <v>700</v>
      </c>
    </row>
    <row r="42" spans="1:8" x14ac:dyDescent="0.25">
      <c r="A42" s="378" t="s">
        <v>421</v>
      </c>
      <c r="B42" s="378">
        <v>1</v>
      </c>
      <c r="C42" s="379">
        <v>125</v>
      </c>
      <c r="D42" s="379">
        <f>B42*C42</f>
        <v>125</v>
      </c>
    </row>
    <row r="44" spans="1:8" x14ac:dyDescent="0.25">
      <c r="A44" s="378" t="s">
        <v>429</v>
      </c>
      <c r="B44" s="378">
        <v>6</v>
      </c>
      <c r="C44" s="379">
        <v>900</v>
      </c>
      <c r="D44" s="379">
        <f>B44*C44</f>
        <v>5400</v>
      </c>
    </row>
    <row r="45" spans="1:8" x14ac:dyDescent="0.25">
      <c r="A45" s="378" t="s">
        <v>430</v>
      </c>
      <c r="B45" s="378">
        <v>1</v>
      </c>
      <c r="D45" s="379">
        <v>5500</v>
      </c>
      <c r="F45" s="378" t="s">
        <v>491</v>
      </c>
    </row>
    <row r="46" spans="1:8" x14ac:dyDescent="0.25">
      <c r="A46" s="378" t="s">
        <v>433</v>
      </c>
      <c r="B46" s="378">
        <v>3</v>
      </c>
      <c r="C46" s="379">
        <v>140</v>
      </c>
      <c r="D46" s="379">
        <f>B46*C46</f>
        <v>420</v>
      </c>
      <c r="F46" s="378" t="s">
        <v>490</v>
      </c>
      <c r="H46" s="381" t="s">
        <v>434</v>
      </c>
    </row>
    <row r="47" spans="1:8" x14ac:dyDescent="0.25">
      <c r="A47" s="378" t="s">
        <v>489</v>
      </c>
      <c r="B47" s="378">
        <v>6</v>
      </c>
      <c r="C47" s="379">
        <v>1500</v>
      </c>
      <c r="D47" s="379">
        <f>B47*C47</f>
        <v>9000</v>
      </c>
      <c r="F47" s="378" t="s">
        <v>488</v>
      </c>
    </row>
    <row r="49" spans="1:6" x14ac:dyDescent="0.25">
      <c r="A49" s="378" t="s">
        <v>435</v>
      </c>
      <c r="D49" s="380">
        <f>SUM(D4:D47)</f>
        <v>134230</v>
      </c>
    </row>
    <row r="50" spans="1:6" x14ac:dyDescent="0.25">
      <c r="A50" s="378" t="s">
        <v>436</v>
      </c>
      <c r="D50" s="380">
        <f>'REVISED InfrastructureTech'!D15</f>
        <v>32950</v>
      </c>
    </row>
    <row r="51" spans="1:6" x14ac:dyDescent="0.25">
      <c r="A51" s="378" t="s">
        <v>450</v>
      </c>
      <c r="D51" s="380">
        <v>40000</v>
      </c>
    </row>
    <row r="52" spans="1:6" ht="15.75" thickBot="1" x14ac:dyDescent="0.3">
      <c r="A52" s="381" t="s">
        <v>487</v>
      </c>
      <c r="D52" s="380"/>
      <c r="F52" s="381" t="s">
        <v>486</v>
      </c>
    </row>
    <row r="53" spans="1:6" ht="15.75" thickBot="1" x14ac:dyDescent="0.3">
      <c r="C53" s="385" t="s">
        <v>286</v>
      </c>
      <c r="D53" s="386">
        <f>D49+D50+D51+D52</f>
        <v>207180</v>
      </c>
    </row>
  </sheetData>
  <pageMargins left="0.7" right="0.7" top="0.75" bottom="0.75" header="0.3" footer="0.3"/>
  <pageSetup paperSize="142" scale="5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5">
    <tabColor rgb="FF99FFCC"/>
  </sheetPr>
  <dimension ref="A1:E17"/>
  <sheetViews>
    <sheetView workbookViewId="0">
      <selection activeCell="A30" sqref="A30"/>
    </sheetView>
  </sheetViews>
  <sheetFormatPr defaultColWidth="9.140625" defaultRowHeight="15" x14ac:dyDescent="0.25"/>
  <cols>
    <col min="1" max="1" width="40.28515625" style="378" customWidth="1"/>
    <col min="2" max="2" width="9.140625" style="378"/>
    <col min="3" max="3" width="9.140625" style="379"/>
    <col min="4" max="16384" width="9.140625" style="378"/>
  </cols>
  <sheetData>
    <row r="1" spans="1:5" x14ac:dyDescent="0.25">
      <c r="A1" s="384" t="s">
        <v>438</v>
      </c>
      <c r="B1" s="384" t="s">
        <v>405</v>
      </c>
      <c r="C1" s="383" t="s">
        <v>207</v>
      </c>
      <c r="D1" s="384" t="s">
        <v>286</v>
      </c>
    </row>
    <row r="2" spans="1:5" x14ac:dyDescent="0.25">
      <c r="A2" s="378" t="s">
        <v>439</v>
      </c>
      <c r="B2" s="378">
        <v>25</v>
      </c>
      <c r="C2" s="379">
        <v>250</v>
      </c>
      <c r="D2" s="379">
        <f>B2*C2</f>
        <v>6250</v>
      </c>
      <c r="E2" s="378" t="s">
        <v>440</v>
      </c>
    </row>
    <row r="3" spans="1:5" x14ac:dyDescent="0.25">
      <c r="A3" s="378" t="s">
        <v>441</v>
      </c>
      <c r="B3" s="378">
        <v>2</v>
      </c>
      <c r="C3" s="379">
        <v>1450</v>
      </c>
      <c r="D3" s="379">
        <f>B3*C3</f>
        <v>2900</v>
      </c>
    </row>
    <row r="4" spans="1:5" x14ac:dyDescent="0.25">
      <c r="A4" s="378" t="s">
        <v>442</v>
      </c>
      <c r="B4" s="378">
        <v>2</v>
      </c>
      <c r="C4" s="379">
        <v>150</v>
      </c>
      <c r="D4" s="379">
        <f>B4*C4</f>
        <v>300</v>
      </c>
    </row>
    <row r="5" spans="1:5" x14ac:dyDescent="0.25">
      <c r="A5" s="378" t="s">
        <v>443</v>
      </c>
      <c r="B5" s="378">
        <v>1</v>
      </c>
      <c r="C5" s="379">
        <v>6500</v>
      </c>
      <c r="D5" s="379">
        <f>B5*C5</f>
        <v>6500</v>
      </c>
      <c r="E5" s="378" t="s">
        <v>444</v>
      </c>
    </row>
    <row r="6" spans="1:5" x14ac:dyDescent="0.25">
      <c r="D6" s="379"/>
    </row>
    <row r="7" spans="1:5" x14ac:dyDescent="0.25">
      <c r="A7" s="382" t="s">
        <v>445</v>
      </c>
      <c r="D7" s="379"/>
    </row>
    <row r="8" spans="1:5" x14ac:dyDescent="0.25">
      <c r="A8" s="378" t="s">
        <v>446</v>
      </c>
      <c r="B8" s="378">
        <v>3</v>
      </c>
      <c r="C8" s="379">
        <v>4000</v>
      </c>
      <c r="D8" s="379">
        <f>B8*C8</f>
        <v>12000</v>
      </c>
    </row>
    <row r="9" spans="1:5" x14ac:dyDescent="0.25">
      <c r="D9" s="379"/>
    </row>
    <row r="10" spans="1:5" x14ac:dyDescent="0.25">
      <c r="A10" s="382" t="s">
        <v>447</v>
      </c>
      <c r="D10" s="379"/>
    </row>
    <row r="11" spans="1:5" x14ac:dyDescent="0.25">
      <c r="A11" s="378" t="s">
        <v>448</v>
      </c>
      <c r="B11" s="378">
        <v>8</v>
      </c>
      <c r="C11" s="379">
        <v>600</v>
      </c>
      <c r="D11" s="379">
        <f>B11*C11</f>
        <v>4800</v>
      </c>
    </row>
    <row r="12" spans="1:5" x14ac:dyDescent="0.25">
      <c r="D12" s="379"/>
    </row>
    <row r="13" spans="1:5" x14ac:dyDescent="0.25">
      <c r="A13" s="378" t="s">
        <v>449</v>
      </c>
      <c r="B13" s="378">
        <v>2</v>
      </c>
      <c r="C13" s="379">
        <v>100</v>
      </c>
      <c r="D13" s="379">
        <f>B13*C13</f>
        <v>200</v>
      </c>
    </row>
    <row r="14" spans="1:5" x14ac:dyDescent="0.25">
      <c r="D14" s="379"/>
    </row>
    <row r="15" spans="1:5" x14ac:dyDescent="0.25">
      <c r="C15" s="379" t="s">
        <v>286</v>
      </c>
      <c r="D15" s="379">
        <f>SUM(D2:D13)</f>
        <v>32950</v>
      </c>
    </row>
    <row r="17" spans="1:4" x14ac:dyDescent="0.25">
      <c r="A17" s="378" t="s">
        <v>450</v>
      </c>
      <c r="D17" s="379">
        <v>40000</v>
      </c>
    </row>
  </sheetData>
  <pageMargins left="0.7" right="0.7" top="0.75" bottom="0.75" header="0.3" footer="0.3"/>
  <pageSetup paperSize="14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F66"/>
  <sheetViews>
    <sheetView topLeftCell="A39" workbookViewId="0">
      <selection activeCell="A30" sqref="A30"/>
    </sheetView>
  </sheetViews>
  <sheetFormatPr defaultColWidth="9.140625" defaultRowHeight="15" x14ac:dyDescent="0.25"/>
  <cols>
    <col min="1" max="1" width="34.28515625" style="310" customWidth="1"/>
    <col min="2" max="2" width="9.140625" style="310"/>
    <col min="3" max="4" width="9.140625" style="312"/>
    <col min="5" max="16384" width="9.140625" style="310"/>
  </cols>
  <sheetData>
    <row r="1" spans="1:4" x14ac:dyDescent="0.25">
      <c r="A1" s="308" t="s">
        <v>404</v>
      </c>
      <c r="B1" s="308" t="s">
        <v>405</v>
      </c>
      <c r="C1" s="309" t="s">
        <v>207</v>
      </c>
      <c r="D1" s="309" t="s">
        <v>286</v>
      </c>
    </row>
    <row r="3" spans="1:4" x14ac:dyDescent="0.25">
      <c r="A3" s="311" t="s">
        <v>406</v>
      </c>
    </row>
    <row r="4" spans="1:4" x14ac:dyDescent="0.25">
      <c r="A4" s="310" t="s">
        <v>407</v>
      </c>
      <c r="B4" s="310">
        <v>32</v>
      </c>
      <c r="C4" s="312">
        <v>340</v>
      </c>
      <c r="D4" s="312">
        <f>B4*C4</f>
        <v>10880</v>
      </c>
    </row>
    <row r="5" spans="1:4" x14ac:dyDescent="0.25">
      <c r="A5" s="310" t="s">
        <v>408</v>
      </c>
      <c r="B5" s="310">
        <v>1</v>
      </c>
      <c r="C5" s="312">
        <v>1500</v>
      </c>
      <c r="D5" s="312">
        <f t="shared" ref="D5:D52" si="0">B5*C5</f>
        <v>1500</v>
      </c>
    </row>
    <row r="7" spans="1:4" x14ac:dyDescent="0.25">
      <c r="A7" s="311" t="s">
        <v>409</v>
      </c>
    </row>
    <row r="8" spans="1:4" x14ac:dyDescent="0.25">
      <c r="A8" s="310" t="s">
        <v>407</v>
      </c>
      <c r="B8" s="310">
        <v>32</v>
      </c>
      <c r="C8" s="312">
        <v>340</v>
      </c>
      <c r="D8" s="312">
        <f t="shared" si="0"/>
        <v>10880</v>
      </c>
    </row>
    <row r="9" spans="1:4" x14ac:dyDescent="0.25">
      <c r="A9" s="310" t="s">
        <v>408</v>
      </c>
      <c r="B9" s="310">
        <v>1</v>
      </c>
      <c r="C9" s="312">
        <v>1500</v>
      </c>
      <c r="D9" s="312">
        <f t="shared" si="0"/>
        <v>1500</v>
      </c>
    </row>
    <row r="11" spans="1:4" x14ac:dyDescent="0.25">
      <c r="A11" s="311" t="s">
        <v>410</v>
      </c>
    </row>
    <row r="12" spans="1:4" x14ac:dyDescent="0.25">
      <c r="A12" s="310" t="s">
        <v>411</v>
      </c>
      <c r="B12" s="310">
        <v>32</v>
      </c>
      <c r="C12" s="312">
        <v>700</v>
      </c>
      <c r="D12" s="312">
        <f t="shared" si="0"/>
        <v>22400</v>
      </c>
    </row>
    <row r="13" spans="1:4" x14ac:dyDescent="0.25">
      <c r="A13" s="310" t="s">
        <v>412</v>
      </c>
      <c r="B13" s="310">
        <v>1</v>
      </c>
      <c r="C13" s="312">
        <v>1500</v>
      </c>
      <c r="D13" s="312">
        <f t="shared" si="0"/>
        <v>1500</v>
      </c>
    </row>
    <row r="15" spans="1:4" x14ac:dyDescent="0.25">
      <c r="A15" s="311" t="s">
        <v>413</v>
      </c>
    </row>
    <row r="16" spans="1:4" x14ac:dyDescent="0.25">
      <c r="A16" s="310" t="s">
        <v>411</v>
      </c>
      <c r="B16" s="310">
        <v>32</v>
      </c>
      <c r="C16" s="312">
        <v>700</v>
      </c>
      <c r="D16" s="312">
        <f t="shared" si="0"/>
        <v>22400</v>
      </c>
    </row>
    <row r="17" spans="1:4" x14ac:dyDescent="0.25">
      <c r="A17" s="310" t="s">
        <v>412</v>
      </c>
      <c r="B17" s="310">
        <v>1</v>
      </c>
      <c r="C17" s="312">
        <v>1500</v>
      </c>
      <c r="D17" s="312">
        <f t="shared" si="0"/>
        <v>1500</v>
      </c>
    </row>
    <row r="19" spans="1:4" x14ac:dyDescent="0.25">
      <c r="A19" s="311" t="s">
        <v>414</v>
      </c>
    </row>
    <row r="20" spans="1:4" x14ac:dyDescent="0.25">
      <c r="A20" s="310" t="s">
        <v>415</v>
      </c>
      <c r="B20" s="310">
        <v>6</v>
      </c>
      <c r="C20" s="312">
        <v>4000</v>
      </c>
      <c r="D20" s="312">
        <f t="shared" si="0"/>
        <v>24000</v>
      </c>
    </row>
    <row r="21" spans="1:4" x14ac:dyDescent="0.25">
      <c r="A21" s="310" t="s">
        <v>416</v>
      </c>
      <c r="B21" s="310">
        <v>6</v>
      </c>
      <c r="C21" s="312">
        <v>40</v>
      </c>
      <c r="D21" s="312">
        <f t="shared" si="0"/>
        <v>240</v>
      </c>
    </row>
    <row r="22" spans="1:4" x14ac:dyDescent="0.25">
      <c r="A22" s="310" t="s">
        <v>417</v>
      </c>
      <c r="B22" s="310">
        <v>6</v>
      </c>
      <c r="C22" s="312">
        <v>200</v>
      </c>
      <c r="D22" s="312">
        <f t="shared" si="0"/>
        <v>1200</v>
      </c>
    </row>
    <row r="23" spans="1:4" x14ac:dyDescent="0.25">
      <c r="A23" s="310" t="s">
        <v>418</v>
      </c>
      <c r="B23" s="310">
        <v>6</v>
      </c>
      <c r="C23" s="312">
        <v>1200</v>
      </c>
      <c r="D23" s="312">
        <f t="shared" si="0"/>
        <v>7200</v>
      </c>
    </row>
    <row r="24" spans="1:4" x14ac:dyDescent="0.25">
      <c r="A24" s="310" t="s">
        <v>419</v>
      </c>
      <c r="B24" s="310">
        <v>6</v>
      </c>
      <c r="C24" s="312">
        <v>100</v>
      </c>
      <c r="D24" s="312">
        <f t="shared" si="0"/>
        <v>600</v>
      </c>
    </row>
    <row r="25" spans="1:4" x14ac:dyDescent="0.25">
      <c r="A25" s="310" t="s">
        <v>420</v>
      </c>
      <c r="B25" s="310">
        <v>6</v>
      </c>
      <c r="C25" s="312">
        <v>400</v>
      </c>
      <c r="D25" s="312">
        <f t="shared" si="0"/>
        <v>2400</v>
      </c>
    </row>
    <row r="26" spans="1:4" x14ac:dyDescent="0.25">
      <c r="A26" s="310" t="s">
        <v>421</v>
      </c>
      <c r="B26" s="310">
        <v>6</v>
      </c>
      <c r="C26" s="312">
        <v>125</v>
      </c>
      <c r="D26" s="312">
        <f t="shared" si="0"/>
        <v>750</v>
      </c>
    </row>
    <row r="28" spans="1:4" x14ac:dyDescent="0.25">
      <c r="A28" s="311" t="s">
        <v>422</v>
      </c>
    </row>
    <row r="29" spans="1:4" x14ac:dyDescent="0.25">
      <c r="A29" s="310" t="s">
        <v>415</v>
      </c>
      <c r="B29" s="310">
        <v>3</v>
      </c>
      <c r="C29" s="312">
        <v>4000</v>
      </c>
      <c r="D29" s="312">
        <f t="shared" si="0"/>
        <v>12000</v>
      </c>
    </row>
    <row r="30" spans="1:4" x14ac:dyDescent="0.25">
      <c r="A30" s="310" t="s">
        <v>416</v>
      </c>
      <c r="B30" s="310">
        <v>3</v>
      </c>
      <c r="C30" s="312">
        <v>40</v>
      </c>
      <c r="D30" s="312">
        <f t="shared" si="0"/>
        <v>120</v>
      </c>
    </row>
    <row r="31" spans="1:4" x14ac:dyDescent="0.25">
      <c r="A31" s="310" t="s">
        <v>417</v>
      </c>
      <c r="B31" s="310">
        <v>3</v>
      </c>
      <c r="C31" s="312">
        <v>200</v>
      </c>
      <c r="D31" s="312">
        <f t="shared" si="0"/>
        <v>600</v>
      </c>
    </row>
    <row r="32" spans="1:4" x14ac:dyDescent="0.25">
      <c r="A32" s="310" t="s">
        <v>418</v>
      </c>
      <c r="B32" s="310">
        <v>3</v>
      </c>
      <c r="C32" s="312">
        <v>1200</v>
      </c>
      <c r="D32" s="312">
        <f t="shared" si="0"/>
        <v>3600</v>
      </c>
    </row>
    <row r="33" spans="1:4" x14ac:dyDescent="0.25">
      <c r="A33" s="310" t="s">
        <v>419</v>
      </c>
      <c r="B33" s="310">
        <v>3</v>
      </c>
      <c r="C33" s="312">
        <v>100</v>
      </c>
      <c r="D33" s="312">
        <f t="shared" si="0"/>
        <v>300</v>
      </c>
    </row>
    <row r="34" spans="1:4" x14ac:dyDescent="0.25">
      <c r="A34" s="310" t="s">
        <v>420</v>
      </c>
      <c r="B34" s="310">
        <v>3</v>
      </c>
      <c r="C34" s="312">
        <v>400</v>
      </c>
      <c r="D34" s="312">
        <f t="shared" si="0"/>
        <v>1200</v>
      </c>
    </row>
    <row r="35" spans="1:4" x14ac:dyDescent="0.25">
      <c r="A35" s="310" t="s">
        <v>421</v>
      </c>
      <c r="B35" s="310">
        <v>3</v>
      </c>
      <c r="C35" s="312">
        <v>125</v>
      </c>
      <c r="D35" s="312">
        <f t="shared" si="0"/>
        <v>375</v>
      </c>
    </row>
    <row r="37" spans="1:4" x14ac:dyDescent="0.25">
      <c r="A37" s="311" t="s">
        <v>423</v>
      </c>
    </row>
    <row r="38" spans="1:4" x14ac:dyDescent="0.25">
      <c r="A38" s="310" t="s">
        <v>415</v>
      </c>
      <c r="B38" s="310">
        <v>4</v>
      </c>
      <c r="C38" s="312">
        <v>4000</v>
      </c>
      <c r="D38" s="312">
        <f t="shared" si="0"/>
        <v>16000</v>
      </c>
    </row>
    <row r="39" spans="1:4" x14ac:dyDescent="0.25">
      <c r="A39" s="310" t="s">
        <v>416</v>
      </c>
      <c r="B39" s="310">
        <v>4</v>
      </c>
      <c r="C39" s="312">
        <v>40</v>
      </c>
      <c r="D39" s="312">
        <f t="shared" si="0"/>
        <v>160</v>
      </c>
    </row>
    <row r="40" spans="1:4" x14ac:dyDescent="0.25">
      <c r="A40" s="310" t="s">
        <v>424</v>
      </c>
      <c r="B40" s="310">
        <v>4</v>
      </c>
      <c r="C40" s="312">
        <v>2000</v>
      </c>
      <c r="D40" s="312">
        <f t="shared" si="0"/>
        <v>8000</v>
      </c>
    </row>
    <row r="41" spans="1:4" x14ac:dyDescent="0.25">
      <c r="A41" s="310" t="s">
        <v>418</v>
      </c>
      <c r="B41" s="310">
        <v>4</v>
      </c>
      <c r="C41" s="312">
        <v>1200</v>
      </c>
      <c r="D41" s="312">
        <f t="shared" si="0"/>
        <v>4800</v>
      </c>
    </row>
    <row r="42" spans="1:4" x14ac:dyDescent="0.25">
      <c r="A42" s="310" t="s">
        <v>419</v>
      </c>
      <c r="B42" s="310">
        <v>4</v>
      </c>
      <c r="C42" s="312">
        <v>100</v>
      </c>
      <c r="D42" s="312">
        <f t="shared" si="0"/>
        <v>400</v>
      </c>
    </row>
    <row r="43" spans="1:4" x14ac:dyDescent="0.25">
      <c r="A43" s="310" t="s">
        <v>420</v>
      </c>
      <c r="B43" s="310">
        <v>4</v>
      </c>
      <c r="C43" s="312">
        <v>400</v>
      </c>
      <c r="D43" s="312">
        <f t="shared" si="0"/>
        <v>1600</v>
      </c>
    </row>
    <row r="44" spans="1:4" x14ac:dyDescent="0.25">
      <c r="A44" s="310" t="s">
        <v>425</v>
      </c>
      <c r="B44" s="310">
        <v>6</v>
      </c>
      <c r="C44" s="312">
        <v>700</v>
      </c>
      <c r="D44" s="312">
        <f t="shared" si="0"/>
        <v>4200</v>
      </c>
    </row>
    <row r="45" spans="1:4" x14ac:dyDescent="0.25">
      <c r="A45" s="310" t="s">
        <v>421</v>
      </c>
      <c r="B45" s="310">
        <v>4</v>
      </c>
      <c r="C45" s="312">
        <v>125</v>
      </c>
      <c r="D45" s="312">
        <f t="shared" si="0"/>
        <v>500</v>
      </c>
    </row>
    <row r="47" spans="1:4" x14ac:dyDescent="0.25">
      <c r="A47" s="311" t="s">
        <v>426</v>
      </c>
    </row>
    <row r="48" spans="1:4" x14ac:dyDescent="0.25">
      <c r="A48" s="310" t="s">
        <v>415</v>
      </c>
      <c r="B48" s="310">
        <v>1</v>
      </c>
      <c r="C48" s="312">
        <v>4000</v>
      </c>
      <c r="D48" s="312">
        <f t="shared" si="0"/>
        <v>4000</v>
      </c>
    </row>
    <row r="49" spans="1:6" x14ac:dyDescent="0.25">
      <c r="A49" s="310" t="s">
        <v>416</v>
      </c>
      <c r="B49" s="310">
        <v>1</v>
      </c>
      <c r="C49" s="312">
        <v>40</v>
      </c>
      <c r="D49" s="312">
        <f t="shared" si="0"/>
        <v>40</v>
      </c>
    </row>
    <row r="50" spans="1:6" x14ac:dyDescent="0.25">
      <c r="A50" s="310" t="s">
        <v>417</v>
      </c>
      <c r="B50" s="310">
        <v>1</v>
      </c>
      <c r="C50" s="312">
        <v>200</v>
      </c>
      <c r="D50" s="312">
        <f t="shared" si="0"/>
        <v>200</v>
      </c>
    </row>
    <row r="51" spans="1:6" x14ac:dyDescent="0.25">
      <c r="A51" s="310" t="s">
        <v>427</v>
      </c>
      <c r="B51" s="310">
        <v>1</v>
      </c>
      <c r="C51" s="312">
        <v>700</v>
      </c>
      <c r="D51" s="312">
        <f t="shared" si="0"/>
        <v>700</v>
      </c>
    </row>
    <row r="52" spans="1:6" x14ac:dyDescent="0.25">
      <c r="A52" s="310" t="s">
        <v>421</v>
      </c>
      <c r="B52" s="310">
        <v>1</v>
      </c>
      <c r="C52" s="312">
        <v>125</v>
      </c>
      <c r="D52" s="312">
        <f t="shared" si="0"/>
        <v>125</v>
      </c>
    </row>
    <row r="54" spans="1:6" x14ac:dyDescent="0.25">
      <c r="A54" s="310" t="s">
        <v>428</v>
      </c>
    </row>
    <row r="55" spans="1:6" x14ac:dyDescent="0.25">
      <c r="A55" s="310" t="s">
        <v>429</v>
      </c>
      <c r="B55" s="310">
        <v>6</v>
      </c>
      <c r="C55" s="312">
        <v>900</v>
      </c>
      <c r="D55" s="312">
        <f>B55*C55</f>
        <v>5400</v>
      </c>
    </row>
    <row r="56" spans="1:6" x14ac:dyDescent="0.25">
      <c r="A56" s="310" t="s">
        <v>430</v>
      </c>
      <c r="B56" s="310">
        <v>1</v>
      </c>
      <c r="D56" s="312">
        <v>5500</v>
      </c>
    </row>
    <row r="57" spans="1:6" x14ac:dyDescent="0.25">
      <c r="A57" s="310" t="s">
        <v>431</v>
      </c>
      <c r="B57" s="310">
        <v>1</v>
      </c>
      <c r="D57" s="312">
        <v>36147</v>
      </c>
    </row>
    <row r="58" spans="1:6" x14ac:dyDescent="0.25">
      <c r="A58" s="310" t="s">
        <v>432</v>
      </c>
      <c r="B58" s="310">
        <v>1</v>
      </c>
      <c r="D58" s="312">
        <v>27054</v>
      </c>
    </row>
    <row r="59" spans="1:6" x14ac:dyDescent="0.25">
      <c r="A59" s="310" t="s">
        <v>433</v>
      </c>
      <c r="B59" s="310">
        <v>2</v>
      </c>
      <c r="C59" s="312">
        <v>650</v>
      </c>
      <c r="D59" s="312">
        <f>B59*C59</f>
        <v>1300</v>
      </c>
      <c r="F59" s="310" t="s">
        <v>434</v>
      </c>
    </row>
    <row r="61" spans="1:6" x14ac:dyDescent="0.25">
      <c r="A61" s="310" t="s">
        <v>435</v>
      </c>
      <c r="D61" s="313">
        <f>SUM(D4:D59)</f>
        <v>243271</v>
      </c>
    </row>
    <row r="62" spans="1:6" x14ac:dyDescent="0.25">
      <c r="A62" s="310" t="s">
        <v>436</v>
      </c>
      <c r="D62" s="313">
        <f>[5]InfrastructureTech!D15</f>
        <v>32950</v>
      </c>
    </row>
    <row r="63" spans="1:6" x14ac:dyDescent="0.25">
      <c r="A63" s="310" t="s">
        <v>437</v>
      </c>
      <c r="D63" s="312">
        <v>40000</v>
      </c>
    </row>
    <row r="64" spans="1:6" x14ac:dyDescent="0.25">
      <c r="C64" s="313" t="s">
        <v>286</v>
      </c>
      <c r="D64" s="313">
        <f>D61+D62+D63</f>
        <v>316221</v>
      </c>
    </row>
    <row r="66" spans="1:4" x14ac:dyDescent="0.25">
      <c r="A66" s="376" t="s">
        <v>484</v>
      </c>
      <c r="B66" s="310">
        <v>14</v>
      </c>
      <c r="C66" s="312">
        <v>360</v>
      </c>
      <c r="D66" s="312">
        <f>C66*B66</f>
        <v>5040</v>
      </c>
    </row>
  </sheetData>
  <pageMargins left="0.7" right="0.7" top="0.75" bottom="0.75" header="0.3" footer="0.3"/>
  <pageSetup paperSize="142" scale="91" fitToHeight="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/>
  <dimension ref="A1:E20"/>
  <sheetViews>
    <sheetView workbookViewId="0">
      <selection activeCell="C57" sqref="C57"/>
    </sheetView>
  </sheetViews>
  <sheetFormatPr defaultColWidth="9.140625" defaultRowHeight="15" x14ac:dyDescent="0.25"/>
  <cols>
    <col min="1" max="1" width="40.28515625" style="310" customWidth="1"/>
    <col min="2" max="2" width="9.140625" style="310"/>
    <col min="3" max="3" width="9.140625" style="312"/>
    <col min="4" max="4" width="9.140625" style="310"/>
    <col min="5" max="5" width="48.140625" style="310" bestFit="1" customWidth="1"/>
    <col min="6" max="16384" width="9.140625" style="310"/>
  </cols>
  <sheetData>
    <row r="1" spans="1:5" x14ac:dyDescent="0.25">
      <c r="A1" s="308" t="s">
        <v>438</v>
      </c>
      <c r="B1" s="308" t="s">
        <v>405</v>
      </c>
      <c r="C1" s="309" t="s">
        <v>207</v>
      </c>
      <c r="D1" s="308" t="s">
        <v>286</v>
      </c>
    </row>
    <row r="2" spans="1:5" x14ac:dyDescent="0.25">
      <c r="A2" s="310" t="s">
        <v>439</v>
      </c>
      <c r="B2" s="310">
        <v>25</v>
      </c>
      <c r="C2" s="312">
        <v>250</v>
      </c>
      <c r="D2" s="312">
        <f>B2*C2</f>
        <v>6250</v>
      </c>
      <c r="E2" s="310" t="s">
        <v>440</v>
      </c>
    </row>
    <row r="3" spans="1:5" x14ac:dyDescent="0.25">
      <c r="A3" s="310" t="s">
        <v>441</v>
      </c>
      <c r="B3" s="310">
        <v>2</v>
      </c>
      <c r="C3" s="312">
        <v>1450</v>
      </c>
      <c r="D3" s="312">
        <f>B3*C3</f>
        <v>2900</v>
      </c>
    </row>
    <row r="4" spans="1:5" x14ac:dyDescent="0.25">
      <c r="A4" s="310" t="s">
        <v>442</v>
      </c>
      <c r="B4" s="310">
        <v>2</v>
      </c>
      <c r="C4" s="312">
        <v>150</v>
      </c>
      <c r="D4" s="312">
        <f>B4*C4</f>
        <v>300</v>
      </c>
    </row>
    <row r="5" spans="1:5" x14ac:dyDescent="0.25">
      <c r="A5" s="310" t="s">
        <v>443</v>
      </c>
      <c r="B5" s="310">
        <v>1</v>
      </c>
      <c r="C5" s="312">
        <v>6500</v>
      </c>
      <c r="D5" s="312">
        <f>B5*C5</f>
        <v>6500</v>
      </c>
      <c r="E5" s="310" t="s">
        <v>444</v>
      </c>
    </row>
    <row r="6" spans="1:5" x14ac:dyDescent="0.25">
      <c r="D6" s="312"/>
    </row>
    <row r="7" spans="1:5" x14ac:dyDescent="0.25">
      <c r="A7" s="311" t="s">
        <v>445</v>
      </c>
      <c r="D7" s="312"/>
    </row>
    <row r="8" spans="1:5" x14ac:dyDescent="0.25">
      <c r="A8" s="310" t="s">
        <v>446</v>
      </c>
      <c r="B8" s="310">
        <v>3</v>
      </c>
      <c r="C8" s="312">
        <v>4000</v>
      </c>
      <c r="D8" s="312">
        <f t="shared" ref="D8:D13" si="0">B8*C8</f>
        <v>12000</v>
      </c>
    </row>
    <row r="9" spans="1:5" x14ac:dyDescent="0.25">
      <c r="D9" s="312"/>
    </row>
    <row r="10" spans="1:5" x14ac:dyDescent="0.25">
      <c r="A10" s="311" t="s">
        <v>447</v>
      </c>
      <c r="D10" s="312"/>
    </row>
    <row r="11" spans="1:5" x14ac:dyDescent="0.25">
      <c r="A11" s="310" t="s">
        <v>448</v>
      </c>
      <c r="B11" s="310">
        <v>8</v>
      </c>
      <c r="C11" s="312">
        <v>600</v>
      </c>
      <c r="D11" s="312">
        <f t="shared" si="0"/>
        <v>4800</v>
      </c>
    </row>
    <row r="12" spans="1:5" x14ac:dyDescent="0.25">
      <c r="D12" s="312"/>
    </row>
    <row r="13" spans="1:5" x14ac:dyDescent="0.25">
      <c r="A13" s="310" t="s">
        <v>449</v>
      </c>
      <c r="B13" s="310">
        <v>2</v>
      </c>
      <c r="C13" s="312">
        <v>100</v>
      </c>
      <c r="D13" s="312">
        <f t="shared" si="0"/>
        <v>200</v>
      </c>
    </row>
    <row r="14" spans="1:5" x14ac:dyDescent="0.25">
      <c r="D14" s="312"/>
    </row>
    <row r="15" spans="1:5" x14ac:dyDescent="0.25">
      <c r="C15" s="312" t="s">
        <v>286</v>
      </c>
      <c r="D15" s="372">
        <f>SUM(D2:D13)</f>
        <v>32950</v>
      </c>
    </row>
    <row r="16" spans="1:5" x14ac:dyDescent="0.25">
      <c r="D16" s="319"/>
    </row>
    <row r="17" spans="1:4" x14ac:dyDescent="0.25">
      <c r="A17" s="310" t="s">
        <v>450</v>
      </c>
      <c r="D17" s="372">
        <v>40000</v>
      </c>
    </row>
    <row r="18" spans="1:4" x14ac:dyDescent="0.25">
      <c r="D18" s="319"/>
    </row>
    <row r="19" spans="1:4" ht="15.75" thickBot="1" x14ac:dyDescent="0.3">
      <c r="C19" s="371" t="s">
        <v>480</v>
      </c>
      <c r="D19" s="373">
        <f>D17+D15</f>
        <v>72950</v>
      </c>
    </row>
    <row r="20" spans="1:4" ht="15.75" thickTop="1" x14ac:dyDescent="0.25"/>
  </sheetData>
  <pageMargins left="0.7" right="0.7" top="0.75" bottom="0.75" header="0.3" footer="0.3"/>
  <pageSetup paperSize="14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K68"/>
  <sheetViews>
    <sheetView topLeftCell="A16" workbookViewId="0">
      <selection activeCell="C57" sqref="C57"/>
    </sheetView>
  </sheetViews>
  <sheetFormatPr defaultRowHeight="12.75" x14ac:dyDescent="0.2"/>
  <cols>
    <col min="1" max="1" width="49.140625" bestFit="1" customWidth="1"/>
    <col min="3" max="3" width="11.140625" bestFit="1" customWidth="1"/>
    <col min="4" max="4" width="15.28515625" bestFit="1" customWidth="1"/>
    <col min="5" max="5" width="15.28515625" style="180" customWidth="1"/>
    <col min="6" max="6" width="15.28515625" customWidth="1"/>
    <col min="7" max="7" width="8.28515625" customWidth="1"/>
    <col min="8" max="8" width="11.140625" bestFit="1" customWidth="1"/>
    <col min="10" max="10" width="37.28515625" bestFit="1" customWidth="1"/>
  </cols>
  <sheetData>
    <row r="1" spans="1:11" x14ac:dyDescent="0.2">
      <c r="A1" s="561" t="s">
        <v>384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</row>
    <row r="2" spans="1:11" x14ac:dyDescent="0.2">
      <c r="A2" s="231"/>
      <c r="B2" s="231"/>
      <c r="C2" s="231"/>
      <c r="D2" s="231"/>
      <c r="E2" s="145"/>
      <c r="F2" s="231"/>
      <c r="G2" s="231"/>
      <c r="H2" s="231"/>
      <c r="I2" s="231"/>
      <c r="J2" s="231"/>
      <c r="K2" s="231"/>
    </row>
    <row r="3" spans="1:11" x14ac:dyDescent="0.2">
      <c r="A3" s="8"/>
      <c r="B3" s="146" t="s">
        <v>206</v>
      </c>
      <c r="C3" s="147" t="s">
        <v>207</v>
      </c>
      <c r="D3" s="148"/>
      <c r="E3" s="151" t="s">
        <v>383</v>
      </c>
      <c r="F3" s="148" t="s">
        <v>382</v>
      </c>
      <c r="G3" s="147" t="s">
        <v>208</v>
      </c>
      <c r="H3" s="147" t="s">
        <v>381</v>
      </c>
      <c r="I3" s="8"/>
      <c r="J3" s="149" t="s">
        <v>211</v>
      </c>
      <c r="K3" s="8"/>
    </row>
    <row r="4" spans="1:11" ht="15" x14ac:dyDescent="0.2">
      <c r="A4" s="150" t="s">
        <v>212</v>
      </c>
      <c r="B4" s="151"/>
      <c r="C4" s="148"/>
      <c r="D4" s="148"/>
      <c r="E4" s="151"/>
      <c r="F4" s="148"/>
      <c r="G4" s="148"/>
      <c r="H4" s="148"/>
      <c r="I4" s="8"/>
      <c r="J4" s="149" t="s">
        <v>215</v>
      </c>
      <c r="K4" s="8"/>
    </row>
    <row r="5" spans="1:11" ht="15" x14ac:dyDescent="0.2">
      <c r="A5" s="152" t="s">
        <v>380</v>
      </c>
      <c r="B5" s="151">
        <v>270</v>
      </c>
      <c r="C5" s="148">
        <v>750</v>
      </c>
      <c r="D5" s="148">
        <f>B5*C5</f>
        <v>202500</v>
      </c>
      <c r="E5" s="151">
        <v>145</v>
      </c>
      <c r="F5" s="148">
        <v>588.62</v>
      </c>
      <c r="G5" s="148"/>
      <c r="H5" s="148">
        <f t="shared" ref="H5:H15" si="0">E5*F5</f>
        <v>85349.9</v>
      </c>
      <c r="I5" s="8"/>
      <c r="J5" s="8" t="s">
        <v>379</v>
      </c>
      <c r="K5" s="8"/>
    </row>
    <row r="6" spans="1:11" ht="15" x14ac:dyDescent="0.2">
      <c r="A6" s="152" t="s">
        <v>378</v>
      </c>
      <c r="B6" s="151">
        <v>110</v>
      </c>
      <c r="C6" s="148">
        <v>750</v>
      </c>
      <c r="D6" s="148">
        <f>B6*C6</f>
        <v>82500</v>
      </c>
      <c r="E6" s="151">
        <v>108</v>
      </c>
      <c r="F6" s="148">
        <v>588.62</v>
      </c>
      <c r="G6" s="148"/>
      <c r="H6" s="148">
        <f t="shared" si="0"/>
        <v>63570.96</v>
      </c>
      <c r="I6" s="8"/>
      <c r="J6" s="8"/>
      <c r="K6" s="8"/>
    </row>
    <row r="7" spans="1:11" ht="15" x14ac:dyDescent="0.2">
      <c r="A7" s="152" t="s">
        <v>377</v>
      </c>
      <c r="B7" s="151"/>
      <c r="C7" s="148"/>
      <c r="D7" s="148"/>
      <c r="E7" s="151">
        <v>52</v>
      </c>
      <c r="F7" s="148">
        <v>588.62</v>
      </c>
      <c r="G7" s="148"/>
      <c r="H7" s="148">
        <f t="shared" si="0"/>
        <v>30608.240000000002</v>
      </c>
      <c r="I7" s="8"/>
      <c r="J7" s="8"/>
      <c r="K7" s="8"/>
    </row>
    <row r="8" spans="1:11" ht="15" x14ac:dyDescent="0.2">
      <c r="A8" s="152" t="s">
        <v>376</v>
      </c>
      <c r="B8" s="151"/>
      <c r="C8" s="148"/>
      <c r="D8" s="148"/>
      <c r="E8" s="151">
        <v>10</v>
      </c>
      <c r="F8" s="148">
        <v>588.62</v>
      </c>
      <c r="G8" s="148"/>
      <c r="H8" s="148">
        <f t="shared" si="0"/>
        <v>5886.2</v>
      </c>
      <c r="I8" s="8"/>
      <c r="J8" s="8"/>
      <c r="K8" s="8"/>
    </row>
    <row r="9" spans="1:11" ht="15" x14ac:dyDescent="0.2">
      <c r="A9" s="152" t="s">
        <v>375</v>
      </c>
      <c r="B9" s="151"/>
      <c r="C9" s="148"/>
      <c r="D9" s="148"/>
      <c r="E9" s="151">
        <v>315</v>
      </c>
      <c r="F9" s="148">
        <v>53.68</v>
      </c>
      <c r="G9" s="148"/>
      <c r="H9" s="148">
        <f t="shared" si="0"/>
        <v>16909.2</v>
      </c>
      <c r="I9" s="8"/>
      <c r="J9" s="8"/>
      <c r="K9" s="8"/>
    </row>
    <row r="10" spans="1:11" ht="15" x14ac:dyDescent="0.2">
      <c r="A10" s="152" t="s">
        <v>374</v>
      </c>
      <c r="B10" s="151">
        <v>400</v>
      </c>
      <c r="C10" s="148">
        <v>22.8</v>
      </c>
      <c r="D10" s="148">
        <f>B10*C10</f>
        <v>9120</v>
      </c>
      <c r="E10" s="151">
        <v>100</v>
      </c>
      <c r="F10" s="148">
        <v>22.8</v>
      </c>
      <c r="G10" s="148"/>
      <c r="H10" s="148">
        <f t="shared" si="0"/>
        <v>2280</v>
      </c>
      <c r="I10" s="8"/>
      <c r="J10" s="8"/>
      <c r="K10" s="8"/>
    </row>
    <row r="11" spans="1:11" ht="15" x14ac:dyDescent="0.2">
      <c r="A11" s="152" t="s">
        <v>373</v>
      </c>
      <c r="B11" s="151">
        <v>120</v>
      </c>
      <c r="C11" s="148">
        <v>51</v>
      </c>
      <c r="D11" s="148">
        <f>B11*C11</f>
        <v>6120</v>
      </c>
      <c r="E11" s="151">
        <v>120</v>
      </c>
      <c r="F11" s="148">
        <v>50.91</v>
      </c>
      <c r="G11" s="148"/>
      <c r="H11" s="148">
        <f t="shared" si="0"/>
        <v>6109.2</v>
      </c>
      <c r="I11" s="8"/>
      <c r="J11" s="149" t="s">
        <v>371</v>
      </c>
      <c r="K11" s="8"/>
    </row>
    <row r="12" spans="1:11" ht="15" x14ac:dyDescent="0.2">
      <c r="A12" s="152" t="s">
        <v>372</v>
      </c>
      <c r="B12" s="151">
        <v>120</v>
      </c>
      <c r="C12" s="148">
        <v>53</v>
      </c>
      <c r="D12" s="148">
        <f>B12*C12</f>
        <v>6360</v>
      </c>
      <c r="E12" s="151">
        <v>120</v>
      </c>
      <c r="F12" s="148">
        <v>53.68</v>
      </c>
      <c r="G12" s="148"/>
      <c r="H12" s="208">
        <f t="shared" si="0"/>
        <v>6441.6</v>
      </c>
      <c r="I12" s="8"/>
      <c r="J12" s="149" t="s">
        <v>371</v>
      </c>
      <c r="K12" s="8"/>
    </row>
    <row r="13" spans="1:11" ht="15" x14ac:dyDescent="0.2">
      <c r="A13" s="152" t="s">
        <v>370</v>
      </c>
      <c r="B13" s="151"/>
      <c r="C13" s="148"/>
      <c r="D13" s="148"/>
      <c r="E13" s="151">
        <v>225</v>
      </c>
      <c r="F13" s="148">
        <v>311</v>
      </c>
      <c r="G13" s="148"/>
      <c r="H13" s="246">
        <f t="shared" si="0"/>
        <v>69975</v>
      </c>
      <c r="I13" s="8"/>
      <c r="J13" s="149" t="s">
        <v>369</v>
      </c>
      <c r="K13" s="8"/>
    </row>
    <row r="14" spans="1:11" ht="15" x14ac:dyDescent="0.2">
      <c r="A14" s="152" t="s">
        <v>368</v>
      </c>
      <c r="B14" s="151"/>
      <c r="C14" s="148"/>
      <c r="D14" s="148"/>
      <c r="E14" s="151">
        <v>225</v>
      </c>
      <c r="F14" s="148">
        <v>25</v>
      </c>
      <c r="G14" s="148"/>
      <c r="H14" s="246">
        <f t="shared" si="0"/>
        <v>5625</v>
      </c>
      <c r="I14" s="8"/>
      <c r="J14" s="149"/>
      <c r="K14" s="8"/>
    </row>
    <row r="15" spans="1:11" ht="15" x14ac:dyDescent="0.2">
      <c r="A15" s="152" t="s">
        <v>367</v>
      </c>
      <c r="B15" s="151"/>
      <c r="C15" s="148"/>
      <c r="D15" s="148"/>
      <c r="E15" s="151">
        <v>7</v>
      </c>
      <c r="F15" s="148">
        <v>1469</v>
      </c>
      <c r="G15" s="148"/>
      <c r="H15" s="246">
        <f t="shared" si="0"/>
        <v>10283</v>
      </c>
      <c r="I15" s="8"/>
      <c r="J15" s="8"/>
      <c r="K15" s="8"/>
    </row>
    <row r="16" spans="1:11" ht="15" x14ac:dyDescent="0.2">
      <c r="A16" s="152"/>
      <c r="B16" s="151"/>
      <c r="C16" s="148"/>
      <c r="D16" s="148"/>
      <c r="E16" s="151"/>
      <c r="F16" s="148"/>
      <c r="G16" s="148"/>
      <c r="H16" s="148"/>
      <c r="I16" s="8"/>
      <c r="J16" s="8"/>
      <c r="K16" s="8"/>
    </row>
    <row r="17" spans="1:11" ht="15" x14ac:dyDescent="0.2">
      <c r="A17" s="152"/>
      <c r="B17" s="151"/>
      <c r="C17" s="158" t="s">
        <v>236</v>
      </c>
      <c r="D17" s="159">
        <f>SUM(D5:D12)</f>
        <v>306600</v>
      </c>
      <c r="E17" s="245"/>
      <c r="F17" s="159"/>
      <c r="G17" s="158" t="s">
        <v>236</v>
      </c>
      <c r="H17" s="244">
        <f>SUM(H5:H15)</f>
        <v>303038.30000000005</v>
      </c>
      <c r="I17" s="160"/>
      <c r="J17" s="160"/>
      <c r="K17" s="8"/>
    </row>
    <row r="18" spans="1:11" ht="15" x14ac:dyDescent="0.2">
      <c r="A18" s="152"/>
      <c r="B18" s="151"/>
      <c r="C18" s="148"/>
      <c r="D18" s="148"/>
      <c r="E18" s="151"/>
      <c r="F18" s="148"/>
      <c r="G18" s="148"/>
      <c r="H18" s="148"/>
      <c r="I18" s="8"/>
      <c r="J18" s="8"/>
      <c r="K18" s="8"/>
    </row>
    <row r="19" spans="1:11" ht="15" x14ac:dyDescent="0.2">
      <c r="A19" s="150" t="s">
        <v>366</v>
      </c>
      <c r="B19" s="151"/>
      <c r="C19" s="148"/>
      <c r="D19" s="148"/>
      <c r="E19" s="151"/>
      <c r="F19" s="148"/>
      <c r="G19" s="148"/>
      <c r="H19" s="148"/>
      <c r="I19" s="160"/>
      <c r="J19" s="160"/>
      <c r="K19" s="8"/>
    </row>
    <row r="20" spans="1:11" ht="15" x14ac:dyDescent="0.2">
      <c r="A20" s="152" t="s">
        <v>365</v>
      </c>
      <c r="B20" s="151">
        <v>1</v>
      </c>
      <c r="C20" s="148">
        <v>10000</v>
      </c>
      <c r="D20" s="148">
        <f>B20*C20</f>
        <v>10000</v>
      </c>
      <c r="E20" s="151"/>
      <c r="F20" s="148"/>
      <c r="G20" s="148"/>
      <c r="H20" s="246">
        <v>10000</v>
      </c>
      <c r="I20" s="8"/>
      <c r="J20" s="149" t="s">
        <v>364</v>
      </c>
      <c r="K20" s="8"/>
    </row>
    <row r="21" spans="1:11" ht="15" x14ac:dyDescent="0.2">
      <c r="A21" s="152" t="s">
        <v>363</v>
      </c>
      <c r="B21" s="151">
        <v>1</v>
      </c>
      <c r="C21" s="148">
        <v>26000</v>
      </c>
      <c r="D21" s="148">
        <f>B21*C21</f>
        <v>26000</v>
      </c>
      <c r="E21" s="151"/>
      <c r="F21" s="148"/>
      <c r="G21" s="148"/>
      <c r="H21" s="246">
        <v>26000</v>
      </c>
      <c r="I21" s="8"/>
      <c r="J21" s="8"/>
      <c r="K21" s="8"/>
    </row>
    <row r="22" spans="1:11" ht="15" x14ac:dyDescent="0.2">
      <c r="A22" s="152" t="s">
        <v>362</v>
      </c>
      <c r="B22" s="151">
        <v>1</v>
      </c>
      <c r="C22" s="148">
        <v>15000</v>
      </c>
      <c r="D22" s="148">
        <f>B22*C22</f>
        <v>15000</v>
      </c>
      <c r="E22" s="151"/>
      <c r="F22" s="148"/>
      <c r="G22" s="148"/>
      <c r="H22" s="246">
        <v>15000</v>
      </c>
      <c r="I22" s="8"/>
      <c r="J22" s="8"/>
      <c r="K22" s="8"/>
    </row>
    <row r="23" spans="1:11" ht="15" x14ac:dyDescent="0.2">
      <c r="A23" s="152" t="s">
        <v>361</v>
      </c>
      <c r="B23" s="151">
        <v>1</v>
      </c>
      <c r="C23" s="148">
        <v>8000</v>
      </c>
      <c r="D23" s="148">
        <f>B23*C23</f>
        <v>8000</v>
      </c>
      <c r="E23" s="151">
        <v>1</v>
      </c>
      <c r="F23" s="148">
        <v>7037.93</v>
      </c>
      <c r="G23" s="148"/>
      <c r="H23" s="148">
        <f>E23*F23</f>
        <v>7037.93</v>
      </c>
      <c r="I23" s="8"/>
      <c r="J23" s="8"/>
      <c r="K23" s="8"/>
    </row>
    <row r="24" spans="1:11" ht="15" x14ac:dyDescent="0.2">
      <c r="A24" s="152"/>
      <c r="B24" s="151"/>
      <c r="C24" s="148"/>
      <c r="D24" s="148"/>
      <c r="E24" s="151"/>
      <c r="F24" s="148"/>
      <c r="G24" s="148"/>
      <c r="H24" s="148"/>
      <c r="I24" s="8"/>
      <c r="J24" s="8"/>
      <c r="K24" s="8"/>
    </row>
    <row r="25" spans="1:11" ht="15" x14ac:dyDescent="0.25">
      <c r="A25" s="253"/>
      <c r="B25" s="151"/>
      <c r="C25" s="158" t="s">
        <v>360</v>
      </c>
      <c r="D25" s="248">
        <f>SUM(D20:D23)</f>
        <v>59000</v>
      </c>
      <c r="E25" s="249"/>
      <c r="F25" s="248"/>
      <c r="G25" s="158" t="s">
        <v>360</v>
      </c>
      <c r="H25" s="244">
        <f>SUM(H20:H23)</f>
        <v>58037.93</v>
      </c>
      <c r="I25" s="8"/>
      <c r="J25" s="8"/>
      <c r="K25" s="8"/>
    </row>
    <row r="26" spans="1:11" ht="15" x14ac:dyDescent="0.25">
      <c r="A26" s="253"/>
      <c r="B26" s="151"/>
      <c r="C26" s="158"/>
      <c r="D26" s="248"/>
      <c r="E26" s="249"/>
      <c r="F26" s="248"/>
      <c r="G26" s="148"/>
      <c r="H26" s="148"/>
      <c r="I26" s="8"/>
      <c r="J26" s="8"/>
      <c r="K26" s="8"/>
    </row>
    <row r="27" spans="1:11" ht="15" x14ac:dyDescent="0.25">
      <c r="A27" s="250" t="s">
        <v>359</v>
      </c>
      <c r="B27" s="151"/>
      <c r="C27" s="158"/>
      <c r="D27" s="248"/>
      <c r="E27" s="249"/>
      <c r="F27" s="248"/>
      <c r="G27" s="148"/>
      <c r="H27" s="148"/>
      <c r="I27" s="8"/>
      <c r="J27" s="8"/>
      <c r="K27" s="8"/>
    </row>
    <row r="28" spans="1:11" ht="15" x14ac:dyDescent="0.25">
      <c r="A28" s="253" t="s">
        <v>358</v>
      </c>
      <c r="B28" s="151"/>
      <c r="C28" s="158"/>
      <c r="D28" s="251">
        <v>4000</v>
      </c>
      <c r="E28" s="252"/>
      <c r="F28" s="251"/>
      <c r="G28" s="148"/>
      <c r="H28" s="246">
        <v>4000</v>
      </c>
      <c r="I28" s="8"/>
      <c r="J28" s="8"/>
      <c r="K28" s="8"/>
    </row>
    <row r="29" spans="1:11" ht="15" x14ac:dyDescent="0.25">
      <c r="A29" s="253" t="s">
        <v>357</v>
      </c>
      <c r="B29" s="151"/>
      <c r="C29" s="158"/>
      <c r="D29" s="251">
        <v>10000</v>
      </c>
      <c r="E29" s="252"/>
      <c r="F29" s="251"/>
      <c r="G29" s="148"/>
      <c r="H29" s="246">
        <v>10000</v>
      </c>
      <c r="I29" s="8"/>
      <c r="J29" s="8"/>
      <c r="K29" s="8"/>
    </row>
    <row r="30" spans="1:11" ht="15" x14ac:dyDescent="0.25">
      <c r="A30" s="253"/>
      <c r="B30" s="151"/>
      <c r="C30" s="158"/>
      <c r="D30" s="251"/>
      <c r="E30" s="252"/>
      <c r="F30" s="251"/>
      <c r="G30" s="148"/>
      <c r="H30" s="148"/>
      <c r="I30" s="8"/>
      <c r="J30" s="8"/>
      <c r="K30" s="8"/>
    </row>
    <row r="31" spans="1:11" ht="15" x14ac:dyDescent="0.25">
      <c r="A31" s="250"/>
      <c r="B31" s="151"/>
      <c r="C31" s="158" t="s">
        <v>356</v>
      </c>
      <c r="D31" s="248">
        <f>SUM(D28:D30)</f>
        <v>14000</v>
      </c>
      <c r="E31" s="249"/>
      <c r="F31" s="248"/>
      <c r="G31" s="158" t="s">
        <v>356</v>
      </c>
      <c r="H31" s="244">
        <f>SUM(H28:H30)</f>
        <v>14000</v>
      </c>
      <c r="I31" s="8"/>
      <c r="J31" s="8"/>
      <c r="K31" s="8"/>
    </row>
    <row r="32" spans="1:11" ht="15" x14ac:dyDescent="0.2">
      <c r="A32" s="152"/>
      <c r="B32" s="151"/>
      <c r="C32" s="148"/>
      <c r="D32" s="148"/>
      <c r="E32" s="151"/>
      <c r="F32" s="148"/>
      <c r="G32" s="148"/>
      <c r="H32" s="148"/>
      <c r="I32" s="8"/>
      <c r="J32" s="8"/>
      <c r="K32" s="8"/>
    </row>
    <row r="33" spans="1:11" x14ac:dyDescent="0.2">
      <c r="A33" s="168" t="s">
        <v>259</v>
      </c>
      <c r="B33" s="151"/>
      <c r="C33" s="148"/>
      <c r="D33" s="169"/>
      <c r="E33" s="243"/>
      <c r="F33" s="169"/>
      <c r="G33" s="148"/>
      <c r="H33" s="148"/>
      <c r="I33" s="8"/>
      <c r="J33" s="8"/>
      <c r="K33" s="8"/>
    </row>
    <row r="34" spans="1:11" ht="15" x14ac:dyDescent="0.2">
      <c r="A34" s="152"/>
      <c r="B34" s="151"/>
      <c r="C34" s="148"/>
      <c r="D34" s="148"/>
      <c r="E34" s="151"/>
      <c r="F34" s="148"/>
      <c r="G34" s="148"/>
      <c r="H34" s="148"/>
      <c r="I34" s="8"/>
      <c r="J34" s="8"/>
      <c r="K34" s="8"/>
    </row>
    <row r="35" spans="1:11" ht="15" x14ac:dyDescent="0.2">
      <c r="A35" s="152"/>
      <c r="B35" s="151"/>
      <c r="C35" s="158" t="s">
        <v>270</v>
      </c>
      <c r="D35" s="159">
        <f>SUM(D34:D34)</f>
        <v>0</v>
      </c>
      <c r="E35" s="245"/>
      <c r="F35" s="159"/>
      <c r="G35" s="158" t="s">
        <v>355</v>
      </c>
      <c r="H35" s="244">
        <v>0</v>
      </c>
      <c r="I35" s="8"/>
      <c r="J35" s="8"/>
      <c r="K35" s="8"/>
    </row>
    <row r="36" spans="1:11" ht="15" x14ac:dyDescent="0.2">
      <c r="A36" s="150" t="s">
        <v>271</v>
      </c>
      <c r="B36" s="151"/>
      <c r="C36" s="158"/>
      <c r="D36" s="159"/>
      <c r="E36" s="245"/>
      <c r="F36" s="159"/>
      <c r="G36" s="148"/>
      <c r="H36" s="148"/>
      <c r="I36" s="8"/>
      <c r="J36" s="8"/>
      <c r="K36" s="8"/>
    </row>
    <row r="37" spans="1:11" ht="15" x14ac:dyDescent="0.2">
      <c r="A37" s="152"/>
      <c r="B37" s="151"/>
      <c r="C37" s="158"/>
      <c r="D37" s="159"/>
      <c r="E37" s="245"/>
      <c r="F37" s="159"/>
      <c r="G37" s="148"/>
      <c r="H37" s="148"/>
      <c r="I37" s="8"/>
      <c r="J37" s="8"/>
      <c r="K37" s="8"/>
    </row>
    <row r="38" spans="1:11" ht="15" x14ac:dyDescent="0.2">
      <c r="A38" s="152" t="s">
        <v>354</v>
      </c>
      <c r="B38" s="151"/>
      <c r="C38" s="158"/>
      <c r="D38" s="147">
        <v>20000</v>
      </c>
      <c r="E38" s="146"/>
      <c r="F38" s="147"/>
      <c r="G38" s="148"/>
      <c r="H38" s="246">
        <v>20000</v>
      </c>
      <c r="I38" s="8"/>
      <c r="J38" s="8"/>
      <c r="K38" s="8"/>
    </row>
    <row r="39" spans="1:11" ht="15" x14ac:dyDescent="0.2">
      <c r="A39" s="152" t="s">
        <v>276</v>
      </c>
      <c r="B39" s="151"/>
      <c r="C39" s="158"/>
      <c r="D39" s="172">
        <v>3400</v>
      </c>
      <c r="E39" s="247"/>
      <c r="F39" s="172"/>
      <c r="G39" s="148"/>
      <c r="H39" s="246">
        <v>3400</v>
      </c>
      <c r="I39" s="8"/>
      <c r="J39" s="8"/>
      <c r="K39" s="8"/>
    </row>
    <row r="40" spans="1:11" ht="15" x14ac:dyDescent="0.2">
      <c r="A40" s="152"/>
      <c r="B40" s="151"/>
      <c r="C40" s="158"/>
      <c r="D40" s="147"/>
      <c r="E40" s="146"/>
      <c r="F40" s="147"/>
      <c r="G40" s="148"/>
      <c r="H40" s="148"/>
      <c r="I40" s="8"/>
      <c r="J40" s="8"/>
      <c r="K40" s="8"/>
    </row>
    <row r="41" spans="1:11" ht="15" x14ac:dyDescent="0.2">
      <c r="A41" s="152"/>
      <c r="B41" s="151"/>
      <c r="C41" s="158" t="s">
        <v>279</v>
      </c>
      <c r="D41" s="159">
        <f>SUM(D36:D40)</f>
        <v>23400</v>
      </c>
      <c r="E41" s="245"/>
      <c r="F41" s="159"/>
      <c r="G41" s="158" t="s">
        <v>279</v>
      </c>
      <c r="H41" s="244">
        <f>SUM(H38:H40)</f>
        <v>23400</v>
      </c>
      <c r="I41" s="8"/>
      <c r="J41" s="8"/>
      <c r="K41" s="8"/>
    </row>
    <row r="42" spans="1:11" ht="15" x14ac:dyDescent="0.2">
      <c r="A42" s="152"/>
      <c r="B42" s="151"/>
      <c r="C42" s="148"/>
      <c r="D42" s="148"/>
      <c r="E42" s="151"/>
      <c r="F42" s="148"/>
      <c r="G42" s="148"/>
      <c r="H42" s="148"/>
      <c r="I42" s="8"/>
      <c r="J42" s="8"/>
      <c r="K42" s="8"/>
    </row>
    <row r="43" spans="1:11" x14ac:dyDescent="0.2">
      <c r="A43" s="174"/>
      <c r="B43" s="151"/>
      <c r="C43" s="148"/>
      <c r="D43" s="169"/>
      <c r="E43" s="243"/>
      <c r="F43" s="169"/>
      <c r="G43" s="148"/>
      <c r="H43" s="148"/>
      <c r="I43" s="8"/>
      <c r="J43" s="8"/>
      <c r="K43" s="8"/>
    </row>
    <row r="44" spans="1:11" ht="15" x14ac:dyDescent="0.2">
      <c r="A44" s="175"/>
      <c r="B44" s="176"/>
      <c r="C44" s="158" t="s">
        <v>353</v>
      </c>
      <c r="D44" s="177">
        <f>D17+D25+D31+D35+D41</f>
        <v>403000</v>
      </c>
      <c r="E44" s="176"/>
      <c r="F44" s="177"/>
      <c r="G44" s="158" t="s">
        <v>352</v>
      </c>
      <c r="H44" s="177">
        <f>H17+H25+H31+H41</f>
        <v>398476.23000000004</v>
      </c>
      <c r="I44" s="178"/>
      <c r="J44" s="178" t="s">
        <v>351</v>
      </c>
      <c r="K44" s="178"/>
    </row>
    <row r="45" spans="1:11" ht="15" x14ac:dyDescent="0.2">
      <c r="A45" s="175"/>
      <c r="B45" s="176"/>
      <c r="C45" s="177"/>
      <c r="D45" s="177"/>
      <c r="E45" s="176"/>
      <c r="F45" s="177"/>
      <c r="G45" s="177"/>
      <c r="H45" s="177"/>
      <c r="I45" s="178"/>
      <c r="J45" s="8"/>
      <c r="K45" s="178"/>
    </row>
    <row r="46" spans="1:11" ht="15" x14ac:dyDescent="0.2">
      <c r="A46" s="150"/>
      <c r="B46" s="176"/>
      <c r="C46" s="177"/>
      <c r="D46" s="177"/>
      <c r="E46" s="176"/>
      <c r="F46" s="177"/>
      <c r="G46" s="177"/>
      <c r="H46" s="177"/>
      <c r="I46" s="178"/>
      <c r="J46" s="178"/>
      <c r="K46" s="178"/>
    </row>
    <row r="47" spans="1:11" ht="15" x14ac:dyDescent="0.2">
      <c r="A47" s="175"/>
      <c r="B47" s="176"/>
      <c r="C47" s="177"/>
      <c r="D47" s="177"/>
      <c r="E47" s="176"/>
      <c r="F47" s="177"/>
      <c r="G47" s="177"/>
      <c r="H47" s="177"/>
      <c r="I47" s="178"/>
      <c r="J47" s="178"/>
      <c r="K47" s="178"/>
    </row>
    <row r="48" spans="1:11" x14ac:dyDescent="0.2">
      <c r="A48" s="8"/>
      <c r="B48" s="151"/>
      <c r="C48" s="148"/>
      <c r="D48" s="148"/>
      <c r="E48" s="151"/>
      <c r="F48" s="148"/>
      <c r="G48" s="148"/>
      <c r="H48" s="148"/>
      <c r="I48" s="8"/>
      <c r="J48" s="8"/>
      <c r="K48" s="8"/>
    </row>
    <row r="49" spans="1:11" x14ac:dyDescent="0.2">
      <c r="A49" s="8"/>
      <c r="B49" s="151"/>
      <c r="C49" s="148"/>
      <c r="D49" s="148"/>
      <c r="E49" s="151"/>
      <c r="F49" s="148"/>
      <c r="G49" s="148"/>
      <c r="H49" s="148"/>
      <c r="I49" s="8"/>
      <c r="J49" s="8"/>
      <c r="K49" s="8"/>
    </row>
    <row r="50" spans="1:11" x14ac:dyDescent="0.2">
      <c r="B50" s="180"/>
      <c r="C50" s="181"/>
      <c r="D50" s="181"/>
      <c r="F50" s="181"/>
      <c r="G50" s="181"/>
      <c r="H50" s="181"/>
    </row>
    <row r="51" spans="1:11" x14ac:dyDescent="0.2">
      <c r="B51" s="180"/>
      <c r="C51" s="181"/>
      <c r="D51" s="181"/>
      <c r="F51" s="181"/>
      <c r="G51" s="181"/>
      <c r="H51" s="181"/>
    </row>
    <row r="52" spans="1:11" x14ac:dyDescent="0.2">
      <c r="B52" s="180"/>
      <c r="C52" s="181"/>
      <c r="D52" s="181"/>
      <c r="F52" s="181"/>
      <c r="G52" s="181"/>
      <c r="H52" s="181"/>
    </row>
    <row r="53" spans="1:11" x14ac:dyDescent="0.2">
      <c r="A53" s="182" t="s">
        <v>283</v>
      </c>
      <c r="B53" s="183" t="s">
        <v>284</v>
      </c>
      <c r="C53" s="184"/>
      <c r="D53" s="185"/>
      <c r="E53" s="240"/>
      <c r="F53" s="185"/>
      <c r="G53" s="181"/>
      <c r="H53" s="181"/>
      <c r="J53" s="187"/>
    </row>
    <row r="54" spans="1:11" x14ac:dyDescent="0.2">
      <c r="A54" s="186"/>
      <c r="B54" s="186"/>
      <c r="C54" s="184"/>
      <c r="D54" s="185"/>
      <c r="E54" s="240"/>
      <c r="F54" s="185"/>
      <c r="G54" s="181"/>
      <c r="H54" s="181"/>
      <c r="J54" s="187"/>
    </row>
    <row r="55" spans="1:11" x14ac:dyDescent="0.2">
      <c r="A55" s="188" t="s">
        <v>35</v>
      </c>
      <c r="B55" s="188">
        <v>651</v>
      </c>
      <c r="C55" s="185">
        <f>H9+H10+H11+H12+H14</f>
        <v>37365</v>
      </c>
      <c r="D55" s="185"/>
      <c r="E55" s="240"/>
      <c r="F55" s="185"/>
      <c r="G55" s="181"/>
      <c r="H55" s="181"/>
    </row>
    <row r="56" spans="1:11" x14ac:dyDescent="0.2">
      <c r="A56" s="189" t="s">
        <v>36</v>
      </c>
      <c r="B56" s="190">
        <v>652</v>
      </c>
      <c r="C56" s="185">
        <f>H28+H29</f>
        <v>14000</v>
      </c>
      <c r="D56" s="191"/>
      <c r="E56" s="242"/>
      <c r="F56" s="191"/>
      <c r="G56" s="181"/>
      <c r="H56" s="181"/>
    </row>
    <row r="57" spans="1:11" x14ac:dyDescent="0.2">
      <c r="A57" s="190" t="s">
        <v>37</v>
      </c>
      <c r="B57" s="190">
        <v>652</v>
      </c>
      <c r="C57" s="185">
        <f>H5+H6+H7+H8</f>
        <v>185415.3</v>
      </c>
      <c r="D57" s="191"/>
      <c r="E57" s="242"/>
      <c r="F57" s="191"/>
    </row>
    <row r="58" spans="1:11" x14ac:dyDescent="0.2">
      <c r="A58" s="190" t="s">
        <v>38</v>
      </c>
      <c r="B58" s="190">
        <v>652</v>
      </c>
      <c r="C58" s="185">
        <f>H13+H15</f>
        <v>80258</v>
      </c>
      <c r="D58" s="191"/>
      <c r="E58" s="242"/>
      <c r="F58" s="191"/>
    </row>
    <row r="59" spans="1:11" ht="15" x14ac:dyDescent="0.25">
      <c r="A59" s="190" t="s">
        <v>39</v>
      </c>
      <c r="B59" s="190">
        <v>652</v>
      </c>
      <c r="C59" s="185"/>
      <c r="D59" s="192"/>
      <c r="E59" s="241"/>
      <c r="F59" s="192"/>
    </row>
    <row r="60" spans="1:11" x14ac:dyDescent="0.2">
      <c r="A60" s="190" t="s">
        <v>44</v>
      </c>
      <c r="B60" s="190">
        <v>652</v>
      </c>
      <c r="C60" s="185"/>
      <c r="D60" s="184"/>
      <c r="E60" s="240"/>
      <c r="F60" s="184"/>
    </row>
    <row r="61" spans="1:11" x14ac:dyDescent="0.2">
      <c r="A61" s="190" t="s">
        <v>285</v>
      </c>
      <c r="B61" s="190">
        <v>652</v>
      </c>
      <c r="C61" s="185"/>
      <c r="D61" s="184"/>
      <c r="E61" s="240"/>
      <c r="F61" s="184"/>
    </row>
    <row r="62" spans="1:11" x14ac:dyDescent="0.2">
      <c r="A62" s="190" t="s">
        <v>41</v>
      </c>
      <c r="B62" s="190">
        <v>652</v>
      </c>
      <c r="C62" s="185">
        <f>H38+H39</f>
        <v>23400</v>
      </c>
      <c r="D62" s="184"/>
      <c r="E62" s="240"/>
      <c r="F62" s="184"/>
    </row>
    <row r="63" spans="1:11" x14ac:dyDescent="0.2">
      <c r="A63" s="193" t="s">
        <v>42</v>
      </c>
      <c r="B63" s="193">
        <v>734</v>
      </c>
      <c r="C63" s="185"/>
      <c r="D63" s="184"/>
      <c r="E63" s="240"/>
      <c r="F63" s="184"/>
    </row>
    <row r="64" spans="1:11" x14ac:dyDescent="0.2">
      <c r="A64" s="194" t="s">
        <v>43</v>
      </c>
      <c r="B64" s="193">
        <v>734</v>
      </c>
      <c r="C64" s="185">
        <f>H20+H21+H22+H23</f>
        <v>58037.93</v>
      </c>
      <c r="D64" s="184"/>
      <c r="E64" s="240"/>
      <c r="F64" s="184"/>
    </row>
    <row r="65" spans="1:6" x14ac:dyDescent="0.2">
      <c r="A65" s="193" t="s">
        <v>44</v>
      </c>
      <c r="B65" s="193">
        <v>734</v>
      </c>
      <c r="C65" s="185"/>
      <c r="D65" s="184"/>
      <c r="E65" s="240"/>
      <c r="F65" s="184"/>
    </row>
    <row r="66" spans="1:6" x14ac:dyDescent="0.2">
      <c r="A66" s="195" t="s">
        <v>45</v>
      </c>
      <c r="B66" s="195">
        <v>735</v>
      </c>
      <c r="C66" s="185"/>
      <c r="D66" s="184"/>
      <c r="E66" s="240"/>
      <c r="F66" s="184"/>
    </row>
    <row r="67" spans="1:6" x14ac:dyDescent="0.2">
      <c r="A67" s="184"/>
      <c r="B67" s="184"/>
      <c r="C67" s="184"/>
      <c r="D67" s="184"/>
      <c r="E67" s="240"/>
      <c r="F67" s="184"/>
    </row>
    <row r="68" spans="1:6" x14ac:dyDescent="0.2">
      <c r="A68" s="184"/>
      <c r="B68" s="196" t="s">
        <v>286</v>
      </c>
      <c r="C68" s="185">
        <f>SUM(C55:C66)</f>
        <v>398476.23</v>
      </c>
      <c r="D68" s="184"/>
      <c r="E68" s="240"/>
      <c r="F68" s="184"/>
    </row>
  </sheetData>
  <mergeCells count="1">
    <mergeCell ref="A1:K1"/>
  </mergeCells>
  <pageMargins left="0.7" right="0.7" top="0.75" bottom="0.75" header="0.3" footer="0.3"/>
  <pageSetup scale="5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O97"/>
  <sheetViews>
    <sheetView topLeftCell="A34" zoomScale="70" zoomScaleNormal="70" workbookViewId="0">
      <selection activeCell="H14" activeCellId="1" sqref="H9:H12 H14"/>
    </sheetView>
  </sheetViews>
  <sheetFormatPr defaultRowHeight="12.75" x14ac:dyDescent="0.2"/>
  <cols>
    <col min="1" max="1" width="69.28515625" customWidth="1"/>
    <col min="3" max="3" width="15.28515625" customWidth="1"/>
    <col min="4" max="4" width="15.28515625" bestFit="1" customWidth="1"/>
    <col min="5" max="5" width="9.140625" customWidth="1"/>
    <col min="6" max="6" width="10.140625" bestFit="1" customWidth="1"/>
    <col min="7" max="7" width="9.140625" style="180"/>
    <col min="8" max="8" width="10.140625" bestFit="1" customWidth="1"/>
    <col min="9" max="9" width="14" bestFit="1" customWidth="1"/>
    <col min="10" max="10" width="20.28515625" style="212" bestFit="1" customWidth="1"/>
    <col min="11" max="11" width="0" hidden="1" customWidth="1"/>
    <col min="12" max="12" width="9.140625" style="207" bestFit="1" customWidth="1"/>
    <col min="13" max="13" width="37.28515625" bestFit="1" customWidth="1"/>
  </cols>
  <sheetData>
    <row r="1" spans="1:14" x14ac:dyDescent="0.2">
      <c r="A1" s="561" t="s">
        <v>205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561"/>
    </row>
    <row r="2" spans="1:14" x14ac:dyDescent="0.2">
      <c r="A2" s="144"/>
      <c r="B2" s="144"/>
      <c r="C2" s="144"/>
      <c r="D2" s="144"/>
      <c r="E2" s="144"/>
      <c r="F2" s="144"/>
      <c r="G2" s="145"/>
      <c r="H2" s="144"/>
      <c r="I2" s="144"/>
      <c r="J2" s="144"/>
      <c r="K2" s="144"/>
      <c r="L2" s="144"/>
      <c r="M2" s="144"/>
      <c r="N2" s="144"/>
    </row>
    <row r="3" spans="1:14" x14ac:dyDescent="0.2">
      <c r="A3" s="8"/>
      <c r="B3" s="146" t="s">
        <v>206</v>
      </c>
      <c r="C3" s="147" t="s">
        <v>207</v>
      </c>
      <c r="D3" s="148"/>
      <c r="E3" s="148"/>
      <c r="F3" s="147" t="s">
        <v>208</v>
      </c>
      <c r="G3" s="146" t="s">
        <v>209</v>
      </c>
      <c r="H3" s="147" t="s">
        <v>210</v>
      </c>
      <c r="I3" s="208" t="s">
        <v>292</v>
      </c>
      <c r="J3" s="209" t="s">
        <v>293</v>
      </c>
      <c r="K3" s="8"/>
      <c r="L3" s="220" t="s">
        <v>288</v>
      </c>
      <c r="M3" s="160" t="s">
        <v>211</v>
      </c>
      <c r="N3" s="8"/>
    </row>
    <row r="4" spans="1:14" ht="15" x14ac:dyDescent="0.2">
      <c r="A4" s="150" t="s">
        <v>212</v>
      </c>
      <c r="B4" s="151"/>
      <c r="C4" s="148"/>
      <c r="D4" s="148"/>
      <c r="E4" s="148"/>
      <c r="F4" s="148"/>
      <c r="G4" s="151"/>
      <c r="H4" s="148"/>
      <c r="I4" s="148"/>
      <c r="J4" s="210"/>
      <c r="K4" s="8"/>
      <c r="L4" s="220"/>
      <c r="M4" s="8"/>
      <c r="N4" s="8"/>
    </row>
    <row r="5" spans="1:14" ht="15" x14ac:dyDescent="0.2">
      <c r="A5" s="152" t="s">
        <v>213</v>
      </c>
      <c r="B5" s="151">
        <v>110</v>
      </c>
      <c r="C5" s="148">
        <v>750</v>
      </c>
      <c r="D5" s="148">
        <f>B5*C5</f>
        <v>82500</v>
      </c>
      <c r="E5" s="148"/>
      <c r="F5" s="153" t="s">
        <v>214</v>
      </c>
      <c r="G5" s="151">
        <v>111</v>
      </c>
      <c r="H5" s="148">
        <v>618.77</v>
      </c>
      <c r="I5" s="154">
        <f>G5*H5</f>
        <v>68683.47</v>
      </c>
      <c r="J5" s="154">
        <f>I5</f>
        <v>68683.47</v>
      </c>
      <c r="K5" s="8"/>
      <c r="L5" s="220" t="s">
        <v>289</v>
      </c>
      <c r="M5" s="149" t="s">
        <v>215</v>
      </c>
      <c r="N5" s="8"/>
    </row>
    <row r="6" spans="1:14" ht="15" x14ac:dyDescent="0.2">
      <c r="A6" s="152" t="s">
        <v>216</v>
      </c>
      <c r="B6" s="151">
        <v>85</v>
      </c>
      <c r="C6" s="148">
        <v>750</v>
      </c>
      <c r="D6" s="148">
        <f>B6*C6</f>
        <v>63750</v>
      </c>
      <c r="E6" s="148"/>
      <c r="F6" s="153" t="s">
        <v>214</v>
      </c>
      <c r="G6" s="151">
        <v>77</v>
      </c>
      <c r="H6" s="148">
        <v>618.77</v>
      </c>
      <c r="I6" s="154">
        <f t="shared" ref="I6:I14" si="0">G6*H6</f>
        <v>47645.29</v>
      </c>
      <c r="J6" s="154">
        <f t="shared" ref="J6:J9" si="1">I6</f>
        <v>47645.29</v>
      </c>
      <c r="K6" s="8"/>
      <c r="L6" s="220" t="s">
        <v>289</v>
      </c>
      <c r="M6" s="8"/>
      <c r="N6" s="8"/>
    </row>
    <row r="7" spans="1:14" ht="15" x14ac:dyDescent="0.2">
      <c r="A7" s="152" t="s">
        <v>217</v>
      </c>
      <c r="B7" s="151">
        <v>80</v>
      </c>
      <c r="C7" s="148">
        <v>750</v>
      </c>
      <c r="D7" s="148">
        <f>B7*C7</f>
        <v>60000</v>
      </c>
      <c r="E7" s="148"/>
      <c r="F7" s="153" t="s">
        <v>214</v>
      </c>
      <c r="G7" s="151">
        <v>90</v>
      </c>
      <c r="H7" s="148">
        <v>618.77</v>
      </c>
      <c r="I7" s="154">
        <f t="shared" si="0"/>
        <v>55689.299999999996</v>
      </c>
      <c r="J7" s="154">
        <f t="shared" si="1"/>
        <v>55689.299999999996</v>
      </c>
      <c r="K7" s="8"/>
      <c r="L7" s="220" t="s">
        <v>289</v>
      </c>
      <c r="M7" s="8"/>
      <c r="N7" s="8"/>
    </row>
    <row r="8" spans="1:14" ht="15" x14ac:dyDescent="0.2">
      <c r="A8" s="152" t="s">
        <v>218</v>
      </c>
      <c r="B8" s="151">
        <v>25</v>
      </c>
      <c r="C8" s="148">
        <v>750</v>
      </c>
      <c r="D8" s="148">
        <f>B8*C8</f>
        <v>18750</v>
      </c>
      <c r="E8" s="148"/>
      <c r="F8" s="153" t="s">
        <v>214</v>
      </c>
      <c r="G8" s="151">
        <v>12</v>
      </c>
      <c r="H8" s="148">
        <v>618.77</v>
      </c>
      <c r="I8" s="154">
        <f t="shared" si="0"/>
        <v>7425.24</v>
      </c>
      <c r="J8" s="154">
        <f t="shared" si="1"/>
        <v>7425.24</v>
      </c>
      <c r="K8" s="8"/>
      <c r="L8" s="220" t="s">
        <v>289</v>
      </c>
      <c r="M8" s="8"/>
      <c r="N8" s="8"/>
    </row>
    <row r="9" spans="1:14" ht="15" x14ac:dyDescent="0.2">
      <c r="A9" s="152" t="s">
        <v>219</v>
      </c>
      <c r="B9" s="151"/>
      <c r="C9" s="148"/>
      <c r="D9" s="148"/>
      <c r="E9" s="148"/>
      <c r="F9" s="153" t="s">
        <v>220</v>
      </c>
      <c r="G9" s="151">
        <v>2</v>
      </c>
      <c r="H9" s="148">
        <v>618.77</v>
      </c>
      <c r="I9" s="154">
        <f t="shared" si="0"/>
        <v>1237.54</v>
      </c>
      <c r="J9" s="154">
        <f t="shared" si="1"/>
        <v>1237.54</v>
      </c>
      <c r="K9" s="8"/>
      <c r="L9" s="220" t="s">
        <v>291</v>
      </c>
      <c r="M9" s="149" t="s">
        <v>221</v>
      </c>
      <c r="N9" s="8"/>
    </row>
    <row r="10" spans="1:14" ht="15" x14ac:dyDescent="0.2">
      <c r="A10" s="152" t="s">
        <v>222</v>
      </c>
      <c r="B10" s="151"/>
      <c r="C10" s="148"/>
      <c r="D10" s="148"/>
      <c r="E10" s="148"/>
      <c r="F10" s="153" t="s">
        <v>223</v>
      </c>
      <c r="G10" s="151">
        <v>90</v>
      </c>
      <c r="H10" s="148">
        <v>26.707999999999998</v>
      </c>
      <c r="I10" s="154">
        <f t="shared" si="0"/>
        <v>2403.7199999999998</v>
      </c>
      <c r="J10" s="154">
        <v>2438.7199999999998</v>
      </c>
      <c r="K10" s="8"/>
      <c r="L10" s="220" t="s">
        <v>334</v>
      </c>
      <c r="M10" s="149" t="s">
        <v>224</v>
      </c>
      <c r="N10" s="8"/>
    </row>
    <row r="11" spans="1:14" ht="15" x14ac:dyDescent="0.2">
      <c r="A11" s="152" t="s">
        <v>225</v>
      </c>
      <c r="B11" s="151"/>
      <c r="C11" s="148"/>
      <c r="D11" s="148"/>
      <c r="E11" s="148"/>
      <c r="F11" s="153" t="s">
        <v>226</v>
      </c>
      <c r="G11" s="151">
        <v>30</v>
      </c>
      <c r="H11" s="148">
        <v>277.64</v>
      </c>
      <c r="I11" s="155">
        <f t="shared" si="0"/>
        <v>8329.1999999999989</v>
      </c>
      <c r="J11" s="155">
        <v>8329.2000000000007</v>
      </c>
      <c r="K11" s="8"/>
      <c r="L11" s="224" t="s">
        <v>333</v>
      </c>
      <c r="M11" s="156"/>
      <c r="N11" s="8"/>
    </row>
    <row r="12" spans="1:14" ht="15" x14ac:dyDescent="0.2">
      <c r="A12" s="152" t="s">
        <v>227</v>
      </c>
      <c r="B12" s="151"/>
      <c r="C12" s="148"/>
      <c r="D12" s="148"/>
      <c r="E12" s="148"/>
      <c r="F12" s="153" t="s">
        <v>226</v>
      </c>
      <c r="G12" s="151">
        <v>1</v>
      </c>
      <c r="H12" s="148">
        <v>1443.91</v>
      </c>
      <c r="I12" s="155">
        <f t="shared" si="0"/>
        <v>1443.91</v>
      </c>
      <c r="J12" s="155">
        <v>1443.91</v>
      </c>
      <c r="K12" s="8"/>
      <c r="L12" s="224" t="s">
        <v>341</v>
      </c>
      <c r="M12" s="223" t="s">
        <v>228</v>
      </c>
      <c r="N12" s="8"/>
    </row>
    <row r="13" spans="1:14" ht="15" x14ac:dyDescent="0.2">
      <c r="A13" s="152" t="s">
        <v>229</v>
      </c>
      <c r="B13" s="151"/>
      <c r="C13" s="148"/>
      <c r="D13" s="148"/>
      <c r="E13" s="148"/>
      <c r="F13" s="153" t="s">
        <v>230</v>
      </c>
      <c r="G13" s="151">
        <v>1</v>
      </c>
      <c r="H13" s="148">
        <v>1900</v>
      </c>
      <c r="I13" s="157">
        <f>G13*H13</f>
        <v>1900</v>
      </c>
      <c r="J13" s="157">
        <v>2280</v>
      </c>
      <c r="K13" s="8"/>
      <c r="L13" s="220" t="s">
        <v>329</v>
      </c>
      <c r="M13" s="149" t="s">
        <v>231</v>
      </c>
      <c r="N13" s="8"/>
    </row>
    <row r="14" spans="1:14" ht="15" x14ac:dyDescent="0.2">
      <c r="A14" s="152" t="s">
        <v>232</v>
      </c>
      <c r="B14" s="151"/>
      <c r="C14" s="148"/>
      <c r="D14" s="148"/>
      <c r="E14" s="148"/>
      <c r="F14" s="153" t="s">
        <v>233</v>
      </c>
      <c r="G14" s="151">
        <v>30</v>
      </c>
      <c r="H14" s="148">
        <v>28</v>
      </c>
      <c r="I14" s="157">
        <f t="shared" si="0"/>
        <v>840</v>
      </c>
      <c r="J14" s="157">
        <v>840</v>
      </c>
      <c r="K14" s="8"/>
      <c r="L14" s="224" t="s">
        <v>331</v>
      </c>
      <c r="M14" s="149"/>
      <c r="N14" s="8"/>
    </row>
    <row r="15" spans="1:14" ht="15" x14ac:dyDescent="0.2">
      <c r="A15" s="152" t="s">
        <v>234</v>
      </c>
      <c r="B15" s="151"/>
      <c r="C15" s="148"/>
      <c r="D15" s="148"/>
      <c r="E15" s="148"/>
      <c r="F15" s="153" t="s">
        <v>230</v>
      </c>
      <c r="G15" s="151">
        <v>400</v>
      </c>
      <c r="H15" s="148">
        <v>53.68</v>
      </c>
      <c r="I15" s="157">
        <f>G15*H15</f>
        <v>21472</v>
      </c>
      <c r="J15" s="157">
        <v>21472</v>
      </c>
      <c r="K15" s="8"/>
      <c r="L15" s="220" t="s">
        <v>332</v>
      </c>
      <c r="M15" s="8" t="s">
        <v>235</v>
      </c>
      <c r="N15" s="8"/>
    </row>
    <row r="16" spans="1:14" ht="15" x14ac:dyDescent="0.2">
      <c r="A16" s="152"/>
      <c r="B16" s="151"/>
      <c r="C16" s="158" t="s">
        <v>236</v>
      </c>
      <c r="D16" s="159">
        <f>SUM(D5:D8)</f>
        <v>225000</v>
      </c>
      <c r="E16" s="159"/>
      <c r="F16" s="148"/>
      <c r="G16" s="151"/>
      <c r="H16" s="148"/>
      <c r="I16" s="148">
        <f>SUM(I5:I15)</f>
        <v>217069.67</v>
      </c>
      <c r="J16" s="210"/>
      <c r="K16" s="160">
        <v>290</v>
      </c>
      <c r="L16" s="221"/>
      <c r="M16" s="160" t="s">
        <v>237</v>
      </c>
      <c r="N16" s="8"/>
    </row>
    <row r="17" spans="1:15" ht="15" x14ac:dyDescent="0.2">
      <c r="A17" s="152"/>
      <c r="B17" s="151"/>
      <c r="C17" s="148"/>
      <c r="D17" s="148"/>
      <c r="E17" s="148"/>
      <c r="F17" s="148"/>
      <c r="G17" s="151"/>
      <c r="H17" s="148"/>
      <c r="I17" s="148"/>
      <c r="J17" s="210"/>
      <c r="K17" s="8"/>
      <c r="L17" s="220"/>
      <c r="M17" s="8"/>
      <c r="N17" s="8"/>
    </row>
    <row r="18" spans="1:15" ht="15" x14ac:dyDescent="0.2">
      <c r="A18" s="150" t="s">
        <v>238</v>
      </c>
      <c r="B18" s="151"/>
      <c r="C18" s="148"/>
      <c r="D18" s="148"/>
      <c r="E18" s="148"/>
      <c r="F18" s="148"/>
      <c r="G18" s="151"/>
      <c r="H18" s="148"/>
      <c r="I18" s="148"/>
      <c r="J18" s="210"/>
      <c r="K18" s="160"/>
      <c r="L18" s="221"/>
      <c r="M18" s="160"/>
      <c r="N18" s="8"/>
    </row>
    <row r="19" spans="1:15" ht="15" x14ac:dyDescent="0.2">
      <c r="A19" s="152" t="s">
        <v>239</v>
      </c>
      <c r="B19" s="151">
        <v>1</v>
      </c>
      <c r="C19" s="148">
        <v>5000</v>
      </c>
      <c r="D19" s="148"/>
      <c r="E19" s="148"/>
      <c r="F19" s="148"/>
      <c r="G19" s="151"/>
      <c r="H19" s="148"/>
      <c r="I19" s="148"/>
      <c r="J19" s="210"/>
      <c r="K19" s="8"/>
      <c r="L19" s="220"/>
      <c r="M19" s="149" t="s">
        <v>240</v>
      </c>
      <c r="N19" s="8"/>
    </row>
    <row r="20" spans="1:15" ht="15" x14ac:dyDescent="0.2">
      <c r="A20" s="152" t="s">
        <v>241</v>
      </c>
      <c r="B20" s="151">
        <v>1</v>
      </c>
      <c r="C20" s="148">
        <v>5000</v>
      </c>
      <c r="D20" s="148"/>
      <c r="E20" s="148"/>
      <c r="F20" s="148"/>
      <c r="G20" s="151"/>
      <c r="H20" s="148"/>
      <c r="I20" s="148"/>
      <c r="J20" s="210"/>
      <c r="K20" s="8"/>
      <c r="L20" s="220"/>
      <c r="M20" s="149" t="s">
        <v>240</v>
      </c>
      <c r="N20" s="8"/>
    </row>
    <row r="21" spans="1:15" ht="15" x14ac:dyDescent="0.2">
      <c r="A21" s="152" t="s">
        <v>242</v>
      </c>
      <c r="B21" s="151">
        <v>1</v>
      </c>
      <c r="C21" s="148">
        <v>3000</v>
      </c>
      <c r="D21" s="148"/>
      <c r="E21" s="148"/>
      <c r="F21" s="148"/>
      <c r="G21" s="151"/>
      <c r="H21" s="148"/>
      <c r="I21" s="148"/>
      <c r="J21" s="210"/>
      <c r="K21" s="8"/>
      <c r="L21" s="220"/>
      <c r="M21" s="8" t="s">
        <v>240</v>
      </c>
      <c r="N21" s="8"/>
    </row>
    <row r="22" spans="1:15" ht="15" x14ac:dyDescent="0.2">
      <c r="A22" s="152" t="s">
        <v>243</v>
      </c>
      <c r="B22" s="151">
        <v>1</v>
      </c>
      <c r="C22" s="148">
        <v>5000</v>
      </c>
      <c r="D22" s="148"/>
      <c r="E22" s="148"/>
      <c r="F22" s="148"/>
      <c r="G22" s="151"/>
      <c r="H22" s="148"/>
      <c r="I22" s="148"/>
      <c r="J22" s="210"/>
      <c r="K22" s="8"/>
      <c r="L22" s="220"/>
      <c r="M22" s="149" t="s">
        <v>240</v>
      </c>
      <c r="N22" s="8"/>
    </row>
    <row r="23" spans="1:15" ht="15" x14ac:dyDescent="0.2">
      <c r="A23" s="152" t="s">
        <v>326</v>
      </c>
      <c r="B23" s="151">
        <v>9</v>
      </c>
      <c r="C23" s="148">
        <v>1200</v>
      </c>
      <c r="D23" s="148">
        <f>B23*C23</f>
        <v>10800</v>
      </c>
      <c r="E23" s="148"/>
      <c r="F23" s="148"/>
      <c r="G23" s="151"/>
      <c r="H23" s="148">
        <v>1275</v>
      </c>
      <c r="I23" s="161">
        <f>B23*H23</f>
        <v>11475</v>
      </c>
      <c r="J23" s="161">
        <v>11204</v>
      </c>
      <c r="K23" s="8"/>
      <c r="L23" s="220" t="s">
        <v>335</v>
      </c>
      <c r="M23" s="162" t="s">
        <v>336</v>
      </c>
      <c r="N23" s="8"/>
      <c r="O23" t="s">
        <v>265</v>
      </c>
    </row>
    <row r="24" spans="1:15" ht="15" x14ac:dyDescent="0.2">
      <c r="A24" s="152" t="s">
        <v>325</v>
      </c>
      <c r="B24" s="151">
        <v>1</v>
      </c>
      <c r="C24" s="148"/>
      <c r="D24" s="148"/>
      <c r="E24" s="148"/>
      <c r="F24" s="148"/>
      <c r="G24" s="151"/>
      <c r="H24" s="148">
        <v>9956.7099999999991</v>
      </c>
      <c r="I24" s="163">
        <f>B24*H24</f>
        <v>9956.7099999999991</v>
      </c>
      <c r="J24" s="163">
        <v>11494</v>
      </c>
      <c r="K24" s="8"/>
      <c r="L24" s="220" t="s">
        <v>338</v>
      </c>
      <c r="M24" s="225" t="s">
        <v>244</v>
      </c>
      <c r="N24" s="8"/>
      <c r="O24" t="s">
        <v>260</v>
      </c>
    </row>
    <row r="25" spans="1:15" ht="15" x14ac:dyDescent="0.2">
      <c r="A25" s="152" t="s">
        <v>245</v>
      </c>
      <c r="B25" s="151"/>
      <c r="C25" s="148"/>
      <c r="D25" s="148"/>
      <c r="E25" s="148"/>
      <c r="F25" s="153" t="s">
        <v>230</v>
      </c>
      <c r="G25" s="151">
        <v>1</v>
      </c>
      <c r="H25" s="148">
        <v>4226.42</v>
      </c>
      <c r="I25" s="157">
        <f>G25*H25</f>
        <v>4226.42</v>
      </c>
      <c r="J25" s="157">
        <f>2650+1576.42</f>
        <v>4226.42</v>
      </c>
      <c r="K25" s="8"/>
      <c r="L25" s="220" t="s">
        <v>332</v>
      </c>
      <c r="M25" s="149" t="s">
        <v>246</v>
      </c>
      <c r="N25" s="8"/>
      <c r="O25" t="s">
        <v>263</v>
      </c>
    </row>
    <row r="26" spans="1:15" ht="15" x14ac:dyDescent="0.25">
      <c r="A26" s="164" t="s">
        <v>247</v>
      </c>
      <c r="B26" s="151">
        <v>1</v>
      </c>
      <c r="C26" s="165">
        <v>10000</v>
      </c>
      <c r="D26" s="166">
        <v>10000</v>
      </c>
      <c r="E26" s="166"/>
      <c r="F26" s="148"/>
      <c r="G26" s="151"/>
      <c r="H26" s="148"/>
      <c r="I26" s="148"/>
      <c r="J26" s="210"/>
      <c r="K26" s="8"/>
      <c r="L26" s="220"/>
      <c r="M26" s="149" t="s">
        <v>248</v>
      </c>
      <c r="N26" s="8"/>
      <c r="O26" t="s">
        <v>309</v>
      </c>
    </row>
    <row r="27" spans="1:15" ht="15" x14ac:dyDescent="0.25">
      <c r="A27" s="164" t="s">
        <v>249</v>
      </c>
      <c r="B27" s="151">
        <v>1</v>
      </c>
      <c r="C27" s="165">
        <v>5000</v>
      </c>
      <c r="D27" s="166">
        <f>B27*C27</f>
        <v>5000</v>
      </c>
      <c r="E27" s="166"/>
      <c r="F27" s="148"/>
      <c r="G27" s="151"/>
      <c r="H27" s="148"/>
      <c r="I27" s="148"/>
      <c r="J27" s="161">
        <f>2408.48+38158.27</f>
        <v>40566.75</v>
      </c>
      <c r="K27" s="8"/>
      <c r="L27" s="220" t="s">
        <v>328</v>
      </c>
      <c r="M27" s="8" t="s">
        <v>250</v>
      </c>
      <c r="N27" s="8"/>
      <c r="O27" t="s">
        <v>310</v>
      </c>
    </row>
    <row r="28" spans="1:15" ht="15" x14ac:dyDescent="0.25">
      <c r="A28" s="164" t="s">
        <v>251</v>
      </c>
      <c r="B28" s="151"/>
      <c r="C28" s="165"/>
      <c r="D28" s="166"/>
      <c r="E28" s="166"/>
      <c r="F28" s="167" t="s">
        <v>252</v>
      </c>
      <c r="G28" s="151">
        <v>1</v>
      </c>
      <c r="H28" s="148">
        <v>44949.04</v>
      </c>
      <c r="I28" s="161">
        <f>G28*H28</f>
        <v>44949.04</v>
      </c>
      <c r="J28" s="228">
        <f>42540.56-38158.27</f>
        <v>4382.2900000000009</v>
      </c>
      <c r="K28" s="8"/>
      <c r="L28" s="220" t="s">
        <v>328</v>
      </c>
      <c r="M28" s="8" t="s">
        <v>337</v>
      </c>
      <c r="N28" s="8"/>
      <c r="O28" t="s">
        <v>262</v>
      </c>
    </row>
    <row r="29" spans="1:15" ht="15" x14ac:dyDescent="0.25">
      <c r="A29" s="164" t="s">
        <v>253</v>
      </c>
      <c r="B29" s="151"/>
      <c r="C29" s="165"/>
      <c r="D29" s="166"/>
      <c r="E29" s="166"/>
      <c r="F29" s="153"/>
      <c r="G29" s="151">
        <v>1</v>
      </c>
      <c r="H29" s="148">
        <v>19339</v>
      </c>
      <c r="I29" s="163">
        <f>G29*H29</f>
        <v>19339</v>
      </c>
      <c r="J29" s="163">
        <v>19539</v>
      </c>
      <c r="K29" s="8"/>
      <c r="L29" s="220" t="s">
        <v>339</v>
      </c>
      <c r="M29" s="8" t="s">
        <v>254</v>
      </c>
      <c r="N29" s="8"/>
      <c r="O29" t="s">
        <v>316</v>
      </c>
    </row>
    <row r="30" spans="1:15" ht="15" x14ac:dyDescent="0.25">
      <c r="A30" s="164" t="s">
        <v>255</v>
      </c>
      <c r="B30" s="151"/>
      <c r="C30" s="165"/>
      <c r="D30" s="166"/>
      <c r="E30" s="166"/>
      <c r="F30" s="148"/>
      <c r="G30" s="151">
        <v>2</v>
      </c>
      <c r="H30" s="148">
        <v>2500</v>
      </c>
      <c r="I30" s="161">
        <f>G30*H30</f>
        <v>5000</v>
      </c>
      <c r="J30" s="161">
        <v>0</v>
      </c>
      <c r="K30" s="8"/>
      <c r="L30" s="220" t="s">
        <v>342</v>
      </c>
      <c r="M30" s="162" t="s">
        <v>256</v>
      </c>
      <c r="N30" s="8"/>
      <c r="O30" t="s">
        <v>340</v>
      </c>
    </row>
    <row r="31" spans="1:15" ht="15" x14ac:dyDescent="0.25">
      <c r="A31" s="164"/>
      <c r="B31" s="151"/>
      <c r="C31" s="158" t="s">
        <v>257</v>
      </c>
      <c r="D31" s="166">
        <f>SUM(D23:D27)</f>
        <v>25800</v>
      </c>
      <c r="E31" s="166"/>
      <c r="F31" s="148"/>
      <c r="G31" s="151"/>
      <c r="H31" s="148"/>
      <c r="I31" s="148">
        <f>SUM(I23:I30)</f>
        <v>94946.17</v>
      </c>
      <c r="J31" s="210"/>
      <c r="K31" s="8"/>
      <c r="L31" s="220"/>
      <c r="M31" s="8" t="s">
        <v>258</v>
      </c>
      <c r="N31" s="8"/>
    </row>
    <row r="32" spans="1:15" ht="15" x14ac:dyDescent="0.2">
      <c r="A32" s="152"/>
      <c r="B32" s="151"/>
      <c r="C32" s="148"/>
      <c r="D32" s="148"/>
      <c r="E32" s="148"/>
      <c r="F32" s="148"/>
      <c r="G32" s="151"/>
      <c r="H32" s="148"/>
      <c r="I32" s="148"/>
      <c r="J32" s="210"/>
      <c r="K32" s="8"/>
      <c r="L32" s="220"/>
      <c r="M32" s="8"/>
      <c r="N32" s="8"/>
    </row>
    <row r="33" spans="1:14" x14ac:dyDescent="0.2">
      <c r="A33" s="168" t="s">
        <v>259</v>
      </c>
      <c r="B33" s="151"/>
      <c r="C33" s="148"/>
      <c r="D33" s="169"/>
      <c r="E33" s="169"/>
      <c r="F33" s="148"/>
      <c r="G33" s="151"/>
      <c r="H33" s="148"/>
      <c r="I33" s="148"/>
      <c r="J33" s="210"/>
      <c r="K33" s="8"/>
      <c r="L33" s="220"/>
      <c r="M33" s="8"/>
      <c r="N33" s="8"/>
    </row>
    <row r="34" spans="1:14" ht="15" x14ac:dyDescent="0.2">
      <c r="A34" s="152" t="s">
        <v>260</v>
      </c>
      <c r="B34" s="151"/>
      <c r="C34" s="148"/>
      <c r="D34" s="148">
        <v>25000</v>
      </c>
      <c r="E34" s="148"/>
      <c r="F34" s="148"/>
      <c r="G34" s="151"/>
      <c r="H34" s="148"/>
      <c r="I34" s="148"/>
      <c r="J34" s="210"/>
      <c r="K34" s="8"/>
      <c r="L34" s="220"/>
      <c r="M34" s="149"/>
      <c r="N34" s="149"/>
    </row>
    <row r="35" spans="1:14" ht="15" x14ac:dyDescent="0.2">
      <c r="A35" s="152" t="s">
        <v>261</v>
      </c>
      <c r="B35" s="151"/>
      <c r="C35" s="148"/>
      <c r="D35" s="148">
        <v>25000</v>
      </c>
      <c r="E35" s="148"/>
      <c r="F35" s="148"/>
      <c r="G35" s="151"/>
      <c r="H35" s="148"/>
      <c r="I35" s="148"/>
      <c r="J35" s="210"/>
      <c r="K35" s="8"/>
      <c r="L35" s="220"/>
      <c r="M35" s="149"/>
      <c r="N35" s="8"/>
    </row>
    <row r="36" spans="1:14" ht="15" x14ac:dyDescent="0.2">
      <c r="A36" s="152" t="s">
        <v>262</v>
      </c>
      <c r="B36" s="151"/>
      <c r="C36" s="148"/>
      <c r="D36" s="148">
        <v>35000</v>
      </c>
      <c r="E36" s="148"/>
      <c r="F36" s="148"/>
      <c r="G36" s="151"/>
      <c r="H36" s="148"/>
      <c r="I36" s="148"/>
      <c r="J36" s="210"/>
      <c r="K36" s="8"/>
      <c r="L36" s="220"/>
      <c r="M36" s="8"/>
      <c r="N36" s="8"/>
    </row>
    <row r="37" spans="1:14" ht="15" x14ac:dyDescent="0.2">
      <c r="A37" s="152" t="s">
        <v>263</v>
      </c>
      <c r="B37" s="151"/>
      <c r="C37" s="148"/>
      <c r="D37" s="170">
        <v>25000</v>
      </c>
      <c r="E37" s="148"/>
      <c r="F37" s="148"/>
      <c r="G37" s="151"/>
      <c r="H37" s="148"/>
      <c r="I37" s="148"/>
      <c r="J37" s="210"/>
      <c r="K37" s="8"/>
      <c r="L37" s="220"/>
      <c r="M37" s="8"/>
      <c r="N37" s="8"/>
    </row>
    <row r="38" spans="1:14" ht="15" x14ac:dyDescent="0.2">
      <c r="A38" s="152" t="s">
        <v>264</v>
      </c>
      <c r="B38" s="151"/>
      <c r="C38" s="148"/>
      <c r="D38" s="170">
        <v>35000</v>
      </c>
      <c r="E38" s="148"/>
      <c r="F38" s="148"/>
      <c r="G38" s="151"/>
      <c r="H38" s="148"/>
      <c r="I38" s="148"/>
      <c r="J38" s="210"/>
      <c r="K38" s="8"/>
      <c r="L38" s="220"/>
      <c r="M38" s="8"/>
      <c r="N38" s="8"/>
    </row>
    <row r="39" spans="1:14" ht="15" x14ac:dyDescent="0.2">
      <c r="A39" s="152" t="s">
        <v>265</v>
      </c>
      <c r="B39" s="151"/>
      <c r="C39" s="148"/>
      <c r="D39" s="148"/>
      <c r="E39" s="148"/>
      <c r="F39" s="148"/>
      <c r="G39" s="151"/>
      <c r="H39" s="148"/>
      <c r="I39" s="148"/>
      <c r="J39" s="210"/>
      <c r="K39" s="8"/>
      <c r="L39" s="220"/>
      <c r="M39" s="8"/>
      <c r="N39" s="8"/>
    </row>
    <row r="40" spans="1:14" ht="15" x14ac:dyDescent="0.2">
      <c r="A40" s="152" t="s">
        <v>327</v>
      </c>
      <c r="B40" s="151"/>
      <c r="C40" s="148"/>
      <c r="D40" s="148"/>
      <c r="E40" s="148"/>
      <c r="F40" s="153" t="s">
        <v>214</v>
      </c>
      <c r="G40" s="151"/>
      <c r="H40" s="148"/>
      <c r="I40" s="171">
        <v>57751</v>
      </c>
      <c r="J40" s="226">
        <v>57751.040000000001</v>
      </c>
      <c r="K40" s="8"/>
      <c r="L40" s="220" t="s">
        <v>324</v>
      </c>
      <c r="M40" s="149" t="s">
        <v>266</v>
      </c>
      <c r="N40" s="8"/>
    </row>
    <row r="41" spans="1:14" ht="15" x14ac:dyDescent="0.2">
      <c r="A41" s="152" t="s">
        <v>267</v>
      </c>
      <c r="B41" s="151"/>
      <c r="C41" s="148"/>
      <c r="D41" s="148"/>
      <c r="E41" s="148"/>
      <c r="F41" s="153" t="s">
        <v>214</v>
      </c>
      <c r="G41" s="151"/>
      <c r="H41" s="148"/>
      <c r="I41" s="157">
        <v>20283</v>
      </c>
      <c r="J41" s="157">
        <f>19730+553</f>
        <v>20283</v>
      </c>
      <c r="K41" s="8"/>
      <c r="L41" s="220" t="s">
        <v>330</v>
      </c>
      <c r="M41" s="149" t="s">
        <v>268</v>
      </c>
      <c r="N41" s="8"/>
    </row>
    <row r="42" spans="1:14" ht="15" x14ac:dyDescent="0.2">
      <c r="A42" s="152" t="s">
        <v>269</v>
      </c>
      <c r="B42" s="151"/>
      <c r="C42" s="148"/>
      <c r="D42" s="148"/>
      <c r="E42" s="148"/>
      <c r="F42" s="167" t="s">
        <v>214</v>
      </c>
      <c r="G42" s="151"/>
      <c r="H42" s="148"/>
      <c r="I42" s="157">
        <v>6930</v>
      </c>
      <c r="J42" s="157">
        <f>575+6930</f>
        <v>7505</v>
      </c>
      <c r="K42" s="8"/>
      <c r="L42" s="220" t="s">
        <v>290</v>
      </c>
      <c r="M42" s="149"/>
      <c r="N42" s="8"/>
    </row>
    <row r="43" spans="1:14" ht="15" x14ac:dyDescent="0.2">
      <c r="A43" s="152"/>
      <c r="B43" s="151"/>
      <c r="C43" s="148"/>
      <c r="D43" s="148"/>
      <c r="E43" s="148"/>
      <c r="F43" s="167"/>
      <c r="G43" s="151"/>
      <c r="H43" s="148"/>
      <c r="I43" s="148"/>
      <c r="J43" s="210"/>
      <c r="K43" s="8"/>
      <c r="L43" s="220"/>
      <c r="M43" s="8"/>
      <c r="N43" s="8"/>
    </row>
    <row r="44" spans="1:14" ht="15" x14ac:dyDescent="0.2">
      <c r="A44" s="152"/>
      <c r="B44" s="151"/>
      <c r="C44" s="158" t="s">
        <v>270</v>
      </c>
      <c r="D44" s="159">
        <f>SUM(D34:D36)</f>
        <v>85000</v>
      </c>
      <c r="E44" s="159"/>
      <c r="F44" s="148"/>
      <c r="G44" s="151"/>
      <c r="H44" s="148"/>
      <c r="I44" s="148">
        <f>SUM(I34:I43)</f>
        <v>84964</v>
      </c>
      <c r="J44" s="210"/>
      <c r="K44" s="8"/>
      <c r="L44" s="220"/>
      <c r="M44" s="8"/>
      <c r="N44" s="8"/>
    </row>
    <row r="45" spans="1:14" ht="15" x14ac:dyDescent="0.2">
      <c r="A45" s="152"/>
      <c r="B45" s="151"/>
      <c r="C45" s="158"/>
      <c r="D45" s="159"/>
      <c r="E45" s="159"/>
      <c r="F45" s="148"/>
      <c r="G45" s="151"/>
      <c r="H45" s="148"/>
      <c r="I45" s="148"/>
      <c r="J45" s="210"/>
      <c r="K45" s="8"/>
      <c r="L45" s="220"/>
      <c r="M45" s="8"/>
      <c r="N45" s="8"/>
    </row>
    <row r="46" spans="1:14" ht="15" x14ac:dyDescent="0.2">
      <c r="A46" s="150" t="s">
        <v>271</v>
      </c>
      <c r="B46" s="151"/>
      <c r="C46" s="158"/>
      <c r="D46" s="159"/>
      <c r="E46" s="159"/>
      <c r="F46" s="148"/>
      <c r="G46" s="151"/>
      <c r="H46" s="148"/>
      <c r="I46" s="148"/>
      <c r="J46" s="210"/>
      <c r="K46" s="8"/>
      <c r="L46" s="220"/>
      <c r="M46" s="8"/>
      <c r="N46" s="8"/>
    </row>
    <row r="47" spans="1:14" ht="15" x14ac:dyDescent="0.2">
      <c r="A47" s="152" t="s">
        <v>261</v>
      </c>
      <c r="B47" s="151"/>
      <c r="C47" s="158"/>
      <c r="D47" s="170">
        <v>20000</v>
      </c>
      <c r="E47" s="147"/>
      <c r="F47" s="148"/>
      <c r="G47" s="151"/>
      <c r="H47" s="148"/>
      <c r="I47" s="148"/>
      <c r="J47" s="210"/>
      <c r="K47" s="8"/>
      <c r="L47" s="220"/>
      <c r="M47" s="149" t="s">
        <v>272</v>
      </c>
      <c r="N47" s="8"/>
    </row>
    <row r="48" spans="1:14" ht="15" x14ac:dyDescent="0.2">
      <c r="A48" s="152" t="s">
        <v>262</v>
      </c>
      <c r="B48" s="151"/>
      <c r="C48" s="158"/>
      <c r="D48" s="147">
        <v>20000</v>
      </c>
      <c r="E48" s="147"/>
      <c r="F48" s="148"/>
      <c r="G48" s="151"/>
      <c r="H48" s="148"/>
      <c r="I48" s="148"/>
      <c r="J48" s="210"/>
      <c r="K48" s="8"/>
      <c r="L48" s="220"/>
      <c r="M48" s="149" t="s">
        <v>272</v>
      </c>
      <c r="N48" s="8"/>
    </row>
    <row r="49" spans="1:14" ht="15" x14ac:dyDescent="0.2">
      <c r="A49" s="152" t="s">
        <v>264</v>
      </c>
      <c r="B49" s="151"/>
      <c r="C49" s="158"/>
      <c r="D49" s="147">
        <v>20000</v>
      </c>
      <c r="E49" s="147"/>
      <c r="F49" s="148"/>
      <c r="G49" s="151"/>
      <c r="H49" s="148"/>
      <c r="I49" s="148"/>
      <c r="J49" s="210"/>
      <c r="K49" s="8"/>
      <c r="L49" s="220"/>
      <c r="M49" s="8" t="s">
        <v>273</v>
      </c>
      <c r="N49" s="8"/>
    </row>
    <row r="50" spans="1:14" ht="15" x14ac:dyDescent="0.2">
      <c r="A50" s="152" t="s">
        <v>274</v>
      </c>
      <c r="B50" s="151"/>
      <c r="C50" s="158"/>
      <c r="D50" s="147"/>
      <c r="E50" s="147"/>
      <c r="F50" s="148"/>
      <c r="G50" s="151"/>
      <c r="H50" s="148"/>
      <c r="I50" s="148"/>
      <c r="J50" s="210"/>
      <c r="K50" s="8"/>
      <c r="L50" s="220"/>
      <c r="M50" s="8" t="s">
        <v>275</v>
      </c>
      <c r="N50" s="8"/>
    </row>
    <row r="51" spans="1:14" ht="15" x14ac:dyDescent="0.2">
      <c r="A51" s="152" t="s">
        <v>276</v>
      </c>
      <c r="B51" s="151"/>
      <c r="C51" s="158"/>
      <c r="D51" s="172">
        <v>5000</v>
      </c>
      <c r="E51" s="172"/>
      <c r="F51" s="167" t="s">
        <v>277</v>
      </c>
      <c r="G51" s="151"/>
      <c r="H51" s="148"/>
      <c r="I51" s="173">
        <v>5254</v>
      </c>
      <c r="J51" s="173">
        <v>5254</v>
      </c>
      <c r="K51" s="8"/>
      <c r="L51" s="220" t="s">
        <v>323</v>
      </c>
      <c r="M51" s="8" t="s">
        <v>278</v>
      </c>
      <c r="N51" s="8"/>
    </row>
    <row r="52" spans="1:14" ht="15" x14ac:dyDescent="0.2">
      <c r="A52" s="152"/>
      <c r="B52" s="151"/>
      <c r="C52" s="158"/>
      <c r="D52" s="159"/>
      <c r="E52" s="159"/>
      <c r="F52" s="148"/>
      <c r="G52" s="151"/>
      <c r="H52" s="148"/>
      <c r="I52" s="148"/>
      <c r="J52" s="210"/>
      <c r="K52" s="8"/>
      <c r="L52" s="220"/>
      <c r="M52" s="8"/>
      <c r="N52" s="8"/>
    </row>
    <row r="53" spans="1:14" ht="15" x14ac:dyDescent="0.2">
      <c r="A53" s="152"/>
      <c r="B53" s="151"/>
      <c r="C53" s="158" t="s">
        <v>279</v>
      </c>
      <c r="D53" s="159">
        <f>SUM(D48:D51)</f>
        <v>45000</v>
      </c>
      <c r="E53" s="159"/>
      <c r="F53" s="148"/>
      <c r="G53" s="151"/>
      <c r="H53" s="148"/>
      <c r="I53" s="148">
        <f>SUM(I47:I52)</f>
        <v>5254</v>
      </c>
      <c r="J53" s="210"/>
      <c r="K53" s="8"/>
      <c r="L53" s="220"/>
      <c r="M53" s="8"/>
      <c r="N53" s="8"/>
    </row>
    <row r="54" spans="1:14" ht="15" x14ac:dyDescent="0.2">
      <c r="A54" s="152"/>
      <c r="B54" s="151"/>
      <c r="C54" s="148"/>
      <c r="D54" s="148"/>
      <c r="E54" s="148"/>
      <c r="F54" s="148"/>
      <c r="G54" s="151"/>
      <c r="H54" s="148"/>
      <c r="I54" s="148"/>
      <c r="J54" s="210"/>
      <c r="K54" s="8"/>
      <c r="L54" s="220"/>
      <c r="M54" s="8"/>
      <c r="N54" s="8"/>
    </row>
    <row r="55" spans="1:14" x14ac:dyDescent="0.2">
      <c r="A55" s="174"/>
      <c r="B55" s="151"/>
      <c r="C55" s="148"/>
      <c r="D55" s="169"/>
      <c r="E55" s="169"/>
      <c r="F55" s="148"/>
      <c r="G55" s="151"/>
      <c r="H55" s="148"/>
      <c r="I55" s="148"/>
      <c r="J55" s="210"/>
      <c r="K55" s="8"/>
      <c r="L55" s="220"/>
      <c r="M55" s="8"/>
      <c r="N55" s="8"/>
    </row>
    <row r="56" spans="1:14" ht="15.75" thickBot="1" x14ac:dyDescent="0.25">
      <c r="A56" s="175" t="s">
        <v>280</v>
      </c>
      <c r="B56" s="176"/>
      <c r="C56" s="177"/>
      <c r="D56" s="177">
        <f>D16+D31+D44+D53</f>
        <v>380800</v>
      </c>
      <c r="E56" s="177"/>
      <c r="F56" s="177"/>
      <c r="G56" s="176"/>
      <c r="H56" s="177"/>
      <c r="I56" s="177">
        <f>I16+I31+I44+I53</f>
        <v>402233.84</v>
      </c>
      <c r="J56" s="230">
        <f>SUM(J5:J55)</f>
        <v>399690.17</v>
      </c>
      <c r="K56" s="178"/>
      <c r="L56" s="222"/>
      <c r="M56" s="179" t="s">
        <v>281</v>
      </c>
      <c r="N56" s="178"/>
    </row>
    <row r="57" spans="1:14" ht="15.75" thickTop="1" x14ac:dyDescent="0.2">
      <c r="A57" s="175"/>
      <c r="B57" s="176"/>
      <c r="C57" s="177"/>
      <c r="D57" s="177"/>
      <c r="E57" s="177"/>
      <c r="F57" s="177"/>
      <c r="G57" s="176"/>
      <c r="H57" s="177"/>
      <c r="I57" s="177"/>
      <c r="J57" s="211"/>
      <c r="K57" s="178"/>
      <c r="L57" s="206"/>
      <c r="M57" s="178" t="s">
        <v>282</v>
      </c>
      <c r="N57" s="178"/>
    </row>
    <row r="58" spans="1:14" ht="15" x14ac:dyDescent="0.2">
      <c r="A58" s="150"/>
      <c r="B58" s="176"/>
      <c r="C58" s="177"/>
      <c r="D58" s="177"/>
      <c r="E58" s="177"/>
      <c r="F58" s="177"/>
      <c r="G58" s="176"/>
      <c r="H58" s="177"/>
      <c r="I58" s="177"/>
      <c r="J58" s="211"/>
      <c r="K58" s="178"/>
      <c r="L58" s="206"/>
      <c r="M58" s="178"/>
      <c r="N58" s="178"/>
    </row>
    <row r="59" spans="1:14" ht="15" x14ac:dyDescent="0.2">
      <c r="A59" s="175"/>
      <c r="B59" s="176"/>
      <c r="C59" s="177"/>
      <c r="D59" s="177"/>
      <c r="E59" s="177"/>
      <c r="F59" s="177"/>
      <c r="G59" s="176"/>
      <c r="H59" s="177"/>
      <c r="I59" s="177"/>
      <c r="J59" s="211"/>
      <c r="K59" s="178"/>
      <c r="L59" s="206"/>
      <c r="M59" s="178"/>
      <c r="N59" s="178"/>
    </row>
    <row r="60" spans="1:14" x14ac:dyDescent="0.2">
      <c r="A60" s="8"/>
      <c r="B60" s="151"/>
      <c r="C60" s="148"/>
      <c r="D60" s="148"/>
      <c r="E60" s="148"/>
      <c r="F60" s="148"/>
      <c r="G60" s="151"/>
      <c r="H60" s="148"/>
      <c r="I60" s="148"/>
      <c r="J60" s="210"/>
      <c r="K60" s="8"/>
      <c r="L60" s="205"/>
      <c r="M60" s="8"/>
      <c r="N60" s="8"/>
    </row>
    <row r="61" spans="1:14" x14ac:dyDescent="0.2">
      <c r="A61" s="8"/>
      <c r="B61" s="151"/>
      <c r="C61" s="148"/>
      <c r="D61" s="148"/>
      <c r="E61" s="148"/>
      <c r="F61" s="148"/>
      <c r="G61" s="151"/>
      <c r="H61" s="148"/>
      <c r="I61" s="148"/>
      <c r="J61" s="210"/>
      <c r="K61" s="8"/>
      <c r="L61" s="205"/>
      <c r="M61" s="8"/>
      <c r="N61" s="8"/>
    </row>
    <row r="62" spans="1:14" x14ac:dyDescent="0.2">
      <c r="B62" s="180"/>
      <c r="C62" s="181"/>
      <c r="D62" s="181"/>
      <c r="E62" s="181"/>
      <c r="F62" s="181"/>
      <c r="H62" s="181"/>
      <c r="I62" s="181"/>
      <c r="J62" s="210"/>
    </row>
    <row r="63" spans="1:14" hidden="1" x14ac:dyDescent="0.2">
      <c r="B63" s="180"/>
      <c r="C63" s="181"/>
      <c r="D63" s="181"/>
      <c r="E63" s="181"/>
      <c r="F63" s="181"/>
      <c r="H63" s="181"/>
      <c r="I63" s="181"/>
      <c r="J63" s="210"/>
    </row>
    <row r="64" spans="1:14" hidden="1" x14ac:dyDescent="0.2">
      <c r="A64" s="182" t="s">
        <v>283</v>
      </c>
      <c r="B64" s="183" t="s">
        <v>284</v>
      </c>
      <c r="C64" s="184"/>
      <c r="D64" s="185"/>
      <c r="E64" s="185"/>
      <c r="F64" s="181"/>
      <c r="H64" s="181"/>
      <c r="I64" s="181"/>
      <c r="J64" s="210"/>
    </row>
    <row r="65" spans="1:13" hidden="1" x14ac:dyDescent="0.2">
      <c r="A65" s="186"/>
      <c r="B65" s="186"/>
      <c r="C65" s="184"/>
      <c r="D65" s="185"/>
      <c r="E65" s="185"/>
      <c r="F65" s="181"/>
      <c r="H65" s="181"/>
      <c r="I65" s="181"/>
      <c r="J65" s="210"/>
      <c r="M65" s="187"/>
    </row>
    <row r="66" spans="1:13" hidden="1" x14ac:dyDescent="0.2">
      <c r="A66" s="188" t="s">
        <v>35</v>
      </c>
      <c r="B66" s="188">
        <v>651</v>
      </c>
      <c r="C66" s="185">
        <f>I13++I14+I15+I25+I41+I42</f>
        <v>55651.42</v>
      </c>
      <c r="D66" s="185"/>
      <c r="E66" s="185"/>
      <c r="F66" s="181"/>
      <c r="H66" s="181"/>
      <c r="I66" s="181"/>
      <c r="J66" s="210"/>
      <c r="M66" s="187"/>
    </row>
    <row r="67" spans="1:13" hidden="1" x14ac:dyDescent="0.2">
      <c r="A67" s="189" t="s">
        <v>36</v>
      </c>
      <c r="B67" s="190">
        <v>652</v>
      </c>
      <c r="C67" s="185">
        <f>I23+I28+I40</f>
        <v>114175.04000000001</v>
      </c>
      <c r="D67" s="191"/>
      <c r="E67" s="191"/>
      <c r="F67" s="181"/>
      <c r="H67" s="181"/>
      <c r="I67" s="181"/>
      <c r="J67" s="210"/>
    </row>
    <row r="68" spans="1:13" hidden="1" x14ac:dyDescent="0.2">
      <c r="A68" s="190" t="s">
        <v>37</v>
      </c>
      <c r="B68" s="190">
        <v>652</v>
      </c>
      <c r="C68" s="185">
        <f>SUM(I5:I10)</f>
        <v>183084.56</v>
      </c>
      <c r="D68" s="191"/>
      <c r="E68" s="191"/>
      <c r="F68" s="181"/>
      <c r="H68" s="181"/>
      <c r="I68" s="181"/>
      <c r="J68" s="210"/>
    </row>
    <row r="69" spans="1:13" hidden="1" x14ac:dyDescent="0.2">
      <c r="A69" s="190" t="s">
        <v>38</v>
      </c>
      <c r="B69" s="190">
        <v>652</v>
      </c>
      <c r="C69" s="185">
        <f>I11+I12</f>
        <v>9773.1099999999988</v>
      </c>
      <c r="D69" s="191"/>
      <c r="E69" s="191"/>
    </row>
    <row r="70" spans="1:13" ht="15" hidden="1" x14ac:dyDescent="0.25">
      <c r="A70" s="190" t="s">
        <v>39</v>
      </c>
      <c r="B70" s="190">
        <v>652</v>
      </c>
      <c r="C70" s="185">
        <v>0</v>
      </c>
      <c r="D70" s="192"/>
      <c r="E70" s="192"/>
    </row>
    <row r="71" spans="1:13" hidden="1" x14ac:dyDescent="0.2">
      <c r="A71" s="190" t="s">
        <v>44</v>
      </c>
      <c r="B71" s="190">
        <v>652</v>
      </c>
      <c r="C71" s="185">
        <v>0</v>
      </c>
      <c r="D71" s="184"/>
      <c r="E71" s="184"/>
    </row>
    <row r="72" spans="1:13" hidden="1" x14ac:dyDescent="0.2">
      <c r="A72" s="190" t="s">
        <v>285</v>
      </c>
      <c r="B72" s="190">
        <v>652</v>
      </c>
      <c r="C72" s="185">
        <v>0</v>
      </c>
      <c r="D72" s="184"/>
      <c r="E72" s="184"/>
    </row>
    <row r="73" spans="1:13" hidden="1" x14ac:dyDescent="0.2">
      <c r="A73" s="190" t="s">
        <v>41</v>
      </c>
      <c r="B73" s="190">
        <v>652</v>
      </c>
      <c r="C73" s="185">
        <f>SUM(I49:I51)</f>
        <v>5254</v>
      </c>
      <c r="D73" s="184"/>
      <c r="E73" s="184"/>
    </row>
    <row r="74" spans="1:13" hidden="1" x14ac:dyDescent="0.2">
      <c r="A74" s="193" t="s">
        <v>42</v>
      </c>
      <c r="B74" s="193">
        <v>734</v>
      </c>
      <c r="C74" s="185">
        <v>0</v>
      </c>
      <c r="D74" s="184"/>
      <c r="E74" s="184"/>
    </row>
    <row r="75" spans="1:13" hidden="1" x14ac:dyDescent="0.2">
      <c r="A75" s="194" t="s">
        <v>43</v>
      </c>
      <c r="B75" s="193">
        <v>734</v>
      </c>
      <c r="C75" s="185">
        <f>I24</f>
        <v>9956.7099999999991</v>
      </c>
      <c r="D75" s="184"/>
      <c r="E75" s="184"/>
    </row>
    <row r="76" spans="1:13" hidden="1" x14ac:dyDescent="0.2">
      <c r="A76" s="193" t="s">
        <v>44</v>
      </c>
      <c r="B76" s="193">
        <v>734</v>
      </c>
      <c r="C76" s="185">
        <v>0</v>
      </c>
      <c r="D76" s="184"/>
      <c r="E76" s="184"/>
    </row>
    <row r="77" spans="1:13" hidden="1" x14ac:dyDescent="0.2">
      <c r="A77" s="195" t="s">
        <v>45</v>
      </c>
      <c r="B77" s="195">
        <v>735</v>
      </c>
      <c r="C77" s="185">
        <v>0</v>
      </c>
      <c r="D77" s="184"/>
      <c r="E77" s="184"/>
    </row>
    <row r="78" spans="1:13" hidden="1" x14ac:dyDescent="0.2">
      <c r="A78" s="184"/>
      <c r="B78" s="184"/>
      <c r="C78" s="184"/>
      <c r="D78" s="184"/>
      <c r="E78" s="184"/>
    </row>
    <row r="79" spans="1:13" hidden="1" x14ac:dyDescent="0.2">
      <c r="A79" s="184"/>
      <c r="B79" s="196" t="s">
        <v>286</v>
      </c>
      <c r="C79" s="185">
        <f>SUM(C66:C77)</f>
        <v>377894.84</v>
      </c>
      <c r="D79" s="184"/>
      <c r="E79" s="184"/>
    </row>
    <row r="80" spans="1:13" x14ac:dyDescent="0.2">
      <c r="A80" s="184"/>
      <c r="B80" s="184"/>
      <c r="C80" s="184"/>
      <c r="D80" s="184"/>
      <c r="E80" s="184"/>
    </row>
    <row r="81" spans="1:4" x14ac:dyDescent="0.2">
      <c r="A81" t="s">
        <v>283</v>
      </c>
      <c r="B81" t="s">
        <v>287</v>
      </c>
    </row>
    <row r="82" spans="1:4" x14ac:dyDescent="0.2">
      <c r="A82" t="s">
        <v>345</v>
      </c>
      <c r="B82">
        <v>650</v>
      </c>
      <c r="C82" s="227"/>
      <c r="D82" s="228">
        <f>J28</f>
        <v>4382.2900000000009</v>
      </c>
    </row>
    <row r="83" spans="1:4" x14ac:dyDescent="0.2">
      <c r="A83" t="s">
        <v>35</v>
      </c>
      <c r="B83">
        <v>651</v>
      </c>
      <c r="C83" s="197">
        <f>I13+I14+I15+I25+I41+I42</f>
        <v>55651.42</v>
      </c>
      <c r="D83" s="197">
        <f>J13+J14+J15+J25+J41+J42</f>
        <v>56606.42</v>
      </c>
    </row>
    <row r="84" spans="1:4" x14ac:dyDescent="0.2">
      <c r="A84" t="s">
        <v>36</v>
      </c>
      <c r="B84">
        <v>652</v>
      </c>
      <c r="C84" s="198">
        <f>I23+I28+I30</f>
        <v>61424.04</v>
      </c>
      <c r="D84" s="198">
        <f>J23+J27</f>
        <v>51770.75</v>
      </c>
    </row>
    <row r="85" spans="1:4" x14ac:dyDescent="0.2">
      <c r="A85" t="s">
        <v>37</v>
      </c>
      <c r="B85">
        <v>652</v>
      </c>
      <c r="C85" s="199">
        <f>I5+I6+I7+I8+I9+I10</f>
        <v>183084.56</v>
      </c>
      <c r="D85" s="199">
        <f>SUM(J5:J10)</f>
        <v>183119.56</v>
      </c>
    </row>
    <row r="86" spans="1:4" x14ac:dyDescent="0.2">
      <c r="A86" t="s">
        <v>343</v>
      </c>
      <c r="B86">
        <v>652</v>
      </c>
      <c r="C86" s="200">
        <f>I11+I12</f>
        <v>9773.1099999999988</v>
      </c>
      <c r="D86" s="200">
        <f>J11+J12</f>
        <v>9773.11</v>
      </c>
    </row>
    <row r="87" spans="1:4" x14ac:dyDescent="0.2">
      <c r="A87" t="s">
        <v>39</v>
      </c>
      <c r="B87">
        <v>652</v>
      </c>
      <c r="C87" s="201">
        <v>0</v>
      </c>
      <c r="D87" s="201"/>
    </row>
    <row r="88" spans="1:4" x14ac:dyDescent="0.2">
      <c r="A88" t="s">
        <v>344</v>
      </c>
      <c r="B88">
        <v>652</v>
      </c>
      <c r="C88" s="202">
        <f>I40</f>
        <v>57751</v>
      </c>
      <c r="D88" s="202">
        <f>J40</f>
        <v>57751.040000000001</v>
      </c>
    </row>
    <row r="89" spans="1:4" x14ac:dyDescent="0.2">
      <c r="A89" t="s">
        <v>285</v>
      </c>
      <c r="B89">
        <v>652</v>
      </c>
      <c r="C89" s="201">
        <v>0</v>
      </c>
      <c r="D89" s="201"/>
    </row>
    <row r="90" spans="1:4" x14ac:dyDescent="0.2">
      <c r="A90" t="s">
        <v>41</v>
      </c>
      <c r="B90">
        <v>652</v>
      </c>
      <c r="C90" s="203">
        <f>I51</f>
        <v>5254</v>
      </c>
      <c r="D90" s="203">
        <f>J51</f>
        <v>5254</v>
      </c>
    </row>
    <row r="91" spans="1:4" x14ac:dyDescent="0.2">
      <c r="A91" t="s">
        <v>42</v>
      </c>
      <c r="B91">
        <v>734</v>
      </c>
      <c r="C91" s="201">
        <v>0</v>
      </c>
      <c r="D91" s="201"/>
    </row>
    <row r="92" spans="1:4" x14ac:dyDescent="0.2">
      <c r="A92" t="s">
        <v>43</v>
      </c>
      <c r="B92">
        <v>734</v>
      </c>
      <c r="C92" s="204">
        <f>I24+I29</f>
        <v>29295.71</v>
      </c>
      <c r="D92" s="204">
        <f>J24+J29</f>
        <v>31033</v>
      </c>
    </row>
    <row r="93" spans="1:4" x14ac:dyDescent="0.2">
      <c r="A93" t="s">
        <v>44</v>
      </c>
      <c r="B93">
        <v>734</v>
      </c>
      <c r="C93" s="201">
        <v>0</v>
      </c>
      <c r="D93" s="201"/>
    </row>
    <row r="94" spans="1:4" x14ac:dyDescent="0.2">
      <c r="A94" t="s">
        <v>45</v>
      </c>
      <c r="B94">
        <v>735</v>
      </c>
      <c r="C94" s="201">
        <v>0</v>
      </c>
      <c r="D94" s="201"/>
    </row>
    <row r="96" spans="1:4" ht="13.5" thickBot="1" x14ac:dyDescent="0.25">
      <c r="B96" t="s">
        <v>286</v>
      </c>
      <c r="C96" s="201">
        <f>SUM(C83:C94)</f>
        <v>402233.84</v>
      </c>
      <c r="D96" s="229">
        <f>SUM(D82:D94)</f>
        <v>399690.17</v>
      </c>
    </row>
    <row r="97" ht="13.5" thickTop="1" x14ac:dyDescent="0.2"/>
  </sheetData>
  <mergeCells count="1">
    <mergeCell ref="A1:N1"/>
  </mergeCells>
  <pageMargins left="0.7" right="0.7" top="0.75" bottom="0.75" header="0.3" footer="0.3"/>
  <pageSetup scale="48" orientation="landscape" r:id="rId1"/>
  <ignoredErrors>
    <ignoredError sqref="L5 L4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1"/>
  <dimension ref="A1:I60"/>
  <sheetViews>
    <sheetView topLeftCell="A31" workbookViewId="0">
      <selection activeCell="H14" activeCellId="1" sqref="H9:H12 H14"/>
    </sheetView>
  </sheetViews>
  <sheetFormatPr defaultColWidth="9.140625" defaultRowHeight="15" x14ac:dyDescent="0.25"/>
  <cols>
    <col min="1" max="1" width="13.140625" style="213" bestFit="1" customWidth="1"/>
    <col min="2" max="2" width="12.85546875" style="213" bestFit="1" customWidth="1"/>
    <col min="3" max="3" width="12.42578125" style="213" bestFit="1" customWidth="1"/>
    <col min="4" max="4" width="11" style="213" bestFit="1" customWidth="1"/>
    <col min="5" max="5" width="16" style="213" bestFit="1" customWidth="1"/>
    <col min="6" max="6" width="19.140625" style="213" bestFit="1" customWidth="1"/>
    <col min="7" max="7" width="13.5703125" style="213" bestFit="1" customWidth="1"/>
    <col min="8" max="8" width="24" style="213" bestFit="1" customWidth="1"/>
    <col min="9" max="9" width="16.42578125" style="213" bestFit="1" customWidth="1"/>
    <col min="10" max="16384" width="9.140625" style="213"/>
  </cols>
  <sheetData>
    <row r="1" spans="1:9" x14ac:dyDescent="0.25">
      <c r="A1" s="213" t="s">
        <v>294</v>
      </c>
      <c r="B1" s="213" t="s">
        <v>295</v>
      </c>
      <c r="C1" s="214" t="s">
        <v>296</v>
      </c>
      <c r="D1" s="215" t="s">
        <v>297</v>
      </c>
      <c r="E1" s="215" t="s">
        <v>298</v>
      </c>
      <c r="F1" s="214" t="s">
        <v>299</v>
      </c>
      <c r="G1" s="215" t="s">
        <v>300</v>
      </c>
      <c r="H1" s="214" t="s">
        <v>301</v>
      </c>
      <c r="I1" s="215" t="s">
        <v>302</v>
      </c>
    </row>
    <row r="2" spans="1:9" x14ac:dyDescent="0.25">
      <c r="A2" s="213" t="s">
        <v>303</v>
      </c>
      <c r="B2" s="213" t="s">
        <v>304</v>
      </c>
      <c r="C2" s="214">
        <v>120</v>
      </c>
      <c r="D2" s="215">
        <v>62.21</v>
      </c>
      <c r="E2" s="215">
        <f t="shared" ref="E2:E12" si="0">C2*D2</f>
        <v>7465.2</v>
      </c>
      <c r="F2" s="214" t="s">
        <v>305</v>
      </c>
      <c r="G2" s="215">
        <v>273.48</v>
      </c>
      <c r="H2" s="214" t="s">
        <v>306</v>
      </c>
      <c r="I2" s="215">
        <v>1335.6</v>
      </c>
    </row>
    <row r="3" spans="1:9" x14ac:dyDescent="0.25">
      <c r="B3" s="213" t="s">
        <v>307</v>
      </c>
      <c r="C3" s="214">
        <v>20</v>
      </c>
      <c r="D3" s="215">
        <v>87.56</v>
      </c>
      <c r="E3" s="215">
        <f t="shared" si="0"/>
        <v>1751.2</v>
      </c>
      <c r="F3" s="214"/>
      <c r="G3" s="215"/>
      <c r="H3" s="214"/>
      <c r="I3" s="215"/>
    </row>
    <row r="4" spans="1:9" x14ac:dyDescent="0.25">
      <c r="A4" s="213" t="s">
        <v>308</v>
      </c>
      <c r="B4" s="213" t="s">
        <v>304</v>
      </c>
      <c r="C4" s="214">
        <v>45</v>
      </c>
      <c r="D4" s="215">
        <v>62.21</v>
      </c>
      <c r="E4" s="215">
        <f t="shared" si="0"/>
        <v>2799.45</v>
      </c>
      <c r="F4" s="214" t="s">
        <v>305</v>
      </c>
      <c r="G4" s="215">
        <v>273.48</v>
      </c>
      <c r="H4" s="214"/>
      <c r="I4" s="215"/>
    </row>
    <row r="5" spans="1:9" x14ac:dyDescent="0.25">
      <c r="B5" s="213" t="s">
        <v>307</v>
      </c>
      <c r="C5" s="214">
        <v>5</v>
      </c>
      <c r="D5" s="215">
        <v>87.56</v>
      </c>
      <c r="E5" s="215">
        <f t="shared" si="0"/>
        <v>437.8</v>
      </c>
      <c r="F5" s="214"/>
      <c r="G5" s="215"/>
      <c r="H5" s="214"/>
      <c r="I5" s="215"/>
    </row>
    <row r="6" spans="1:9" x14ac:dyDescent="0.25">
      <c r="A6" s="213" t="s">
        <v>309</v>
      </c>
      <c r="B6" s="213" t="s">
        <v>304</v>
      </c>
      <c r="C6" s="214">
        <v>45</v>
      </c>
      <c r="D6" s="215">
        <v>62.21</v>
      </c>
      <c r="E6" s="215">
        <f t="shared" si="0"/>
        <v>2799.45</v>
      </c>
      <c r="F6" s="214" t="s">
        <v>305</v>
      </c>
      <c r="G6" s="215">
        <v>273.48</v>
      </c>
      <c r="H6" s="214"/>
      <c r="I6" s="215"/>
    </row>
    <row r="7" spans="1:9" x14ac:dyDescent="0.25">
      <c r="B7" s="213" t="s">
        <v>307</v>
      </c>
      <c r="C7" s="214">
        <v>5</v>
      </c>
      <c r="D7" s="215">
        <v>87.56</v>
      </c>
      <c r="E7" s="215">
        <f t="shared" si="0"/>
        <v>437.8</v>
      </c>
      <c r="F7" s="214"/>
      <c r="G7" s="215"/>
      <c r="H7" s="214"/>
      <c r="I7" s="215"/>
    </row>
    <row r="8" spans="1:9" x14ac:dyDescent="0.25">
      <c r="A8" s="213" t="s">
        <v>310</v>
      </c>
      <c r="B8" s="213" t="s">
        <v>304</v>
      </c>
      <c r="C8" s="214">
        <v>45</v>
      </c>
      <c r="D8" s="215">
        <v>62.21</v>
      </c>
      <c r="E8" s="215">
        <f t="shared" si="0"/>
        <v>2799.45</v>
      </c>
      <c r="F8" s="214" t="s">
        <v>305</v>
      </c>
      <c r="G8" s="215">
        <v>273.48</v>
      </c>
      <c r="H8" s="214"/>
      <c r="I8" s="215"/>
    </row>
    <row r="9" spans="1:9" x14ac:dyDescent="0.25">
      <c r="B9" s="213" t="s">
        <v>307</v>
      </c>
      <c r="C9" s="214">
        <v>5</v>
      </c>
      <c r="D9" s="215">
        <v>87.56</v>
      </c>
      <c r="E9" s="215">
        <f t="shared" si="0"/>
        <v>437.8</v>
      </c>
      <c r="F9" s="214"/>
      <c r="G9" s="215"/>
      <c r="H9" s="214"/>
      <c r="I9" s="215"/>
    </row>
    <row r="10" spans="1:9" x14ac:dyDescent="0.25">
      <c r="A10" s="213" t="s">
        <v>311</v>
      </c>
      <c r="B10" s="213" t="s">
        <v>304</v>
      </c>
      <c r="C10" s="214">
        <v>5</v>
      </c>
      <c r="D10" s="215">
        <v>62.21</v>
      </c>
      <c r="E10" s="215">
        <f t="shared" si="0"/>
        <v>311.05</v>
      </c>
      <c r="F10" s="214" t="s">
        <v>305</v>
      </c>
      <c r="G10" s="215">
        <v>273.48</v>
      </c>
      <c r="H10" s="214"/>
      <c r="I10" s="215"/>
    </row>
    <row r="11" spans="1:9" x14ac:dyDescent="0.25">
      <c r="B11" s="213" t="s">
        <v>307</v>
      </c>
      <c r="C11" s="214">
        <v>10</v>
      </c>
      <c r="D11" s="215">
        <v>87.56</v>
      </c>
      <c r="E11" s="215">
        <f t="shared" si="0"/>
        <v>875.6</v>
      </c>
      <c r="F11" s="214"/>
      <c r="G11" s="215"/>
      <c r="H11" s="214"/>
      <c r="I11" s="215"/>
    </row>
    <row r="12" spans="1:9" x14ac:dyDescent="0.25">
      <c r="A12" s="216" t="s">
        <v>312</v>
      </c>
      <c r="B12" s="213" t="s">
        <v>307</v>
      </c>
      <c r="C12" s="214">
        <v>26</v>
      </c>
      <c r="D12" s="215">
        <v>87.56</v>
      </c>
      <c r="E12" s="215">
        <f t="shared" si="0"/>
        <v>2276.56</v>
      </c>
      <c r="F12" s="214" t="s">
        <v>313</v>
      </c>
      <c r="G12" s="215">
        <v>273.48</v>
      </c>
      <c r="H12" s="214" t="s">
        <v>306</v>
      </c>
      <c r="I12" s="215">
        <v>1335.6</v>
      </c>
    </row>
    <row r="13" spans="1:9" x14ac:dyDescent="0.25">
      <c r="A13" s="216"/>
      <c r="C13" s="214"/>
      <c r="D13" s="215"/>
      <c r="E13" s="215"/>
      <c r="F13" s="214"/>
      <c r="G13" s="215"/>
      <c r="H13" s="214"/>
      <c r="I13" s="215"/>
    </row>
    <row r="14" spans="1:9" x14ac:dyDescent="0.25">
      <c r="A14" s="213" t="s">
        <v>314</v>
      </c>
      <c r="B14" s="213" t="s">
        <v>304</v>
      </c>
      <c r="C14" s="214">
        <v>0</v>
      </c>
      <c r="D14" s="215">
        <v>62.21</v>
      </c>
      <c r="E14" s="215">
        <f t="shared" ref="E14:E29" si="1">C14*D14</f>
        <v>0</v>
      </c>
      <c r="F14" s="214" t="s">
        <v>313</v>
      </c>
      <c r="G14" s="215">
        <v>273.48</v>
      </c>
      <c r="H14" s="214" t="s">
        <v>306</v>
      </c>
      <c r="I14" s="215">
        <v>1335.6</v>
      </c>
    </row>
    <row r="15" spans="1:9" x14ac:dyDescent="0.25">
      <c r="B15" s="213" t="s">
        <v>307</v>
      </c>
      <c r="C15" s="214">
        <v>29</v>
      </c>
      <c r="D15" s="215">
        <v>87.56</v>
      </c>
      <c r="E15" s="215">
        <f t="shared" si="1"/>
        <v>2539.2400000000002</v>
      </c>
      <c r="F15" s="214"/>
      <c r="G15" s="215"/>
      <c r="H15" s="214"/>
      <c r="I15" s="215"/>
    </row>
    <row r="16" spans="1:9" x14ac:dyDescent="0.25">
      <c r="A16" s="216" t="s">
        <v>265</v>
      </c>
      <c r="B16" s="213" t="s">
        <v>304</v>
      </c>
      <c r="C16" s="214">
        <v>45</v>
      </c>
      <c r="D16" s="215">
        <v>62.21</v>
      </c>
      <c r="E16" s="215">
        <f t="shared" si="1"/>
        <v>2799.45</v>
      </c>
      <c r="F16" s="214" t="s">
        <v>305</v>
      </c>
      <c r="G16" s="215">
        <v>273.48</v>
      </c>
      <c r="H16" s="214"/>
      <c r="I16" s="215"/>
    </row>
    <row r="17" spans="1:9" x14ac:dyDescent="0.25">
      <c r="B17" s="213" t="s">
        <v>307</v>
      </c>
      <c r="C17" s="214">
        <v>5</v>
      </c>
      <c r="D17" s="215">
        <v>87.56</v>
      </c>
      <c r="E17" s="215">
        <f t="shared" si="1"/>
        <v>437.8</v>
      </c>
      <c r="F17" s="214"/>
      <c r="G17" s="215"/>
      <c r="H17" s="214"/>
      <c r="I17" s="215"/>
    </row>
    <row r="18" spans="1:9" x14ac:dyDescent="0.25">
      <c r="A18" s="213" t="s">
        <v>315</v>
      </c>
      <c r="B18" s="213" t="s">
        <v>304</v>
      </c>
      <c r="C18" s="214">
        <v>45</v>
      </c>
      <c r="D18" s="215">
        <v>62.21</v>
      </c>
      <c r="E18" s="215">
        <f t="shared" si="1"/>
        <v>2799.45</v>
      </c>
      <c r="F18" s="214" t="s">
        <v>305</v>
      </c>
      <c r="G18" s="215">
        <v>273.48</v>
      </c>
      <c r="H18" s="214"/>
      <c r="I18" s="215"/>
    </row>
    <row r="19" spans="1:9" x14ac:dyDescent="0.25">
      <c r="B19" s="213" t="s">
        <v>307</v>
      </c>
      <c r="C19" s="214">
        <v>5</v>
      </c>
      <c r="D19" s="215">
        <v>87.56</v>
      </c>
      <c r="E19" s="215">
        <f t="shared" si="1"/>
        <v>437.8</v>
      </c>
      <c r="F19" s="214"/>
      <c r="G19" s="215"/>
      <c r="H19" s="214"/>
      <c r="I19" s="215"/>
    </row>
    <row r="20" spans="1:9" x14ac:dyDescent="0.25">
      <c r="A20" s="216" t="s">
        <v>263</v>
      </c>
      <c r="B20" s="213" t="s">
        <v>304</v>
      </c>
      <c r="C20" s="214">
        <v>45</v>
      </c>
      <c r="D20" s="215">
        <v>62.21</v>
      </c>
      <c r="E20" s="215">
        <f t="shared" si="1"/>
        <v>2799.45</v>
      </c>
      <c r="F20" s="214" t="s">
        <v>305</v>
      </c>
      <c r="G20" s="215">
        <v>273.48</v>
      </c>
      <c r="H20" s="214"/>
      <c r="I20" s="215"/>
    </row>
    <row r="21" spans="1:9" x14ac:dyDescent="0.25">
      <c r="B21" s="213" t="s">
        <v>307</v>
      </c>
      <c r="C21" s="214">
        <v>5</v>
      </c>
      <c r="D21" s="215">
        <v>87.56</v>
      </c>
      <c r="E21" s="215">
        <f t="shared" si="1"/>
        <v>437.8</v>
      </c>
      <c r="F21" s="214"/>
      <c r="G21" s="215"/>
      <c r="H21" s="214"/>
      <c r="I21" s="215"/>
    </row>
    <row r="22" spans="1:9" x14ac:dyDescent="0.25">
      <c r="A22" s="216" t="s">
        <v>316</v>
      </c>
      <c r="B22" s="213" t="s">
        <v>304</v>
      </c>
      <c r="C22" s="214">
        <v>65</v>
      </c>
      <c r="D22" s="215">
        <v>62.21</v>
      </c>
      <c r="E22" s="215">
        <f t="shared" si="1"/>
        <v>4043.65</v>
      </c>
      <c r="F22" s="214" t="s">
        <v>305</v>
      </c>
      <c r="G22" s="215">
        <v>273.48</v>
      </c>
      <c r="H22" s="214"/>
      <c r="I22" s="215"/>
    </row>
    <row r="23" spans="1:9" x14ac:dyDescent="0.25">
      <c r="A23" s="216"/>
      <c r="B23" s="213" t="s">
        <v>307</v>
      </c>
      <c r="C23" s="214">
        <v>10</v>
      </c>
      <c r="D23" s="215">
        <v>87.56</v>
      </c>
      <c r="E23" s="215">
        <f t="shared" si="1"/>
        <v>875.6</v>
      </c>
      <c r="F23" s="214"/>
      <c r="G23" s="215"/>
      <c r="H23" s="214"/>
      <c r="I23" s="215"/>
    </row>
    <row r="24" spans="1:9" x14ac:dyDescent="0.25">
      <c r="A24" s="213" t="s">
        <v>262</v>
      </c>
      <c r="B24" s="213" t="s">
        <v>304</v>
      </c>
      <c r="C24" s="214">
        <v>55</v>
      </c>
      <c r="D24" s="215">
        <v>62.21</v>
      </c>
      <c r="E24" s="215">
        <f t="shared" si="1"/>
        <v>3421.55</v>
      </c>
      <c r="F24" s="214" t="s">
        <v>305</v>
      </c>
      <c r="G24" s="215">
        <v>273.48</v>
      </c>
      <c r="H24" s="214"/>
      <c r="I24" s="215"/>
    </row>
    <row r="25" spans="1:9" x14ac:dyDescent="0.25">
      <c r="B25" s="213" t="s">
        <v>307</v>
      </c>
      <c r="C25" s="214">
        <v>10</v>
      </c>
      <c r="D25" s="215">
        <v>87.56</v>
      </c>
      <c r="E25" s="215">
        <f t="shared" si="1"/>
        <v>875.6</v>
      </c>
      <c r="F25" s="214"/>
      <c r="G25" s="215"/>
      <c r="H25" s="214"/>
      <c r="I25" s="215"/>
    </row>
    <row r="26" spans="1:9" x14ac:dyDescent="0.25">
      <c r="A26" s="216" t="s">
        <v>260</v>
      </c>
      <c r="B26" s="213" t="s">
        <v>304</v>
      </c>
      <c r="C26" s="214">
        <v>20</v>
      </c>
      <c r="D26" s="215">
        <v>62.21</v>
      </c>
      <c r="E26" s="215">
        <f t="shared" si="1"/>
        <v>1244.2</v>
      </c>
      <c r="F26" s="214" t="s">
        <v>305</v>
      </c>
      <c r="G26" s="215">
        <v>273.48</v>
      </c>
      <c r="H26" s="214"/>
      <c r="I26" s="215"/>
    </row>
    <row r="27" spans="1:9" x14ac:dyDescent="0.25">
      <c r="B27" s="213" t="s">
        <v>307</v>
      </c>
      <c r="C27" s="214">
        <v>5</v>
      </c>
      <c r="D27" s="215">
        <v>87.56</v>
      </c>
      <c r="E27" s="215">
        <f t="shared" si="1"/>
        <v>437.8</v>
      </c>
      <c r="F27" s="214"/>
      <c r="G27" s="215"/>
      <c r="H27" s="214"/>
      <c r="I27" s="215"/>
    </row>
    <row r="28" spans="1:9" x14ac:dyDescent="0.25">
      <c r="A28" s="213" t="s">
        <v>261</v>
      </c>
      <c r="B28" s="213" t="s">
        <v>304</v>
      </c>
      <c r="C28" s="214">
        <v>30</v>
      </c>
      <c r="D28" s="215">
        <v>62.21</v>
      </c>
      <c r="E28" s="215">
        <f t="shared" si="1"/>
        <v>1866.3</v>
      </c>
      <c r="F28" s="214" t="s">
        <v>305</v>
      </c>
      <c r="G28" s="215">
        <v>273.48</v>
      </c>
      <c r="H28" s="214"/>
      <c r="I28" s="215"/>
    </row>
    <row r="29" spans="1:9" x14ac:dyDescent="0.25">
      <c r="B29" s="213" t="s">
        <v>307</v>
      </c>
      <c r="C29" s="214">
        <v>10</v>
      </c>
      <c r="D29" s="215">
        <v>87.56</v>
      </c>
      <c r="E29" s="215">
        <f t="shared" si="1"/>
        <v>875.6</v>
      </c>
      <c r="F29" s="214"/>
      <c r="G29" s="215"/>
      <c r="H29" s="214"/>
      <c r="I29" s="215"/>
    </row>
    <row r="30" spans="1:9" x14ac:dyDescent="0.25">
      <c r="C30" s="214"/>
      <c r="D30" s="215"/>
      <c r="E30" s="215"/>
      <c r="F30" s="214"/>
      <c r="G30" s="215"/>
      <c r="H30" s="214"/>
      <c r="I30" s="215"/>
    </row>
    <row r="31" spans="1:9" x14ac:dyDescent="0.25">
      <c r="A31" s="213" t="s">
        <v>317</v>
      </c>
      <c r="B31" s="213" t="s">
        <v>304</v>
      </c>
      <c r="C31" s="214">
        <v>10</v>
      </c>
      <c r="D31" s="215">
        <v>62.21</v>
      </c>
      <c r="E31" s="215">
        <f>C31*D31</f>
        <v>622.1</v>
      </c>
      <c r="F31" s="214"/>
      <c r="G31" s="215"/>
      <c r="H31" s="214"/>
      <c r="I31" s="215"/>
    </row>
    <row r="32" spans="1:9" x14ac:dyDescent="0.25">
      <c r="A32" s="213" t="s">
        <v>317</v>
      </c>
      <c r="B32" s="213" t="s">
        <v>307</v>
      </c>
      <c r="C32" s="214">
        <v>10</v>
      </c>
      <c r="D32" s="215">
        <v>87.56</v>
      </c>
      <c r="E32" s="215">
        <f>C32*D32</f>
        <v>875.6</v>
      </c>
      <c r="F32" s="214"/>
      <c r="G32" s="215"/>
      <c r="H32" s="214"/>
      <c r="I32" s="215"/>
    </row>
    <row r="33" spans="1:9" x14ac:dyDescent="0.25">
      <c r="C33" s="214"/>
      <c r="D33" s="215"/>
      <c r="E33" s="215"/>
      <c r="F33" s="214"/>
      <c r="G33" s="215"/>
      <c r="H33" s="214"/>
      <c r="I33" s="215"/>
    </row>
    <row r="34" spans="1:9" x14ac:dyDescent="0.25">
      <c r="A34" s="213" t="s">
        <v>318</v>
      </c>
      <c r="B34" s="213" t="s">
        <v>304</v>
      </c>
      <c r="C34" s="214">
        <f>C2+C4+C6+C8+C10+C14+C16+C18+C20+C22+C24+C26+C28+C31</f>
        <v>575</v>
      </c>
      <c r="D34" s="215">
        <v>62.21</v>
      </c>
      <c r="E34" s="215">
        <f>C34*D34</f>
        <v>35770.75</v>
      </c>
      <c r="G34" s="215"/>
      <c r="H34" s="217"/>
      <c r="I34" s="215"/>
    </row>
    <row r="35" spans="1:9" x14ac:dyDescent="0.25">
      <c r="B35" s="213" t="s">
        <v>307</v>
      </c>
      <c r="C35" s="214">
        <f>C3+C5+C7+C9+C11+C12+C15+C17+C19+C21+C23+C25+C27+C29+C32</f>
        <v>160</v>
      </c>
      <c r="D35" s="215">
        <v>87.56</v>
      </c>
      <c r="E35" s="215">
        <f>C35*D35</f>
        <v>14009.6</v>
      </c>
      <c r="G35" s="215"/>
      <c r="H35" s="217"/>
      <c r="I35" s="215"/>
    </row>
    <row r="36" spans="1:9" x14ac:dyDescent="0.25">
      <c r="C36" s="214"/>
      <c r="D36" s="215"/>
      <c r="E36" s="215"/>
      <c r="F36" s="214"/>
      <c r="G36" s="215"/>
      <c r="H36" s="214"/>
      <c r="I36" s="215"/>
    </row>
    <row r="37" spans="1:9" x14ac:dyDescent="0.25">
      <c r="A37" s="213" t="s">
        <v>318</v>
      </c>
      <c r="C37" s="214">
        <f>SUM(C2:C29)</f>
        <v>715</v>
      </c>
      <c r="D37" s="215"/>
      <c r="E37" s="215">
        <f>SUM(E34:E35)</f>
        <v>49780.35</v>
      </c>
      <c r="F37" s="214"/>
      <c r="G37" s="215">
        <f>SUM(G2:G28)</f>
        <v>3828.7200000000003</v>
      </c>
      <c r="H37" s="214"/>
      <c r="I37" s="215">
        <f>SUM(I2:I28)</f>
        <v>4006.7999999999997</v>
      </c>
    </row>
    <row r="38" spans="1:9" x14ac:dyDescent="0.25">
      <c r="C38" s="214"/>
      <c r="D38" s="215" t="s">
        <v>319</v>
      </c>
      <c r="E38" s="215">
        <v>135</v>
      </c>
      <c r="F38" s="214"/>
      <c r="G38" s="215"/>
      <c r="H38" s="214"/>
      <c r="I38" s="215"/>
    </row>
    <row r="39" spans="1:9" x14ac:dyDescent="0.25">
      <c r="C39" s="214"/>
      <c r="D39" s="215"/>
      <c r="E39" s="215"/>
      <c r="F39" s="214"/>
      <c r="G39" s="215"/>
      <c r="H39" s="214"/>
      <c r="I39" s="215"/>
    </row>
    <row r="40" spans="1:9" x14ac:dyDescent="0.25">
      <c r="D40" s="216" t="s">
        <v>286</v>
      </c>
      <c r="E40" s="218">
        <f>E37+E38+G37+I37</f>
        <v>57750.87</v>
      </c>
    </row>
    <row r="42" spans="1:9" x14ac:dyDescent="0.25">
      <c r="A42" s="216" t="s">
        <v>320</v>
      </c>
    </row>
    <row r="43" spans="1:9" x14ac:dyDescent="0.25">
      <c r="A43" s="213" t="s">
        <v>321</v>
      </c>
      <c r="B43" s="219">
        <f>E12+G12+I12</f>
        <v>3885.64</v>
      </c>
    </row>
    <row r="44" spans="1:9" x14ac:dyDescent="0.25">
      <c r="A44" s="213" t="s">
        <v>311</v>
      </c>
      <c r="B44" s="219">
        <f>E10+E11+G10</f>
        <v>1460.13</v>
      </c>
    </row>
    <row r="45" spans="1:9" x14ac:dyDescent="0.25">
      <c r="A45" s="213" t="s">
        <v>315</v>
      </c>
      <c r="B45" s="219">
        <f>E18+E19+G18</f>
        <v>3510.73</v>
      </c>
    </row>
    <row r="46" spans="1:9" x14ac:dyDescent="0.25">
      <c r="A46" s="213" t="s">
        <v>262</v>
      </c>
      <c r="B46" s="219">
        <f>E24+E25+G24</f>
        <v>4570.630000000001</v>
      </c>
    </row>
    <row r="47" spans="1:9" x14ac:dyDescent="0.25">
      <c r="A47" s="213" t="s">
        <v>303</v>
      </c>
      <c r="B47" s="219">
        <f>E2+E3+G2+I2</f>
        <v>10825.48</v>
      </c>
    </row>
    <row r="48" spans="1:9" x14ac:dyDescent="0.25">
      <c r="A48" s="213" t="s">
        <v>314</v>
      </c>
      <c r="B48" s="219">
        <f>E15+G14+I14</f>
        <v>4148.32</v>
      </c>
    </row>
    <row r="49" spans="1:2" x14ac:dyDescent="0.25">
      <c r="A49" s="213" t="s">
        <v>265</v>
      </c>
      <c r="B49" s="219">
        <f>E16+E17+G16</f>
        <v>3510.73</v>
      </c>
    </row>
    <row r="50" spans="1:2" x14ac:dyDescent="0.25">
      <c r="A50" s="213" t="s">
        <v>308</v>
      </c>
      <c r="B50" s="219">
        <f>E4+E5+G4</f>
        <v>3510.73</v>
      </c>
    </row>
    <row r="51" spans="1:2" x14ac:dyDescent="0.25">
      <c r="A51" s="213" t="s">
        <v>310</v>
      </c>
      <c r="B51" s="219">
        <f>E8+E9+G8</f>
        <v>3510.73</v>
      </c>
    </row>
    <row r="52" spans="1:2" x14ac:dyDescent="0.25">
      <c r="A52" s="213" t="s">
        <v>309</v>
      </c>
      <c r="B52" s="219">
        <f>E6+E7+G6</f>
        <v>3510.73</v>
      </c>
    </row>
    <row r="53" spans="1:2" x14ac:dyDescent="0.25">
      <c r="A53" s="213" t="s">
        <v>316</v>
      </c>
      <c r="B53" s="219">
        <f>E22+E23+G22</f>
        <v>5192.7299999999996</v>
      </c>
    </row>
    <row r="54" spans="1:2" x14ac:dyDescent="0.25">
      <c r="A54" s="213" t="s">
        <v>263</v>
      </c>
      <c r="B54" s="219">
        <f>E20+E21+G20</f>
        <v>3510.73</v>
      </c>
    </row>
    <row r="55" spans="1:2" x14ac:dyDescent="0.25">
      <c r="A55" s="213" t="s">
        <v>261</v>
      </c>
      <c r="B55" s="219">
        <f>E28+E29+G28</f>
        <v>3015.38</v>
      </c>
    </row>
    <row r="56" spans="1:2" x14ac:dyDescent="0.25">
      <c r="A56" s="213" t="s">
        <v>260</v>
      </c>
      <c r="B56" s="219">
        <f>E26+E27+G26</f>
        <v>1955.48</v>
      </c>
    </row>
    <row r="57" spans="1:2" x14ac:dyDescent="0.25">
      <c r="A57" s="213" t="s">
        <v>322</v>
      </c>
      <c r="B57" s="219">
        <f>E31+E32</f>
        <v>1497.7</v>
      </c>
    </row>
    <row r="58" spans="1:2" x14ac:dyDescent="0.25">
      <c r="A58" s="213" t="s">
        <v>319</v>
      </c>
      <c r="B58" s="219">
        <v>135</v>
      </c>
    </row>
    <row r="60" spans="1:2" x14ac:dyDescent="0.25">
      <c r="A60" s="216" t="s">
        <v>286</v>
      </c>
      <c r="B60" s="218">
        <f>SUM(B43:B58)</f>
        <v>57750.87</v>
      </c>
    </row>
  </sheetData>
  <pageMargins left="0.7" right="0.7" top="0.75" bottom="0.75" header="0.3" footer="0.3"/>
  <pageSetup paperSize="1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6</vt:i4>
      </vt:variant>
    </vt:vector>
  </HeadingPairs>
  <TitlesOfParts>
    <vt:vector size="22" baseType="lpstr">
      <vt:lpstr>5 Yr CIP - Add'l Rev</vt:lpstr>
      <vt:lpstr>5 Yr CIP - Add'l Exp</vt:lpstr>
      <vt:lpstr>Budget Revised - Manual</vt:lpstr>
      <vt:lpstr>Summer '15</vt:lpstr>
      <vt:lpstr>Summer '14 REVISED</vt:lpstr>
      <vt:lpstr>Summer '16 REVISED</vt:lpstr>
      <vt:lpstr>Summer '15 (FY15_16)</vt:lpstr>
      <vt:lpstr>Summer '16 (FY16_17)</vt:lpstr>
      <vt:lpstr>Summary FFE</vt:lpstr>
      <vt:lpstr>REVISED EdTech</vt:lpstr>
      <vt:lpstr>REVISED InfrastructureTech</vt:lpstr>
      <vt:lpstr>DHS STEM EdTech</vt:lpstr>
      <vt:lpstr>DHS STEM InfrastructureTech</vt:lpstr>
      <vt:lpstr>Summer '14</vt:lpstr>
      <vt:lpstr>IT - Summer '13</vt:lpstr>
      <vt:lpstr>VOIP system</vt:lpstr>
      <vt:lpstr>'5 Yr CIP - Add''l Exp'!Print_Area</vt:lpstr>
      <vt:lpstr>'5 Yr CIP - Add''l Rev'!Print_Area</vt:lpstr>
      <vt:lpstr>'DHS STEM EdTech'!Print_Area</vt:lpstr>
      <vt:lpstr>'REVISED EdTech'!Print_Area</vt:lpstr>
      <vt:lpstr>'VOIP system'!Print_Area</vt:lpstr>
      <vt:lpstr>'5 Yr CIP - Add''l Exp'!Print_Titles</vt:lpstr>
    </vt:vector>
  </TitlesOfParts>
  <Company>Douglas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Luna, Holly</dc:creator>
  <cp:lastModifiedBy>Estes, Susan</cp:lastModifiedBy>
  <cp:lastPrinted>2025-12-08T18:01:00Z</cp:lastPrinted>
  <dcterms:created xsi:type="dcterms:W3CDTF">2013-03-26T16:43:09Z</dcterms:created>
  <dcterms:modified xsi:type="dcterms:W3CDTF">2025-12-08T18:01:24Z</dcterms:modified>
</cp:coreProperties>
</file>