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dgeportedunet-my.sharepoint.com/personal/pstlouis_bridgeportedu_net/Documents/Budget Manager/ANNUAL BUDGET/2027 BUDGET/"/>
    </mc:Choice>
  </mc:AlternateContent>
  <xr:revisionPtr revIDLastSave="7" documentId="8_{F7182A63-1F95-484A-A1DF-90C09024EBB2}" xr6:coauthVersionLast="47" xr6:coauthVersionMax="47" xr10:uidLastSave="{0054C83B-1A3C-459C-BE77-7A1A78CF0B9C}"/>
  <bookViews>
    <workbookView xWindow="-108" yWindow="-108" windowWidth="23256" windowHeight="12456" firstSheet="1" activeTab="2" xr2:uid="{AFBED2EB-511B-4E95-AB96-5BD1EADB4CB6}"/>
  </bookViews>
  <sheets>
    <sheet name="1 Oper Budget Approp" sheetId="1" state="hidden" r:id="rId1"/>
    <sheet name="2 OPBUD Summary" sheetId="2" r:id="rId2"/>
    <sheet name="3 OPBUD Detail" sheetId="3" r:id="rId3"/>
    <sheet name="SchLocTable" sheetId="7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" l="1"/>
  <c r="J8" i="2"/>
  <c r="I9" i="2"/>
  <c r="I113" i="2" s="1"/>
  <c r="J9" i="2"/>
  <c r="J113" i="2" s="1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63" i="2"/>
  <c r="J63" i="2"/>
  <c r="I64" i="2"/>
  <c r="J64" i="2"/>
  <c r="I65" i="2"/>
  <c r="J65" i="2"/>
  <c r="I66" i="2"/>
  <c r="J66" i="2"/>
  <c r="I67" i="2"/>
  <c r="J67" i="2"/>
  <c r="I68" i="2"/>
  <c r="J68" i="2"/>
  <c r="I69" i="2"/>
  <c r="J69" i="2"/>
  <c r="I70" i="2"/>
  <c r="J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J111" i="2"/>
  <c r="J116" i="2"/>
  <c r="J117" i="2"/>
  <c r="J118" i="2"/>
  <c r="J119" i="2"/>
  <c r="J120" i="2"/>
  <c r="I116" i="2"/>
  <c r="I121" i="2" s="1"/>
  <c r="I117" i="2"/>
  <c r="I118" i="2"/>
  <c r="I119" i="2"/>
  <c r="I120" i="2"/>
  <c r="Q3" i="3"/>
  <c r="Q4" i="3"/>
  <c r="Q5" i="3"/>
  <c r="Q108" i="3" s="1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O108" i="3"/>
  <c r="P108" i="3"/>
  <c r="O111" i="3"/>
  <c r="P111" i="3"/>
  <c r="O112" i="3"/>
  <c r="P112" i="3"/>
  <c r="O113" i="3"/>
  <c r="O116" i="3" s="1"/>
  <c r="P113" i="3"/>
  <c r="P116" i="3" s="1"/>
  <c r="O114" i="3"/>
  <c r="P114" i="3"/>
  <c r="O115" i="3"/>
  <c r="P115" i="3"/>
  <c r="J121" i="2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P5099" i="3"/>
  <c r="O5099" i="3"/>
  <c r="A4799" i="3"/>
  <c r="A4800" i="3"/>
  <c r="A4801" i="3"/>
  <c r="A4802" i="3"/>
  <c r="A4803" i="3"/>
  <c r="A4804" i="3"/>
  <c r="A4805" i="3"/>
  <c r="A4806" i="3"/>
  <c r="A4807" i="3"/>
  <c r="A4808" i="3"/>
  <c r="A4809" i="3"/>
  <c r="A4810" i="3"/>
  <c r="A4811" i="3"/>
  <c r="A4812" i="3"/>
  <c r="A4813" i="3"/>
  <c r="A4814" i="3"/>
  <c r="A4815" i="3"/>
  <c r="A4816" i="3"/>
  <c r="A4817" i="3"/>
  <c r="A4818" i="3"/>
  <c r="A4819" i="3"/>
  <c r="A4820" i="3"/>
  <c r="A4821" i="3"/>
  <c r="A4822" i="3"/>
  <c r="A4823" i="3"/>
  <c r="A4824" i="3"/>
  <c r="A4825" i="3"/>
  <c r="A4826" i="3"/>
  <c r="A4827" i="3"/>
  <c r="A4828" i="3"/>
  <c r="A4829" i="3"/>
  <c r="A4830" i="3"/>
  <c r="A4831" i="3"/>
  <c r="A4832" i="3"/>
  <c r="A4833" i="3"/>
  <c r="A4834" i="3"/>
  <c r="A4835" i="3"/>
  <c r="A4836" i="3"/>
  <c r="A4837" i="3"/>
  <c r="A4838" i="3"/>
  <c r="A4839" i="3"/>
  <c r="A4840" i="3"/>
  <c r="A4841" i="3"/>
  <c r="A4842" i="3"/>
  <c r="A4843" i="3"/>
  <c r="A4844" i="3"/>
  <c r="A4845" i="3"/>
  <c r="A4846" i="3"/>
  <c r="A4847" i="3"/>
  <c r="A4848" i="3"/>
  <c r="A4849" i="3"/>
  <c r="A4850" i="3"/>
  <c r="A4851" i="3"/>
  <c r="A4852" i="3"/>
  <c r="A4853" i="3"/>
  <c r="A4854" i="3"/>
  <c r="A4855" i="3"/>
  <c r="A4856" i="3"/>
  <c r="A4857" i="3"/>
  <c r="A4858" i="3"/>
  <c r="A4859" i="3"/>
  <c r="A4860" i="3"/>
  <c r="A4861" i="3"/>
  <c r="A4862" i="3"/>
  <c r="A4863" i="3"/>
  <c r="A4864" i="3"/>
  <c r="A4865" i="3"/>
  <c r="A4866" i="3"/>
  <c r="A4867" i="3"/>
  <c r="A4868" i="3"/>
  <c r="A4869" i="3"/>
  <c r="A4870" i="3"/>
  <c r="A4871" i="3"/>
  <c r="A4872" i="3"/>
  <c r="A4873" i="3"/>
  <c r="A4874" i="3"/>
  <c r="A4875" i="3"/>
  <c r="A4876" i="3"/>
  <c r="A4877" i="3"/>
  <c r="A4878" i="3"/>
  <c r="A4879" i="3"/>
  <c r="A4880" i="3"/>
  <c r="A4881" i="3"/>
  <c r="A4882" i="3"/>
  <c r="A4883" i="3"/>
  <c r="A4884" i="3"/>
  <c r="A4885" i="3"/>
  <c r="A4886" i="3"/>
  <c r="A4887" i="3"/>
  <c r="A4888" i="3"/>
  <c r="A4889" i="3"/>
  <c r="A4890" i="3"/>
  <c r="A4891" i="3"/>
  <c r="A4892" i="3"/>
  <c r="A4893" i="3"/>
  <c r="A4894" i="3"/>
  <c r="A4895" i="3"/>
  <c r="A4896" i="3"/>
  <c r="A4897" i="3"/>
  <c r="A4898" i="3"/>
  <c r="A4899" i="3"/>
  <c r="A4900" i="3"/>
  <c r="A4901" i="3"/>
  <c r="A4902" i="3"/>
  <c r="A4903" i="3"/>
  <c r="A4904" i="3"/>
  <c r="A4905" i="3"/>
  <c r="A4906" i="3"/>
  <c r="A4907" i="3"/>
  <c r="A4908" i="3"/>
  <c r="A4909" i="3"/>
  <c r="A4910" i="3"/>
  <c r="A4911" i="3"/>
  <c r="A4912" i="3"/>
  <c r="A4913" i="3"/>
  <c r="A4914" i="3"/>
  <c r="A4915" i="3"/>
  <c r="A4916" i="3"/>
  <c r="A4917" i="3"/>
  <c r="A4918" i="3"/>
  <c r="A4919" i="3"/>
  <c r="A4920" i="3"/>
  <c r="A4921" i="3"/>
  <c r="A4922" i="3"/>
  <c r="A4923" i="3"/>
  <c r="A4924" i="3"/>
  <c r="A4925" i="3"/>
  <c r="A4926" i="3"/>
  <c r="A4927" i="3"/>
  <c r="A4928" i="3"/>
  <c r="A4929" i="3"/>
  <c r="A4930" i="3"/>
  <c r="A4931" i="3"/>
  <c r="A4932" i="3"/>
  <c r="A4933" i="3"/>
  <c r="A4934" i="3"/>
  <c r="A4935" i="3"/>
  <c r="A4936" i="3"/>
  <c r="A4937" i="3"/>
  <c r="A4938" i="3"/>
  <c r="A4939" i="3"/>
  <c r="A4940" i="3"/>
  <c r="A4941" i="3"/>
  <c r="A4942" i="3"/>
  <c r="A4943" i="3"/>
  <c r="A4944" i="3"/>
  <c r="A4945" i="3"/>
  <c r="A4946" i="3"/>
  <c r="A4947" i="3"/>
  <c r="A4948" i="3"/>
  <c r="A4949" i="3"/>
  <c r="A4950" i="3"/>
  <c r="A4951" i="3"/>
  <c r="A4952" i="3"/>
  <c r="A4953" i="3"/>
  <c r="A4954" i="3"/>
  <c r="A4955" i="3"/>
  <c r="A4956" i="3"/>
  <c r="A4957" i="3"/>
  <c r="A4958" i="3"/>
  <c r="A4959" i="3"/>
  <c r="A4960" i="3"/>
  <c r="A4961" i="3"/>
  <c r="A4962" i="3"/>
  <c r="A4963" i="3"/>
  <c r="A4964" i="3"/>
  <c r="A4965" i="3"/>
  <c r="A4966" i="3"/>
  <c r="A4967" i="3"/>
  <c r="A4968" i="3"/>
  <c r="A4969" i="3"/>
  <c r="A4970" i="3"/>
  <c r="A4971" i="3"/>
  <c r="A4972" i="3"/>
  <c r="A4973" i="3"/>
  <c r="A4974" i="3"/>
  <c r="A4975" i="3"/>
  <c r="A4976" i="3"/>
  <c r="A4977" i="3"/>
  <c r="A4978" i="3"/>
  <c r="A4979" i="3"/>
  <c r="A4980" i="3"/>
  <c r="A4981" i="3"/>
  <c r="A4982" i="3"/>
  <c r="A4983" i="3"/>
  <c r="A4984" i="3"/>
  <c r="A4985" i="3"/>
  <c r="A4986" i="3"/>
  <c r="A4987" i="3"/>
  <c r="A4988" i="3"/>
  <c r="A4989" i="3"/>
  <c r="A4990" i="3"/>
  <c r="A4991" i="3"/>
  <c r="A4992" i="3"/>
  <c r="A4993" i="3"/>
  <c r="A4994" i="3"/>
  <c r="A4995" i="3"/>
  <c r="A4996" i="3"/>
  <c r="A4997" i="3"/>
  <c r="A4998" i="3"/>
  <c r="A4999" i="3"/>
  <c r="A5000" i="3"/>
  <c r="A5001" i="3"/>
  <c r="A5002" i="3"/>
  <c r="A5003" i="3"/>
  <c r="A5004" i="3"/>
  <c r="A5005" i="3"/>
  <c r="A5006" i="3"/>
  <c r="A5007" i="3"/>
  <c r="A5008" i="3"/>
  <c r="A5009" i="3"/>
  <c r="A5010" i="3"/>
  <c r="A5011" i="3"/>
  <c r="A5012" i="3"/>
  <c r="A5013" i="3"/>
  <c r="A5014" i="3"/>
  <c r="A5015" i="3"/>
  <c r="A5016" i="3"/>
  <c r="A5017" i="3"/>
  <c r="A5018" i="3"/>
  <c r="A5019" i="3"/>
  <c r="A5020" i="3"/>
  <c r="A5021" i="3"/>
  <c r="A5022" i="3"/>
  <c r="A5023" i="3"/>
  <c r="A5024" i="3"/>
  <c r="A5025" i="3"/>
  <c r="A5026" i="3"/>
  <c r="A5027" i="3"/>
  <c r="A5028" i="3"/>
  <c r="A5029" i="3"/>
  <c r="A5030" i="3"/>
  <c r="A5031" i="3"/>
  <c r="A5032" i="3"/>
  <c r="A5033" i="3"/>
  <c r="A5034" i="3"/>
  <c r="A5035" i="3"/>
  <c r="A5036" i="3"/>
  <c r="A5037" i="3"/>
  <c r="A5038" i="3"/>
  <c r="A5039" i="3"/>
  <c r="A5040" i="3"/>
  <c r="A5041" i="3"/>
  <c r="A5042" i="3"/>
  <c r="A5043" i="3"/>
  <c r="A5044" i="3"/>
  <c r="A5045" i="3"/>
  <c r="A5046" i="3"/>
  <c r="A5047" i="3"/>
  <c r="A5048" i="3"/>
  <c r="A5049" i="3"/>
  <c r="A5050" i="3"/>
  <c r="A5051" i="3"/>
  <c r="A5052" i="3"/>
  <c r="A5053" i="3"/>
  <c r="A5054" i="3"/>
  <c r="A5055" i="3"/>
  <c r="A5056" i="3"/>
  <c r="A5057" i="3"/>
  <c r="A5058" i="3"/>
  <c r="A5059" i="3"/>
  <c r="A5060" i="3"/>
  <c r="A5061" i="3"/>
  <c r="A5062" i="3"/>
  <c r="A5063" i="3"/>
  <c r="A5064" i="3"/>
  <c r="A5065" i="3"/>
  <c r="A5066" i="3"/>
  <c r="A5067" i="3"/>
  <c r="A5068" i="3"/>
  <c r="A5069" i="3"/>
  <c r="A5070" i="3"/>
  <c r="A5071" i="3"/>
  <c r="A5072" i="3"/>
  <c r="A5073" i="3"/>
  <c r="A5074" i="3"/>
  <c r="A5075" i="3"/>
  <c r="A5076" i="3"/>
  <c r="A5077" i="3"/>
  <c r="A5078" i="3"/>
  <c r="A5079" i="3"/>
  <c r="A5080" i="3"/>
  <c r="A5081" i="3"/>
  <c r="A5082" i="3"/>
  <c r="A5083" i="3"/>
  <c r="A5084" i="3"/>
  <c r="A5085" i="3"/>
  <c r="A5086" i="3"/>
  <c r="A5087" i="3"/>
  <c r="A5088" i="3"/>
  <c r="A5089" i="3"/>
  <c r="A5090" i="3"/>
  <c r="A5091" i="3"/>
  <c r="A5092" i="3"/>
  <c r="A5093" i="3"/>
  <c r="A5094" i="3"/>
  <c r="A5095" i="3"/>
  <c r="A5096" i="3"/>
  <c r="A5097" i="3"/>
  <c r="A5098" i="3"/>
  <c r="B4799" i="3"/>
  <c r="B4800" i="3"/>
  <c r="B4801" i="3"/>
  <c r="B4802" i="3"/>
  <c r="B4803" i="3"/>
  <c r="B4804" i="3"/>
  <c r="B4805" i="3"/>
  <c r="B4806" i="3"/>
  <c r="B4807" i="3"/>
  <c r="B4808" i="3"/>
  <c r="B4809" i="3"/>
  <c r="B4810" i="3"/>
  <c r="B4811" i="3"/>
  <c r="B4812" i="3"/>
  <c r="B4813" i="3"/>
  <c r="B4814" i="3"/>
  <c r="B4815" i="3"/>
  <c r="B4816" i="3"/>
  <c r="B4817" i="3"/>
  <c r="B4818" i="3"/>
  <c r="B4819" i="3"/>
  <c r="B4820" i="3"/>
  <c r="B4821" i="3"/>
  <c r="B4822" i="3"/>
  <c r="B4823" i="3"/>
  <c r="B4824" i="3"/>
  <c r="B4825" i="3"/>
  <c r="B4826" i="3"/>
  <c r="B4827" i="3"/>
  <c r="B4828" i="3"/>
  <c r="B4829" i="3"/>
  <c r="B4830" i="3"/>
  <c r="B4831" i="3"/>
  <c r="B4832" i="3"/>
  <c r="B4833" i="3"/>
  <c r="B4834" i="3"/>
  <c r="B4835" i="3"/>
  <c r="B4836" i="3"/>
  <c r="B4837" i="3"/>
  <c r="B4838" i="3"/>
  <c r="B4839" i="3"/>
  <c r="B4840" i="3"/>
  <c r="B4841" i="3"/>
  <c r="B4842" i="3"/>
  <c r="B4843" i="3"/>
  <c r="B4844" i="3"/>
  <c r="B4845" i="3"/>
  <c r="B4846" i="3"/>
  <c r="B4847" i="3"/>
  <c r="B4848" i="3"/>
  <c r="B4849" i="3"/>
  <c r="B4850" i="3"/>
  <c r="B4851" i="3"/>
  <c r="B4852" i="3"/>
  <c r="B4853" i="3"/>
  <c r="B4854" i="3"/>
  <c r="B4855" i="3"/>
  <c r="B4856" i="3"/>
  <c r="B4857" i="3"/>
  <c r="B4858" i="3"/>
  <c r="B4859" i="3"/>
  <c r="B4860" i="3"/>
  <c r="B4861" i="3"/>
  <c r="B4862" i="3"/>
  <c r="B4863" i="3"/>
  <c r="B4864" i="3"/>
  <c r="B4865" i="3"/>
  <c r="B4866" i="3"/>
  <c r="B4867" i="3"/>
  <c r="B4868" i="3"/>
  <c r="B4869" i="3"/>
  <c r="B4870" i="3"/>
  <c r="B4871" i="3"/>
  <c r="B4872" i="3"/>
  <c r="B4873" i="3"/>
  <c r="B4874" i="3"/>
  <c r="B4875" i="3"/>
  <c r="B4876" i="3"/>
  <c r="B4877" i="3"/>
  <c r="B4878" i="3"/>
  <c r="B4879" i="3"/>
  <c r="B4880" i="3"/>
  <c r="B4881" i="3"/>
  <c r="B4882" i="3"/>
  <c r="B4883" i="3"/>
  <c r="B4884" i="3"/>
  <c r="B4885" i="3"/>
  <c r="B4886" i="3"/>
  <c r="B4887" i="3"/>
  <c r="B4888" i="3"/>
  <c r="B4889" i="3"/>
  <c r="B4890" i="3"/>
  <c r="B4891" i="3"/>
  <c r="B4892" i="3"/>
  <c r="B4893" i="3"/>
  <c r="B4894" i="3"/>
  <c r="B4895" i="3"/>
  <c r="B4896" i="3"/>
  <c r="B4897" i="3"/>
  <c r="B4898" i="3"/>
  <c r="B4899" i="3"/>
  <c r="B4900" i="3"/>
  <c r="B4901" i="3"/>
  <c r="B4902" i="3"/>
  <c r="B4903" i="3"/>
  <c r="B4904" i="3"/>
  <c r="B4905" i="3"/>
  <c r="B4906" i="3"/>
  <c r="B4907" i="3"/>
  <c r="B4908" i="3"/>
  <c r="B4909" i="3"/>
  <c r="B4910" i="3"/>
  <c r="B4911" i="3"/>
  <c r="B4912" i="3"/>
  <c r="B4913" i="3"/>
  <c r="B4914" i="3"/>
  <c r="B4915" i="3"/>
  <c r="B4916" i="3"/>
  <c r="B4917" i="3"/>
  <c r="B4918" i="3"/>
  <c r="B4919" i="3"/>
  <c r="B4920" i="3"/>
  <c r="B4921" i="3"/>
  <c r="B4922" i="3"/>
  <c r="B4923" i="3"/>
  <c r="B4924" i="3"/>
  <c r="B4925" i="3"/>
  <c r="B4926" i="3"/>
  <c r="B4927" i="3"/>
  <c r="B4928" i="3"/>
  <c r="B4929" i="3"/>
  <c r="B4930" i="3"/>
  <c r="B4931" i="3"/>
  <c r="B4932" i="3"/>
  <c r="B4933" i="3"/>
  <c r="B4934" i="3"/>
  <c r="B4935" i="3"/>
  <c r="B4936" i="3"/>
  <c r="B4937" i="3"/>
  <c r="B4938" i="3"/>
  <c r="B4939" i="3"/>
  <c r="B4940" i="3"/>
  <c r="B4941" i="3"/>
  <c r="B4942" i="3"/>
  <c r="B4943" i="3"/>
  <c r="B4944" i="3"/>
  <c r="B4945" i="3"/>
  <c r="B4946" i="3"/>
  <c r="B4947" i="3"/>
  <c r="B4948" i="3"/>
  <c r="B4949" i="3"/>
  <c r="B4950" i="3"/>
  <c r="B4951" i="3"/>
  <c r="B4952" i="3"/>
  <c r="B4953" i="3"/>
  <c r="B4954" i="3"/>
  <c r="B4955" i="3"/>
  <c r="B4956" i="3"/>
  <c r="B4957" i="3"/>
  <c r="B4958" i="3"/>
  <c r="B4959" i="3"/>
  <c r="B4960" i="3"/>
  <c r="B4961" i="3"/>
  <c r="B4962" i="3"/>
  <c r="B4963" i="3"/>
  <c r="B4964" i="3"/>
  <c r="B4965" i="3"/>
  <c r="B4966" i="3"/>
  <c r="B4967" i="3"/>
  <c r="B4968" i="3"/>
  <c r="B4969" i="3"/>
  <c r="B4970" i="3"/>
  <c r="B4971" i="3"/>
  <c r="B4972" i="3"/>
  <c r="B4973" i="3"/>
  <c r="B4974" i="3"/>
  <c r="B4975" i="3"/>
  <c r="B4976" i="3"/>
  <c r="B4977" i="3"/>
  <c r="B4978" i="3"/>
  <c r="B4979" i="3"/>
  <c r="B4980" i="3"/>
  <c r="B4981" i="3"/>
  <c r="B4982" i="3"/>
  <c r="B4983" i="3"/>
  <c r="B4984" i="3"/>
  <c r="B4985" i="3"/>
  <c r="B4986" i="3"/>
  <c r="B4987" i="3"/>
  <c r="B4988" i="3"/>
  <c r="B4989" i="3"/>
  <c r="B4990" i="3"/>
  <c r="B4991" i="3"/>
  <c r="B4992" i="3"/>
  <c r="B4993" i="3"/>
  <c r="B4994" i="3"/>
  <c r="B4995" i="3"/>
  <c r="B4996" i="3"/>
  <c r="B4997" i="3"/>
  <c r="B4998" i="3"/>
  <c r="B4999" i="3"/>
  <c r="B5000" i="3"/>
  <c r="B5001" i="3"/>
  <c r="B5002" i="3"/>
  <c r="B5003" i="3"/>
  <c r="B5004" i="3"/>
  <c r="B5005" i="3"/>
  <c r="B5006" i="3"/>
  <c r="B5007" i="3"/>
  <c r="B5008" i="3"/>
  <c r="B5009" i="3"/>
  <c r="B5010" i="3"/>
  <c r="B5011" i="3"/>
  <c r="B5012" i="3"/>
  <c r="B5013" i="3"/>
  <c r="B5014" i="3"/>
  <c r="B5015" i="3"/>
  <c r="B5016" i="3"/>
  <c r="B5017" i="3"/>
  <c r="B5018" i="3"/>
  <c r="B5019" i="3"/>
  <c r="B5020" i="3"/>
  <c r="B5021" i="3"/>
  <c r="B5022" i="3"/>
  <c r="B5023" i="3"/>
  <c r="B5024" i="3"/>
  <c r="B5025" i="3"/>
  <c r="B5026" i="3"/>
  <c r="B5027" i="3"/>
  <c r="B5028" i="3"/>
  <c r="B5029" i="3"/>
  <c r="B5030" i="3"/>
  <c r="B5031" i="3"/>
  <c r="B5032" i="3"/>
  <c r="B5033" i="3"/>
  <c r="B5034" i="3"/>
  <c r="B5035" i="3"/>
  <c r="B5036" i="3"/>
  <c r="B5037" i="3"/>
  <c r="B5038" i="3"/>
  <c r="B5039" i="3"/>
  <c r="B5040" i="3"/>
  <c r="B5041" i="3"/>
  <c r="B5042" i="3"/>
  <c r="B5043" i="3"/>
  <c r="B5044" i="3"/>
  <c r="B5045" i="3"/>
  <c r="B5046" i="3"/>
  <c r="B5047" i="3"/>
  <c r="B5048" i="3"/>
  <c r="B5049" i="3"/>
  <c r="B5050" i="3"/>
  <c r="B5051" i="3"/>
  <c r="B5052" i="3"/>
  <c r="B5053" i="3"/>
  <c r="B5054" i="3"/>
  <c r="B5055" i="3"/>
  <c r="B5056" i="3"/>
  <c r="B5057" i="3"/>
  <c r="B5058" i="3"/>
  <c r="B5059" i="3"/>
  <c r="B5060" i="3"/>
  <c r="B5061" i="3"/>
  <c r="B5062" i="3"/>
  <c r="B5063" i="3"/>
  <c r="B5064" i="3"/>
  <c r="B5065" i="3"/>
  <c r="B5066" i="3"/>
  <c r="B5067" i="3"/>
  <c r="B5068" i="3"/>
  <c r="B5069" i="3"/>
  <c r="B5070" i="3"/>
  <c r="B5071" i="3"/>
  <c r="B5072" i="3"/>
  <c r="B5073" i="3"/>
  <c r="B5074" i="3"/>
  <c r="B5075" i="3"/>
  <c r="B5076" i="3"/>
  <c r="B5077" i="3"/>
  <c r="B5078" i="3"/>
  <c r="B5079" i="3"/>
  <c r="B5080" i="3"/>
  <c r="B5081" i="3"/>
  <c r="B5082" i="3"/>
  <c r="B5083" i="3"/>
  <c r="B5084" i="3"/>
  <c r="B5085" i="3"/>
  <c r="B5086" i="3"/>
  <c r="B5087" i="3"/>
  <c r="B5088" i="3"/>
  <c r="B5089" i="3"/>
  <c r="B5090" i="3"/>
  <c r="B5091" i="3"/>
  <c r="B5092" i="3"/>
  <c r="B5093" i="3"/>
  <c r="B5094" i="3"/>
  <c r="B5095" i="3"/>
  <c r="B5096" i="3"/>
  <c r="B5097" i="3"/>
  <c r="B5098" i="3"/>
  <c r="Q4799" i="3"/>
  <c r="Q4800" i="3"/>
  <c r="Q4801" i="3"/>
  <c r="Q4802" i="3"/>
  <c r="Q4803" i="3"/>
  <c r="Q4804" i="3"/>
  <c r="Q4805" i="3"/>
  <c r="Q4806" i="3"/>
  <c r="Q4807" i="3"/>
  <c r="Q4808" i="3"/>
  <c r="Q4809" i="3"/>
  <c r="Q4810" i="3"/>
  <c r="Q4811" i="3"/>
  <c r="Q4812" i="3"/>
  <c r="Q4813" i="3"/>
  <c r="Q4814" i="3"/>
  <c r="Q4815" i="3"/>
  <c r="Q4816" i="3"/>
  <c r="Q4817" i="3"/>
  <c r="Q4818" i="3"/>
  <c r="Q4819" i="3"/>
  <c r="Q4820" i="3"/>
  <c r="Q4821" i="3"/>
  <c r="Q4822" i="3"/>
  <c r="Q4823" i="3"/>
  <c r="Q4824" i="3"/>
  <c r="Q4825" i="3"/>
  <c r="Q4826" i="3"/>
  <c r="Q4827" i="3"/>
  <c r="Q4828" i="3"/>
  <c r="Q4829" i="3"/>
  <c r="Q4830" i="3"/>
  <c r="Q4831" i="3"/>
  <c r="Q4832" i="3"/>
  <c r="Q4833" i="3"/>
  <c r="Q4834" i="3"/>
  <c r="Q4835" i="3"/>
  <c r="Q4836" i="3"/>
  <c r="Q4837" i="3"/>
  <c r="Q4838" i="3"/>
  <c r="Q4839" i="3"/>
  <c r="Q4840" i="3"/>
  <c r="Q4841" i="3"/>
  <c r="Q4842" i="3"/>
  <c r="Q4843" i="3"/>
  <c r="Q4844" i="3"/>
  <c r="Q4845" i="3"/>
  <c r="Q4846" i="3"/>
  <c r="Q4847" i="3"/>
  <c r="Q4848" i="3"/>
  <c r="Q4849" i="3"/>
  <c r="Q4850" i="3"/>
  <c r="Q4851" i="3"/>
  <c r="Q4852" i="3"/>
  <c r="Q4853" i="3"/>
  <c r="Q4854" i="3"/>
  <c r="Q4855" i="3"/>
  <c r="Q4856" i="3"/>
  <c r="Q4857" i="3"/>
  <c r="Q4858" i="3"/>
  <c r="Q4859" i="3"/>
  <c r="Q4860" i="3"/>
  <c r="Q4861" i="3"/>
  <c r="Q4862" i="3"/>
  <c r="Q4863" i="3"/>
  <c r="Q4864" i="3"/>
  <c r="Q4865" i="3"/>
  <c r="Q4866" i="3"/>
  <c r="Q4867" i="3"/>
  <c r="Q4868" i="3"/>
  <c r="Q4869" i="3"/>
  <c r="Q4870" i="3"/>
  <c r="Q4871" i="3"/>
  <c r="Q4872" i="3"/>
  <c r="Q4873" i="3"/>
  <c r="Q4874" i="3"/>
  <c r="Q4875" i="3"/>
  <c r="Q4876" i="3"/>
  <c r="Q4877" i="3"/>
  <c r="Q4878" i="3"/>
  <c r="Q4879" i="3"/>
  <c r="Q4880" i="3"/>
  <c r="Q4881" i="3"/>
  <c r="Q4882" i="3"/>
  <c r="Q4883" i="3"/>
  <c r="Q4884" i="3"/>
  <c r="Q4885" i="3"/>
  <c r="Q4886" i="3"/>
  <c r="Q4887" i="3"/>
  <c r="Q4888" i="3"/>
  <c r="Q4889" i="3"/>
  <c r="Q4890" i="3"/>
  <c r="Q4891" i="3"/>
  <c r="Q4892" i="3"/>
  <c r="Q4893" i="3"/>
  <c r="Q4894" i="3"/>
  <c r="Q4895" i="3"/>
  <c r="Q4896" i="3"/>
  <c r="Q4897" i="3"/>
  <c r="Q4898" i="3"/>
  <c r="Q4899" i="3"/>
  <c r="Q4900" i="3"/>
  <c r="Q4901" i="3"/>
  <c r="Q4902" i="3"/>
  <c r="Q4903" i="3"/>
  <c r="Q4904" i="3"/>
  <c r="Q4905" i="3"/>
  <c r="Q4906" i="3"/>
  <c r="Q4907" i="3"/>
  <c r="Q4908" i="3"/>
  <c r="Q4909" i="3"/>
  <c r="Q4910" i="3"/>
  <c r="Q4911" i="3"/>
  <c r="Q4912" i="3"/>
  <c r="Q4913" i="3"/>
  <c r="Q4914" i="3"/>
  <c r="Q4915" i="3"/>
  <c r="Q4916" i="3"/>
  <c r="Q4917" i="3"/>
  <c r="Q4918" i="3"/>
  <c r="Q4919" i="3"/>
  <c r="Q4920" i="3"/>
  <c r="Q4921" i="3"/>
  <c r="Q4922" i="3"/>
  <c r="Q4923" i="3"/>
  <c r="Q4924" i="3"/>
  <c r="Q4925" i="3"/>
  <c r="Q4926" i="3"/>
  <c r="Q4927" i="3"/>
  <c r="Q4928" i="3"/>
  <c r="Q4929" i="3"/>
  <c r="Q4930" i="3"/>
  <c r="Q4931" i="3"/>
  <c r="Q4932" i="3"/>
  <c r="Q4933" i="3"/>
  <c r="Q4934" i="3"/>
  <c r="Q4935" i="3"/>
  <c r="Q4936" i="3"/>
  <c r="Q4937" i="3"/>
  <c r="Q4938" i="3"/>
  <c r="Q4939" i="3"/>
  <c r="Q4940" i="3"/>
  <c r="Q4941" i="3"/>
  <c r="Q4942" i="3"/>
  <c r="Q4943" i="3"/>
  <c r="Q4944" i="3"/>
  <c r="Q4945" i="3"/>
  <c r="Q4946" i="3"/>
  <c r="Q4947" i="3"/>
  <c r="Q4948" i="3"/>
  <c r="Q4949" i="3"/>
  <c r="Q4950" i="3"/>
  <c r="Q4951" i="3"/>
  <c r="Q4952" i="3"/>
  <c r="Q4953" i="3"/>
  <c r="Q4954" i="3"/>
  <c r="Q4955" i="3"/>
  <c r="Q4956" i="3"/>
  <c r="Q4957" i="3"/>
  <c r="Q4958" i="3"/>
  <c r="Q4959" i="3"/>
  <c r="Q4960" i="3"/>
  <c r="Q4961" i="3"/>
  <c r="Q4962" i="3"/>
  <c r="Q4963" i="3"/>
  <c r="Q4964" i="3"/>
  <c r="Q4965" i="3"/>
  <c r="Q4966" i="3"/>
  <c r="Q4967" i="3"/>
  <c r="Q4968" i="3"/>
  <c r="Q4969" i="3"/>
  <c r="Q4970" i="3"/>
  <c r="Q4971" i="3"/>
  <c r="Q4972" i="3"/>
  <c r="Q4973" i="3"/>
  <c r="Q4974" i="3"/>
  <c r="Q4975" i="3"/>
  <c r="Q4976" i="3"/>
  <c r="Q4977" i="3"/>
  <c r="Q4978" i="3"/>
  <c r="Q4979" i="3"/>
  <c r="Q4980" i="3"/>
  <c r="Q4981" i="3"/>
  <c r="Q4982" i="3"/>
  <c r="Q4983" i="3"/>
  <c r="Q4984" i="3"/>
  <c r="Q4985" i="3"/>
  <c r="Q4986" i="3"/>
  <c r="Q4987" i="3"/>
  <c r="Q4988" i="3"/>
  <c r="Q4989" i="3"/>
  <c r="Q4990" i="3"/>
  <c r="Q4991" i="3"/>
  <c r="Q4992" i="3"/>
  <c r="Q4993" i="3"/>
  <c r="Q4994" i="3"/>
  <c r="Q4995" i="3"/>
  <c r="Q4996" i="3"/>
  <c r="Q4997" i="3"/>
  <c r="Q4998" i="3"/>
  <c r="Q4999" i="3"/>
  <c r="Q5000" i="3"/>
  <c r="Q5001" i="3"/>
  <c r="Q5002" i="3"/>
  <c r="Q5003" i="3"/>
  <c r="Q5004" i="3"/>
  <c r="Q5005" i="3"/>
  <c r="Q5006" i="3"/>
  <c r="Q5007" i="3"/>
  <c r="Q5008" i="3"/>
  <c r="Q5009" i="3"/>
  <c r="Q5010" i="3"/>
  <c r="Q5011" i="3"/>
  <c r="Q5012" i="3"/>
  <c r="Q5013" i="3"/>
  <c r="Q5014" i="3"/>
  <c r="Q5015" i="3"/>
  <c r="Q5016" i="3"/>
  <c r="Q5017" i="3"/>
  <c r="Q5018" i="3"/>
  <c r="Q5019" i="3"/>
  <c r="Q5020" i="3"/>
  <c r="Q5021" i="3"/>
  <c r="Q5022" i="3"/>
  <c r="Q5023" i="3"/>
  <c r="Q5024" i="3"/>
  <c r="Q5025" i="3"/>
  <c r="Q5026" i="3"/>
  <c r="Q5027" i="3"/>
  <c r="Q5028" i="3"/>
  <c r="Q5029" i="3"/>
  <c r="Q5030" i="3"/>
  <c r="Q5031" i="3"/>
  <c r="Q5032" i="3"/>
  <c r="Q5033" i="3"/>
  <c r="Q5034" i="3"/>
  <c r="Q5035" i="3"/>
  <c r="Q5036" i="3"/>
  <c r="Q5037" i="3"/>
  <c r="Q5038" i="3"/>
  <c r="Q5039" i="3"/>
  <c r="Q5040" i="3"/>
  <c r="Q5041" i="3"/>
  <c r="Q5042" i="3"/>
  <c r="Q5043" i="3"/>
  <c r="Q5044" i="3"/>
  <c r="Q5045" i="3"/>
  <c r="Q5046" i="3"/>
  <c r="Q5047" i="3"/>
  <c r="Q5048" i="3"/>
  <c r="Q5049" i="3"/>
  <c r="Q5050" i="3"/>
  <c r="Q5051" i="3"/>
  <c r="Q5052" i="3"/>
  <c r="Q5053" i="3"/>
  <c r="Q5054" i="3"/>
  <c r="Q5055" i="3"/>
  <c r="Q5056" i="3"/>
  <c r="Q5057" i="3"/>
  <c r="Q5058" i="3"/>
  <c r="Q5059" i="3"/>
  <c r="Q5060" i="3"/>
  <c r="Q5061" i="3"/>
  <c r="Q5062" i="3"/>
  <c r="Q5063" i="3"/>
  <c r="Q5064" i="3"/>
  <c r="Q5065" i="3"/>
  <c r="Q5066" i="3"/>
  <c r="Q5067" i="3"/>
  <c r="Q5068" i="3"/>
  <c r="Q5069" i="3"/>
  <c r="Q5070" i="3"/>
  <c r="Q5071" i="3"/>
  <c r="Q5072" i="3"/>
  <c r="Q5073" i="3"/>
  <c r="Q5074" i="3"/>
  <c r="Q5075" i="3"/>
  <c r="Q5076" i="3"/>
  <c r="Q5077" i="3"/>
  <c r="Q5078" i="3"/>
  <c r="Q5079" i="3"/>
  <c r="Q5080" i="3"/>
  <c r="Q5081" i="3"/>
  <c r="Q5082" i="3"/>
  <c r="Q5083" i="3"/>
  <c r="Q5084" i="3"/>
  <c r="Q5085" i="3"/>
  <c r="Q5086" i="3"/>
  <c r="Q5087" i="3"/>
  <c r="Q5088" i="3"/>
  <c r="Q5089" i="3"/>
  <c r="Q5090" i="3"/>
  <c r="Q5091" i="3"/>
  <c r="Q5092" i="3"/>
  <c r="Q5093" i="3"/>
  <c r="Q5094" i="3"/>
  <c r="Q5095" i="3"/>
  <c r="Q5096" i="3"/>
  <c r="Q5097" i="3"/>
  <c r="Q5098" i="3"/>
  <c r="Q127" i="3" l="1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597" i="3"/>
  <c r="Q598" i="3"/>
  <c r="Q599" i="3"/>
  <c r="Q600" i="3"/>
  <c r="Q601" i="3"/>
  <c r="Q602" i="3"/>
  <c r="Q603" i="3"/>
  <c r="Q604" i="3"/>
  <c r="Q605" i="3"/>
  <c r="Q606" i="3"/>
  <c r="Q607" i="3"/>
  <c r="Q608" i="3"/>
  <c r="Q609" i="3"/>
  <c r="Q610" i="3"/>
  <c r="Q611" i="3"/>
  <c r="Q612" i="3"/>
  <c r="Q613" i="3"/>
  <c r="Q614" i="3"/>
  <c r="Q615" i="3"/>
  <c r="Q616" i="3"/>
  <c r="Q617" i="3"/>
  <c r="Q618" i="3"/>
  <c r="Q619" i="3"/>
  <c r="Q620" i="3"/>
  <c r="Q621" i="3"/>
  <c r="Q622" i="3"/>
  <c r="Q623" i="3"/>
  <c r="Q624" i="3"/>
  <c r="Q625" i="3"/>
  <c r="Q626" i="3"/>
  <c r="Q627" i="3"/>
  <c r="Q628" i="3"/>
  <c r="Q629" i="3"/>
  <c r="Q630" i="3"/>
  <c r="Q631" i="3"/>
  <c r="Q632" i="3"/>
  <c r="Q633" i="3"/>
  <c r="Q634" i="3"/>
  <c r="Q635" i="3"/>
  <c r="Q636" i="3"/>
  <c r="Q637" i="3"/>
  <c r="Q638" i="3"/>
  <c r="Q639" i="3"/>
  <c r="Q640" i="3"/>
  <c r="Q641" i="3"/>
  <c r="Q642" i="3"/>
  <c r="Q643" i="3"/>
  <c r="Q644" i="3"/>
  <c r="Q645" i="3"/>
  <c r="Q646" i="3"/>
  <c r="Q647" i="3"/>
  <c r="Q648" i="3"/>
  <c r="Q649" i="3"/>
  <c r="Q650" i="3"/>
  <c r="Q651" i="3"/>
  <c r="Q652" i="3"/>
  <c r="Q653" i="3"/>
  <c r="Q654" i="3"/>
  <c r="Q655" i="3"/>
  <c r="Q656" i="3"/>
  <c r="Q657" i="3"/>
  <c r="Q658" i="3"/>
  <c r="Q659" i="3"/>
  <c r="Q660" i="3"/>
  <c r="Q661" i="3"/>
  <c r="Q662" i="3"/>
  <c r="Q663" i="3"/>
  <c r="Q664" i="3"/>
  <c r="Q665" i="3"/>
  <c r="Q666" i="3"/>
  <c r="Q667" i="3"/>
  <c r="Q668" i="3"/>
  <c r="Q669" i="3"/>
  <c r="Q670" i="3"/>
  <c r="Q671" i="3"/>
  <c r="Q672" i="3"/>
  <c r="Q673" i="3"/>
  <c r="Q674" i="3"/>
  <c r="Q675" i="3"/>
  <c r="Q676" i="3"/>
  <c r="Q677" i="3"/>
  <c r="Q678" i="3"/>
  <c r="Q679" i="3"/>
  <c r="Q680" i="3"/>
  <c r="Q681" i="3"/>
  <c r="Q682" i="3"/>
  <c r="Q683" i="3"/>
  <c r="Q684" i="3"/>
  <c r="Q685" i="3"/>
  <c r="Q686" i="3"/>
  <c r="Q687" i="3"/>
  <c r="Q688" i="3"/>
  <c r="Q689" i="3"/>
  <c r="Q690" i="3"/>
  <c r="Q691" i="3"/>
  <c r="Q692" i="3"/>
  <c r="Q693" i="3"/>
  <c r="Q694" i="3"/>
  <c r="Q695" i="3"/>
  <c r="Q696" i="3"/>
  <c r="Q697" i="3"/>
  <c r="Q698" i="3"/>
  <c r="Q699" i="3"/>
  <c r="Q700" i="3"/>
  <c r="Q701" i="3"/>
  <c r="Q702" i="3"/>
  <c r="Q703" i="3"/>
  <c r="Q704" i="3"/>
  <c r="Q705" i="3"/>
  <c r="Q706" i="3"/>
  <c r="Q707" i="3"/>
  <c r="Q708" i="3"/>
  <c r="Q709" i="3"/>
  <c r="Q710" i="3"/>
  <c r="Q711" i="3"/>
  <c r="Q712" i="3"/>
  <c r="Q713" i="3"/>
  <c r="Q714" i="3"/>
  <c r="Q715" i="3"/>
  <c r="Q716" i="3"/>
  <c r="Q717" i="3"/>
  <c r="Q718" i="3"/>
  <c r="Q719" i="3"/>
  <c r="Q720" i="3"/>
  <c r="Q721" i="3"/>
  <c r="Q722" i="3"/>
  <c r="Q723" i="3"/>
  <c r="Q724" i="3"/>
  <c r="Q725" i="3"/>
  <c r="Q726" i="3"/>
  <c r="Q727" i="3"/>
  <c r="Q728" i="3"/>
  <c r="Q729" i="3"/>
  <c r="Q730" i="3"/>
  <c r="Q731" i="3"/>
  <c r="Q732" i="3"/>
  <c r="Q733" i="3"/>
  <c r="Q734" i="3"/>
  <c r="Q735" i="3"/>
  <c r="Q736" i="3"/>
  <c r="Q737" i="3"/>
  <c r="Q738" i="3"/>
  <c r="Q739" i="3"/>
  <c r="Q740" i="3"/>
  <c r="Q741" i="3"/>
  <c r="Q742" i="3"/>
  <c r="Q743" i="3"/>
  <c r="Q744" i="3"/>
  <c r="Q745" i="3"/>
  <c r="Q746" i="3"/>
  <c r="Q747" i="3"/>
  <c r="Q748" i="3"/>
  <c r="Q749" i="3"/>
  <c r="Q750" i="3"/>
  <c r="Q751" i="3"/>
  <c r="Q752" i="3"/>
  <c r="Q753" i="3"/>
  <c r="Q754" i="3"/>
  <c r="Q755" i="3"/>
  <c r="Q756" i="3"/>
  <c r="Q757" i="3"/>
  <c r="Q758" i="3"/>
  <c r="Q759" i="3"/>
  <c r="Q760" i="3"/>
  <c r="Q761" i="3"/>
  <c r="Q762" i="3"/>
  <c r="Q763" i="3"/>
  <c r="Q764" i="3"/>
  <c r="Q765" i="3"/>
  <c r="Q766" i="3"/>
  <c r="Q767" i="3"/>
  <c r="Q768" i="3"/>
  <c r="Q769" i="3"/>
  <c r="Q770" i="3"/>
  <c r="Q771" i="3"/>
  <c r="Q772" i="3"/>
  <c r="Q773" i="3"/>
  <c r="Q774" i="3"/>
  <c r="Q775" i="3"/>
  <c r="Q776" i="3"/>
  <c r="Q777" i="3"/>
  <c r="Q778" i="3"/>
  <c r="Q779" i="3"/>
  <c r="Q780" i="3"/>
  <c r="Q781" i="3"/>
  <c r="Q782" i="3"/>
  <c r="Q783" i="3"/>
  <c r="Q784" i="3"/>
  <c r="Q785" i="3"/>
  <c r="Q786" i="3"/>
  <c r="Q787" i="3"/>
  <c r="Q788" i="3"/>
  <c r="Q789" i="3"/>
  <c r="Q790" i="3"/>
  <c r="Q791" i="3"/>
  <c r="Q792" i="3"/>
  <c r="Q793" i="3"/>
  <c r="Q794" i="3"/>
  <c r="Q795" i="3"/>
  <c r="Q796" i="3"/>
  <c r="Q797" i="3"/>
  <c r="Q798" i="3"/>
  <c r="Q799" i="3"/>
  <c r="Q800" i="3"/>
  <c r="Q801" i="3"/>
  <c r="Q802" i="3"/>
  <c r="Q803" i="3"/>
  <c r="Q804" i="3"/>
  <c r="Q805" i="3"/>
  <c r="Q806" i="3"/>
  <c r="Q807" i="3"/>
  <c r="Q808" i="3"/>
  <c r="Q809" i="3"/>
  <c r="Q810" i="3"/>
  <c r="Q811" i="3"/>
  <c r="Q812" i="3"/>
  <c r="Q813" i="3"/>
  <c r="Q814" i="3"/>
  <c r="Q815" i="3"/>
  <c r="Q816" i="3"/>
  <c r="Q817" i="3"/>
  <c r="Q818" i="3"/>
  <c r="Q819" i="3"/>
  <c r="Q820" i="3"/>
  <c r="Q821" i="3"/>
  <c r="Q822" i="3"/>
  <c r="Q823" i="3"/>
  <c r="Q824" i="3"/>
  <c r="Q825" i="3"/>
  <c r="Q826" i="3"/>
  <c r="Q827" i="3"/>
  <c r="Q828" i="3"/>
  <c r="Q829" i="3"/>
  <c r="Q830" i="3"/>
  <c r="Q831" i="3"/>
  <c r="Q832" i="3"/>
  <c r="Q833" i="3"/>
  <c r="Q834" i="3"/>
  <c r="Q835" i="3"/>
  <c r="Q836" i="3"/>
  <c r="Q837" i="3"/>
  <c r="Q838" i="3"/>
  <c r="Q839" i="3"/>
  <c r="Q840" i="3"/>
  <c r="Q841" i="3"/>
  <c r="Q842" i="3"/>
  <c r="Q843" i="3"/>
  <c r="Q844" i="3"/>
  <c r="Q845" i="3"/>
  <c r="Q846" i="3"/>
  <c r="Q847" i="3"/>
  <c r="Q848" i="3"/>
  <c r="Q849" i="3"/>
  <c r="Q850" i="3"/>
  <c r="Q851" i="3"/>
  <c r="Q852" i="3"/>
  <c r="Q853" i="3"/>
  <c r="Q854" i="3"/>
  <c r="Q855" i="3"/>
  <c r="Q856" i="3"/>
  <c r="Q857" i="3"/>
  <c r="Q858" i="3"/>
  <c r="Q859" i="3"/>
  <c r="Q860" i="3"/>
  <c r="Q861" i="3"/>
  <c r="Q862" i="3"/>
  <c r="Q863" i="3"/>
  <c r="Q864" i="3"/>
  <c r="Q865" i="3"/>
  <c r="Q866" i="3"/>
  <c r="Q867" i="3"/>
  <c r="Q868" i="3"/>
  <c r="Q869" i="3"/>
  <c r="Q870" i="3"/>
  <c r="Q871" i="3"/>
  <c r="Q872" i="3"/>
  <c r="Q873" i="3"/>
  <c r="Q874" i="3"/>
  <c r="Q875" i="3"/>
  <c r="Q876" i="3"/>
  <c r="Q877" i="3"/>
  <c r="Q878" i="3"/>
  <c r="Q879" i="3"/>
  <c r="Q880" i="3"/>
  <c r="Q881" i="3"/>
  <c r="Q882" i="3"/>
  <c r="Q883" i="3"/>
  <c r="Q884" i="3"/>
  <c r="Q885" i="3"/>
  <c r="Q886" i="3"/>
  <c r="Q887" i="3"/>
  <c r="Q888" i="3"/>
  <c r="Q889" i="3"/>
  <c r="Q890" i="3"/>
  <c r="Q891" i="3"/>
  <c r="Q892" i="3"/>
  <c r="Q893" i="3"/>
  <c r="Q894" i="3"/>
  <c r="Q895" i="3"/>
  <c r="Q896" i="3"/>
  <c r="Q897" i="3"/>
  <c r="Q898" i="3"/>
  <c r="Q899" i="3"/>
  <c r="Q900" i="3"/>
  <c r="Q901" i="3"/>
  <c r="Q902" i="3"/>
  <c r="Q903" i="3"/>
  <c r="Q904" i="3"/>
  <c r="Q905" i="3"/>
  <c r="Q906" i="3"/>
  <c r="Q907" i="3"/>
  <c r="Q908" i="3"/>
  <c r="Q909" i="3"/>
  <c r="Q910" i="3"/>
  <c r="Q911" i="3"/>
  <c r="Q912" i="3"/>
  <c r="Q913" i="3"/>
  <c r="Q914" i="3"/>
  <c r="Q915" i="3"/>
  <c r="Q916" i="3"/>
  <c r="Q917" i="3"/>
  <c r="Q918" i="3"/>
  <c r="Q919" i="3"/>
  <c r="Q920" i="3"/>
  <c r="Q921" i="3"/>
  <c r="Q922" i="3"/>
  <c r="Q923" i="3"/>
  <c r="Q924" i="3"/>
  <c r="Q925" i="3"/>
  <c r="Q926" i="3"/>
  <c r="Q927" i="3"/>
  <c r="Q928" i="3"/>
  <c r="Q929" i="3"/>
  <c r="Q930" i="3"/>
  <c r="Q931" i="3"/>
  <c r="Q932" i="3"/>
  <c r="Q933" i="3"/>
  <c r="Q934" i="3"/>
  <c r="Q935" i="3"/>
  <c r="Q936" i="3"/>
  <c r="Q937" i="3"/>
  <c r="Q938" i="3"/>
  <c r="Q939" i="3"/>
  <c r="Q940" i="3"/>
  <c r="Q941" i="3"/>
  <c r="Q942" i="3"/>
  <c r="Q943" i="3"/>
  <c r="Q944" i="3"/>
  <c r="Q945" i="3"/>
  <c r="Q946" i="3"/>
  <c r="Q947" i="3"/>
  <c r="Q948" i="3"/>
  <c r="Q949" i="3"/>
  <c r="Q950" i="3"/>
  <c r="Q951" i="3"/>
  <c r="Q952" i="3"/>
  <c r="Q953" i="3"/>
  <c r="Q954" i="3"/>
  <c r="Q955" i="3"/>
  <c r="Q956" i="3"/>
  <c r="Q957" i="3"/>
  <c r="Q958" i="3"/>
  <c r="Q959" i="3"/>
  <c r="Q960" i="3"/>
  <c r="Q961" i="3"/>
  <c r="Q962" i="3"/>
  <c r="Q963" i="3"/>
  <c r="Q964" i="3"/>
  <c r="Q965" i="3"/>
  <c r="Q966" i="3"/>
  <c r="Q967" i="3"/>
  <c r="Q968" i="3"/>
  <c r="Q969" i="3"/>
  <c r="Q970" i="3"/>
  <c r="Q971" i="3"/>
  <c r="Q972" i="3"/>
  <c r="Q973" i="3"/>
  <c r="Q974" i="3"/>
  <c r="Q975" i="3"/>
  <c r="Q976" i="3"/>
  <c r="Q977" i="3"/>
  <c r="Q978" i="3"/>
  <c r="Q979" i="3"/>
  <c r="Q980" i="3"/>
  <c r="Q981" i="3"/>
  <c r="Q982" i="3"/>
  <c r="Q983" i="3"/>
  <c r="Q984" i="3"/>
  <c r="Q985" i="3"/>
  <c r="Q986" i="3"/>
  <c r="Q987" i="3"/>
  <c r="Q988" i="3"/>
  <c r="Q989" i="3"/>
  <c r="Q990" i="3"/>
  <c r="Q991" i="3"/>
  <c r="Q992" i="3"/>
  <c r="Q993" i="3"/>
  <c r="Q994" i="3"/>
  <c r="Q995" i="3"/>
  <c r="Q996" i="3"/>
  <c r="Q997" i="3"/>
  <c r="Q998" i="3"/>
  <c r="Q999" i="3"/>
  <c r="Q1000" i="3"/>
  <c r="Q1001" i="3"/>
  <c r="Q1002" i="3"/>
  <c r="Q1003" i="3"/>
  <c r="Q1004" i="3"/>
  <c r="Q1005" i="3"/>
  <c r="Q1006" i="3"/>
  <c r="Q1007" i="3"/>
  <c r="Q1008" i="3"/>
  <c r="Q1009" i="3"/>
  <c r="Q1010" i="3"/>
  <c r="Q1011" i="3"/>
  <c r="Q1012" i="3"/>
  <c r="Q1013" i="3"/>
  <c r="Q1014" i="3"/>
  <c r="Q1015" i="3"/>
  <c r="Q1016" i="3"/>
  <c r="Q1017" i="3"/>
  <c r="Q1018" i="3"/>
  <c r="Q1019" i="3"/>
  <c r="Q1020" i="3"/>
  <c r="Q1021" i="3"/>
  <c r="Q1022" i="3"/>
  <c r="Q1023" i="3"/>
  <c r="Q1024" i="3"/>
  <c r="Q1025" i="3"/>
  <c r="Q1026" i="3"/>
  <c r="Q1027" i="3"/>
  <c r="Q1028" i="3"/>
  <c r="Q1029" i="3"/>
  <c r="Q1030" i="3"/>
  <c r="Q1031" i="3"/>
  <c r="Q1032" i="3"/>
  <c r="Q1033" i="3"/>
  <c r="Q1034" i="3"/>
  <c r="Q1035" i="3"/>
  <c r="Q1036" i="3"/>
  <c r="Q1037" i="3"/>
  <c r="Q1038" i="3"/>
  <c r="Q1039" i="3"/>
  <c r="Q1040" i="3"/>
  <c r="Q1041" i="3"/>
  <c r="Q1042" i="3"/>
  <c r="Q1043" i="3"/>
  <c r="Q1044" i="3"/>
  <c r="Q1045" i="3"/>
  <c r="Q1046" i="3"/>
  <c r="Q1047" i="3"/>
  <c r="Q1048" i="3"/>
  <c r="Q1049" i="3"/>
  <c r="Q1050" i="3"/>
  <c r="Q1051" i="3"/>
  <c r="Q1052" i="3"/>
  <c r="Q1053" i="3"/>
  <c r="Q1054" i="3"/>
  <c r="Q1055" i="3"/>
  <c r="Q1056" i="3"/>
  <c r="Q1057" i="3"/>
  <c r="Q1058" i="3"/>
  <c r="Q1059" i="3"/>
  <c r="Q1060" i="3"/>
  <c r="Q1061" i="3"/>
  <c r="Q1062" i="3"/>
  <c r="Q1063" i="3"/>
  <c r="Q1064" i="3"/>
  <c r="Q1065" i="3"/>
  <c r="Q1066" i="3"/>
  <c r="Q1067" i="3"/>
  <c r="Q1068" i="3"/>
  <c r="Q1069" i="3"/>
  <c r="Q1070" i="3"/>
  <c r="Q1071" i="3"/>
  <c r="Q1072" i="3"/>
  <c r="Q1073" i="3"/>
  <c r="Q1074" i="3"/>
  <c r="Q1075" i="3"/>
  <c r="Q1076" i="3"/>
  <c r="Q1077" i="3"/>
  <c r="Q1078" i="3"/>
  <c r="Q1079" i="3"/>
  <c r="Q1080" i="3"/>
  <c r="Q1081" i="3"/>
  <c r="Q1082" i="3"/>
  <c r="Q1083" i="3"/>
  <c r="Q1084" i="3"/>
  <c r="Q1085" i="3"/>
  <c r="Q1086" i="3"/>
  <c r="Q1087" i="3"/>
  <c r="Q1088" i="3"/>
  <c r="Q1089" i="3"/>
  <c r="Q1090" i="3"/>
  <c r="Q1091" i="3"/>
  <c r="Q1092" i="3"/>
  <c r="Q1093" i="3"/>
  <c r="Q1094" i="3"/>
  <c r="Q1095" i="3"/>
  <c r="Q1096" i="3"/>
  <c r="Q1097" i="3"/>
  <c r="Q1098" i="3"/>
  <c r="Q1099" i="3"/>
  <c r="Q1100" i="3"/>
  <c r="Q1101" i="3"/>
  <c r="Q1102" i="3"/>
  <c r="Q1103" i="3"/>
  <c r="Q1104" i="3"/>
  <c r="Q1105" i="3"/>
  <c r="Q1106" i="3"/>
  <c r="Q1107" i="3"/>
  <c r="Q1108" i="3"/>
  <c r="Q1109" i="3"/>
  <c r="Q1110" i="3"/>
  <c r="Q1111" i="3"/>
  <c r="Q1112" i="3"/>
  <c r="Q1113" i="3"/>
  <c r="Q1114" i="3"/>
  <c r="Q1115" i="3"/>
  <c r="Q1116" i="3"/>
  <c r="Q1117" i="3"/>
  <c r="Q1118" i="3"/>
  <c r="Q1119" i="3"/>
  <c r="Q1120" i="3"/>
  <c r="Q1121" i="3"/>
  <c r="Q1122" i="3"/>
  <c r="Q1123" i="3"/>
  <c r="Q1124" i="3"/>
  <c r="Q1125" i="3"/>
  <c r="Q1126" i="3"/>
  <c r="Q1127" i="3"/>
  <c r="Q1128" i="3"/>
  <c r="Q1129" i="3"/>
  <c r="Q1130" i="3"/>
  <c r="Q1131" i="3"/>
  <c r="Q1132" i="3"/>
  <c r="Q1133" i="3"/>
  <c r="Q1134" i="3"/>
  <c r="Q1135" i="3"/>
  <c r="Q1136" i="3"/>
  <c r="Q1137" i="3"/>
  <c r="Q1138" i="3"/>
  <c r="Q1139" i="3"/>
  <c r="Q1140" i="3"/>
  <c r="Q1141" i="3"/>
  <c r="Q1142" i="3"/>
  <c r="Q1143" i="3"/>
  <c r="Q1144" i="3"/>
  <c r="Q1145" i="3"/>
  <c r="Q1146" i="3"/>
  <c r="Q1147" i="3"/>
  <c r="Q1148" i="3"/>
  <c r="Q1149" i="3"/>
  <c r="Q1150" i="3"/>
  <c r="Q1151" i="3"/>
  <c r="Q1152" i="3"/>
  <c r="Q1153" i="3"/>
  <c r="Q1154" i="3"/>
  <c r="Q1155" i="3"/>
  <c r="Q1156" i="3"/>
  <c r="Q1157" i="3"/>
  <c r="Q1158" i="3"/>
  <c r="Q1159" i="3"/>
  <c r="Q1160" i="3"/>
  <c r="Q1161" i="3"/>
  <c r="Q1162" i="3"/>
  <c r="Q1163" i="3"/>
  <c r="Q1164" i="3"/>
  <c r="Q1165" i="3"/>
  <c r="Q1166" i="3"/>
  <c r="Q1167" i="3"/>
  <c r="Q1168" i="3"/>
  <c r="Q1169" i="3"/>
  <c r="Q1170" i="3"/>
  <c r="Q1171" i="3"/>
  <c r="Q1172" i="3"/>
  <c r="Q1173" i="3"/>
  <c r="Q1174" i="3"/>
  <c r="Q1175" i="3"/>
  <c r="Q1176" i="3"/>
  <c r="Q1177" i="3"/>
  <c r="Q1178" i="3"/>
  <c r="Q1179" i="3"/>
  <c r="Q1180" i="3"/>
  <c r="Q1181" i="3"/>
  <c r="Q1182" i="3"/>
  <c r="Q1183" i="3"/>
  <c r="Q1184" i="3"/>
  <c r="Q1185" i="3"/>
  <c r="Q1186" i="3"/>
  <c r="Q1187" i="3"/>
  <c r="Q1188" i="3"/>
  <c r="Q1189" i="3"/>
  <c r="Q1190" i="3"/>
  <c r="Q1191" i="3"/>
  <c r="Q1192" i="3"/>
  <c r="Q1193" i="3"/>
  <c r="Q1194" i="3"/>
  <c r="Q1195" i="3"/>
  <c r="Q1196" i="3"/>
  <c r="Q1197" i="3"/>
  <c r="Q1198" i="3"/>
  <c r="Q1199" i="3"/>
  <c r="Q1200" i="3"/>
  <c r="Q1201" i="3"/>
  <c r="Q1202" i="3"/>
  <c r="Q1203" i="3"/>
  <c r="Q1204" i="3"/>
  <c r="Q1205" i="3"/>
  <c r="Q1206" i="3"/>
  <c r="Q1207" i="3"/>
  <c r="Q1208" i="3"/>
  <c r="Q1209" i="3"/>
  <c r="Q1210" i="3"/>
  <c r="Q1211" i="3"/>
  <c r="Q1212" i="3"/>
  <c r="Q1213" i="3"/>
  <c r="Q1214" i="3"/>
  <c r="Q1215" i="3"/>
  <c r="Q1216" i="3"/>
  <c r="Q1217" i="3"/>
  <c r="Q1218" i="3"/>
  <c r="Q1219" i="3"/>
  <c r="Q1220" i="3"/>
  <c r="Q1221" i="3"/>
  <c r="Q1222" i="3"/>
  <c r="Q1223" i="3"/>
  <c r="Q1224" i="3"/>
  <c r="Q1225" i="3"/>
  <c r="Q1226" i="3"/>
  <c r="Q1227" i="3"/>
  <c r="Q1228" i="3"/>
  <c r="Q1229" i="3"/>
  <c r="Q1230" i="3"/>
  <c r="Q1231" i="3"/>
  <c r="Q1232" i="3"/>
  <c r="Q1233" i="3"/>
  <c r="Q1234" i="3"/>
  <c r="Q1235" i="3"/>
  <c r="Q1236" i="3"/>
  <c r="Q1237" i="3"/>
  <c r="Q1238" i="3"/>
  <c r="Q1239" i="3"/>
  <c r="Q1240" i="3"/>
  <c r="Q1241" i="3"/>
  <c r="Q1242" i="3"/>
  <c r="Q1243" i="3"/>
  <c r="Q1244" i="3"/>
  <c r="Q1245" i="3"/>
  <c r="Q1246" i="3"/>
  <c r="Q1247" i="3"/>
  <c r="Q1248" i="3"/>
  <c r="Q1249" i="3"/>
  <c r="Q1250" i="3"/>
  <c r="Q1251" i="3"/>
  <c r="Q1252" i="3"/>
  <c r="Q1253" i="3"/>
  <c r="Q1254" i="3"/>
  <c r="Q1255" i="3"/>
  <c r="Q1256" i="3"/>
  <c r="Q1257" i="3"/>
  <c r="Q1258" i="3"/>
  <c r="Q1259" i="3"/>
  <c r="Q1260" i="3"/>
  <c r="Q1261" i="3"/>
  <c r="Q1262" i="3"/>
  <c r="Q1263" i="3"/>
  <c r="Q1264" i="3"/>
  <c r="Q1265" i="3"/>
  <c r="Q1266" i="3"/>
  <c r="Q1267" i="3"/>
  <c r="Q1268" i="3"/>
  <c r="Q1269" i="3"/>
  <c r="Q1270" i="3"/>
  <c r="Q1271" i="3"/>
  <c r="Q1272" i="3"/>
  <c r="Q1273" i="3"/>
  <c r="Q1274" i="3"/>
  <c r="Q1275" i="3"/>
  <c r="Q1276" i="3"/>
  <c r="Q1277" i="3"/>
  <c r="Q1278" i="3"/>
  <c r="Q1279" i="3"/>
  <c r="Q1280" i="3"/>
  <c r="Q1281" i="3"/>
  <c r="Q1282" i="3"/>
  <c r="Q1283" i="3"/>
  <c r="Q1284" i="3"/>
  <c r="Q1285" i="3"/>
  <c r="Q1286" i="3"/>
  <c r="Q1287" i="3"/>
  <c r="Q1288" i="3"/>
  <c r="Q1289" i="3"/>
  <c r="Q1290" i="3"/>
  <c r="Q1291" i="3"/>
  <c r="Q1292" i="3"/>
  <c r="Q1293" i="3"/>
  <c r="Q1294" i="3"/>
  <c r="Q1295" i="3"/>
  <c r="Q1296" i="3"/>
  <c r="Q1297" i="3"/>
  <c r="Q1298" i="3"/>
  <c r="Q1299" i="3"/>
  <c r="Q1300" i="3"/>
  <c r="Q1301" i="3"/>
  <c r="Q1302" i="3"/>
  <c r="Q1303" i="3"/>
  <c r="Q1304" i="3"/>
  <c r="Q1305" i="3"/>
  <c r="Q1306" i="3"/>
  <c r="Q1307" i="3"/>
  <c r="Q1308" i="3"/>
  <c r="Q1309" i="3"/>
  <c r="Q1310" i="3"/>
  <c r="Q1311" i="3"/>
  <c r="Q1312" i="3"/>
  <c r="Q1313" i="3"/>
  <c r="Q1314" i="3"/>
  <c r="Q1315" i="3"/>
  <c r="Q1316" i="3"/>
  <c r="Q1317" i="3"/>
  <c r="Q1318" i="3"/>
  <c r="Q1319" i="3"/>
  <c r="Q1320" i="3"/>
  <c r="Q1321" i="3"/>
  <c r="Q1322" i="3"/>
  <c r="Q1323" i="3"/>
  <c r="Q1324" i="3"/>
  <c r="Q1325" i="3"/>
  <c r="Q1326" i="3"/>
  <c r="Q1327" i="3"/>
  <c r="Q1328" i="3"/>
  <c r="Q1329" i="3"/>
  <c r="Q1330" i="3"/>
  <c r="Q1331" i="3"/>
  <c r="Q1332" i="3"/>
  <c r="Q1333" i="3"/>
  <c r="Q1334" i="3"/>
  <c r="Q1335" i="3"/>
  <c r="Q1336" i="3"/>
  <c r="Q1337" i="3"/>
  <c r="Q1338" i="3"/>
  <c r="Q1339" i="3"/>
  <c r="Q1340" i="3"/>
  <c r="Q1341" i="3"/>
  <c r="Q1342" i="3"/>
  <c r="Q1343" i="3"/>
  <c r="Q1344" i="3"/>
  <c r="Q1345" i="3"/>
  <c r="Q1346" i="3"/>
  <c r="Q1347" i="3"/>
  <c r="Q1348" i="3"/>
  <c r="Q1349" i="3"/>
  <c r="Q1350" i="3"/>
  <c r="Q1351" i="3"/>
  <c r="Q1352" i="3"/>
  <c r="Q1353" i="3"/>
  <c r="Q1354" i="3"/>
  <c r="Q1355" i="3"/>
  <c r="Q1356" i="3"/>
  <c r="Q1357" i="3"/>
  <c r="Q1358" i="3"/>
  <c r="Q1359" i="3"/>
  <c r="Q1360" i="3"/>
  <c r="Q1361" i="3"/>
  <c r="Q1362" i="3"/>
  <c r="Q1363" i="3"/>
  <c r="Q1364" i="3"/>
  <c r="Q1365" i="3"/>
  <c r="Q1366" i="3"/>
  <c r="Q1367" i="3"/>
  <c r="Q1368" i="3"/>
  <c r="Q1369" i="3"/>
  <c r="Q1370" i="3"/>
  <c r="Q1371" i="3"/>
  <c r="Q1372" i="3"/>
  <c r="Q1373" i="3"/>
  <c r="Q1374" i="3"/>
  <c r="Q1375" i="3"/>
  <c r="Q1376" i="3"/>
  <c r="Q1377" i="3"/>
  <c r="Q1378" i="3"/>
  <c r="Q1379" i="3"/>
  <c r="Q1380" i="3"/>
  <c r="Q1381" i="3"/>
  <c r="Q1382" i="3"/>
  <c r="Q1383" i="3"/>
  <c r="Q1384" i="3"/>
  <c r="Q1385" i="3"/>
  <c r="Q1386" i="3"/>
  <c r="Q1387" i="3"/>
  <c r="Q1388" i="3"/>
  <c r="Q1389" i="3"/>
  <c r="Q1390" i="3"/>
  <c r="Q1391" i="3"/>
  <c r="Q1392" i="3"/>
  <c r="Q1393" i="3"/>
  <c r="Q1394" i="3"/>
  <c r="Q1395" i="3"/>
  <c r="Q1396" i="3"/>
  <c r="Q1397" i="3"/>
  <c r="Q1398" i="3"/>
  <c r="Q1399" i="3"/>
  <c r="Q1400" i="3"/>
  <c r="Q1401" i="3"/>
  <c r="Q1402" i="3"/>
  <c r="Q1403" i="3"/>
  <c r="Q1404" i="3"/>
  <c r="Q1405" i="3"/>
  <c r="Q1406" i="3"/>
  <c r="Q1407" i="3"/>
  <c r="Q1408" i="3"/>
  <c r="Q1409" i="3"/>
  <c r="Q1410" i="3"/>
  <c r="Q1411" i="3"/>
  <c r="Q1412" i="3"/>
  <c r="Q1413" i="3"/>
  <c r="Q1414" i="3"/>
  <c r="Q1415" i="3"/>
  <c r="Q1416" i="3"/>
  <c r="Q1417" i="3"/>
  <c r="Q1418" i="3"/>
  <c r="Q1419" i="3"/>
  <c r="Q1420" i="3"/>
  <c r="Q1421" i="3"/>
  <c r="Q1422" i="3"/>
  <c r="Q1423" i="3"/>
  <c r="Q1424" i="3"/>
  <c r="Q1425" i="3"/>
  <c r="Q1426" i="3"/>
  <c r="Q1427" i="3"/>
  <c r="Q1428" i="3"/>
  <c r="Q1429" i="3"/>
  <c r="Q1430" i="3"/>
  <c r="Q1431" i="3"/>
  <c r="Q1432" i="3"/>
  <c r="Q1433" i="3"/>
  <c r="Q1434" i="3"/>
  <c r="Q1435" i="3"/>
  <c r="Q1436" i="3"/>
  <c r="Q1437" i="3"/>
  <c r="Q1438" i="3"/>
  <c r="Q1439" i="3"/>
  <c r="Q1440" i="3"/>
  <c r="Q1441" i="3"/>
  <c r="Q1442" i="3"/>
  <c r="Q1443" i="3"/>
  <c r="Q1444" i="3"/>
  <c r="Q1445" i="3"/>
  <c r="Q1446" i="3"/>
  <c r="Q1447" i="3"/>
  <c r="Q1448" i="3"/>
  <c r="Q1449" i="3"/>
  <c r="Q1450" i="3"/>
  <c r="Q1451" i="3"/>
  <c r="Q1452" i="3"/>
  <c r="Q1453" i="3"/>
  <c r="Q1454" i="3"/>
  <c r="Q1455" i="3"/>
  <c r="Q1456" i="3"/>
  <c r="Q1457" i="3"/>
  <c r="Q1458" i="3"/>
  <c r="Q1459" i="3"/>
  <c r="Q1460" i="3"/>
  <c r="Q1461" i="3"/>
  <c r="Q1462" i="3"/>
  <c r="Q1463" i="3"/>
  <c r="Q1464" i="3"/>
  <c r="Q1465" i="3"/>
  <c r="Q1466" i="3"/>
  <c r="Q1467" i="3"/>
  <c r="Q1468" i="3"/>
  <c r="Q1469" i="3"/>
  <c r="Q1470" i="3"/>
  <c r="Q1471" i="3"/>
  <c r="Q1472" i="3"/>
  <c r="Q1473" i="3"/>
  <c r="Q1474" i="3"/>
  <c r="Q1475" i="3"/>
  <c r="Q1476" i="3"/>
  <c r="Q1477" i="3"/>
  <c r="Q1478" i="3"/>
  <c r="Q1479" i="3"/>
  <c r="Q1480" i="3"/>
  <c r="Q1481" i="3"/>
  <c r="Q1482" i="3"/>
  <c r="Q1483" i="3"/>
  <c r="Q1484" i="3"/>
  <c r="Q1485" i="3"/>
  <c r="Q1486" i="3"/>
  <c r="Q1487" i="3"/>
  <c r="Q1488" i="3"/>
  <c r="Q1489" i="3"/>
  <c r="Q1490" i="3"/>
  <c r="Q1491" i="3"/>
  <c r="Q1492" i="3"/>
  <c r="Q1493" i="3"/>
  <c r="Q1494" i="3"/>
  <c r="Q1495" i="3"/>
  <c r="Q1496" i="3"/>
  <c r="Q1497" i="3"/>
  <c r="Q1498" i="3"/>
  <c r="Q1499" i="3"/>
  <c r="Q1500" i="3"/>
  <c r="Q1501" i="3"/>
  <c r="Q1502" i="3"/>
  <c r="Q1503" i="3"/>
  <c r="Q1504" i="3"/>
  <c r="Q1505" i="3"/>
  <c r="Q1506" i="3"/>
  <c r="Q1507" i="3"/>
  <c r="Q1508" i="3"/>
  <c r="Q1509" i="3"/>
  <c r="Q1510" i="3"/>
  <c r="Q1511" i="3"/>
  <c r="Q1512" i="3"/>
  <c r="Q1513" i="3"/>
  <c r="Q1514" i="3"/>
  <c r="Q1515" i="3"/>
  <c r="Q1516" i="3"/>
  <c r="Q1517" i="3"/>
  <c r="Q1518" i="3"/>
  <c r="Q1519" i="3"/>
  <c r="Q1520" i="3"/>
  <c r="Q1521" i="3"/>
  <c r="Q1522" i="3"/>
  <c r="Q1523" i="3"/>
  <c r="Q1524" i="3"/>
  <c r="Q1525" i="3"/>
  <c r="Q1526" i="3"/>
  <c r="Q1527" i="3"/>
  <c r="Q1528" i="3"/>
  <c r="Q1529" i="3"/>
  <c r="Q1530" i="3"/>
  <c r="Q1531" i="3"/>
  <c r="Q1532" i="3"/>
  <c r="Q1533" i="3"/>
  <c r="Q1534" i="3"/>
  <c r="Q1535" i="3"/>
  <c r="Q1536" i="3"/>
  <c r="Q1537" i="3"/>
  <c r="Q1538" i="3"/>
  <c r="Q1539" i="3"/>
  <c r="Q1540" i="3"/>
  <c r="Q1541" i="3"/>
  <c r="Q1542" i="3"/>
  <c r="Q1543" i="3"/>
  <c r="Q1544" i="3"/>
  <c r="Q1545" i="3"/>
  <c r="Q1546" i="3"/>
  <c r="Q1547" i="3"/>
  <c r="Q1548" i="3"/>
  <c r="Q1549" i="3"/>
  <c r="Q1550" i="3"/>
  <c r="Q1551" i="3"/>
  <c r="Q1552" i="3"/>
  <c r="Q1553" i="3"/>
  <c r="Q1554" i="3"/>
  <c r="Q1555" i="3"/>
  <c r="Q1556" i="3"/>
  <c r="Q1557" i="3"/>
  <c r="Q1558" i="3"/>
  <c r="Q1559" i="3"/>
  <c r="Q1560" i="3"/>
  <c r="Q1561" i="3"/>
  <c r="Q1562" i="3"/>
  <c r="Q1563" i="3"/>
  <c r="Q1564" i="3"/>
  <c r="Q1565" i="3"/>
  <c r="Q1566" i="3"/>
  <c r="Q1567" i="3"/>
  <c r="Q1568" i="3"/>
  <c r="Q1569" i="3"/>
  <c r="Q1570" i="3"/>
  <c r="Q1571" i="3"/>
  <c r="Q1572" i="3"/>
  <c r="Q1573" i="3"/>
  <c r="Q1574" i="3"/>
  <c r="Q1575" i="3"/>
  <c r="Q1576" i="3"/>
  <c r="Q1577" i="3"/>
  <c r="Q1578" i="3"/>
  <c r="Q1579" i="3"/>
  <c r="Q1580" i="3"/>
  <c r="Q1581" i="3"/>
  <c r="Q1582" i="3"/>
  <c r="Q1583" i="3"/>
  <c r="Q1584" i="3"/>
  <c r="Q1585" i="3"/>
  <c r="Q1586" i="3"/>
  <c r="Q1587" i="3"/>
  <c r="Q1588" i="3"/>
  <c r="Q1589" i="3"/>
  <c r="Q1590" i="3"/>
  <c r="Q1591" i="3"/>
  <c r="Q1592" i="3"/>
  <c r="Q1593" i="3"/>
  <c r="Q1594" i="3"/>
  <c r="Q1595" i="3"/>
  <c r="Q1596" i="3"/>
  <c r="Q1597" i="3"/>
  <c r="Q1598" i="3"/>
  <c r="Q1599" i="3"/>
  <c r="Q1600" i="3"/>
  <c r="Q1601" i="3"/>
  <c r="Q1602" i="3"/>
  <c r="Q1603" i="3"/>
  <c r="Q1604" i="3"/>
  <c r="Q1605" i="3"/>
  <c r="Q1606" i="3"/>
  <c r="Q1607" i="3"/>
  <c r="Q1608" i="3"/>
  <c r="Q1609" i="3"/>
  <c r="Q1610" i="3"/>
  <c r="Q1611" i="3"/>
  <c r="Q1612" i="3"/>
  <c r="Q1613" i="3"/>
  <c r="Q1614" i="3"/>
  <c r="Q1615" i="3"/>
  <c r="Q1616" i="3"/>
  <c r="Q1617" i="3"/>
  <c r="Q1618" i="3"/>
  <c r="Q1619" i="3"/>
  <c r="Q1620" i="3"/>
  <c r="Q1621" i="3"/>
  <c r="Q1622" i="3"/>
  <c r="Q1623" i="3"/>
  <c r="Q1624" i="3"/>
  <c r="Q1625" i="3"/>
  <c r="Q1626" i="3"/>
  <c r="Q1627" i="3"/>
  <c r="Q1628" i="3"/>
  <c r="Q1629" i="3"/>
  <c r="Q1630" i="3"/>
  <c r="Q1631" i="3"/>
  <c r="Q1632" i="3"/>
  <c r="Q1633" i="3"/>
  <c r="Q1634" i="3"/>
  <c r="Q1635" i="3"/>
  <c r="Q1636" i="3"/>
  <c r="Q1637" i="3"/>
  <c r="Q1638" i="3"/>
  <c r="Q1639" i="3"/>
  <c r="Q1640" i="3"/>
  <c r="Q1641" i="3"/>
  <c r="Q1642" i="3"/>
  <c r="Q1643" i="3"/>
  <c r="Q1644" i="3"/>
  <c r="Q1645" i="3"/>
  <c r="Q1646" i="3"/>
  <c r="Q1647" i="3"/>
  <c r="Q1648" i="3"/>
  <c r="Q1649" i="3"/>
  <c r="Q1650" i="3"/>
  <c r="Q1651" i="3"/>
  <c r="Q1652" i="3"/>
  <c r="Q1653" i="3"/>
  <c r="Q1654" i="3"/>
  <c r="Q1655" i="3"/>
  <c r="Q1656" i="3"/>
  <c r="Q1657" i="3"/>
  <c r="Q1658" i="3"/>
  <c r="Q1659" i="3"/>
  <c r="Q1660" i="3"/>
  <c r="Q1661" i="3"/>
  <c r="Q1662" i="3"/>
  <c r="Q1663" i="3"/>
  <c r="Q1664" i="3"/>
  <c r="Q1665" i="3"/>
  <c r="Q1666" i="3"/>
  <c r="Q1667" i="3"/>
  <c r="Q1668" i="3"/>
  <c r="Q1669" i="3"/>
  <c r="Q1670" i="3"/>
  <c r="Q1671" i="3"/>
  <c r="Q1672" i="3"/>
  <c r="Q1673" i="3"/>
  <c r="Q1674" i="3"/>
  <c r="Q1675" i="3"/>
  <c r="Q1676" i="3"/>
  <c r="Q1677" i="3"/>
  <c r="Q1678" i="3"/>
  <c r="Q1679" i="3"/>
  <c r="Q1680" i="3"/>
  <c r="Q1681" i="3"/>
  <c r="Q1682" i="3"/>
  <c r="Q1683" i="3"/>
  <c r="Q1684" i="3"/>
  <c r="Q1685" i="3"/>
  <c r="Q1686" i="3"/>
  <c r="Q1687" i="3"/>
  <c r="Q1688" i="3"/>
  <c r="Q1689" i="3"/>
  <c r="Q1690" i="3"/>
  <c r="Q1691" i="3"/>
  <c r="Q1692" i="3"/>
  <c r="Q1693" i="3"/>
  <c r="Q1694" i="3"/>
  <c r="Q1695" i="3"/>
  <c r="Q1696" i="3"/>
  <c r="Q1697" i="3"/>
  <c r="Q1698" i="3"/>
  <c r="Q1699" i="3"/>
  <c r="Q1700" i="3"/>
  <c r="Q1701" i="3"/>
  <c r="Q1702" i="3"/>
  <c r="Q1703" i="3"/>
  <c r="Q1704" i="3"/>
  <c r="Q1705" i="3"/>
  <c r="Q1706" i="3"/>
  <c r="Q1707" i="3"/>
  <c r="Q1708" i="3"/>
  <c r="Q1709" i="3"/>
  <c r="Q1710" i="3"/>
  <c r="Q1711" i="3"/>
  <c r="Q1712" i="3"/>
  <c r="Q1713" i="3"/>
  <c r="Q1714" i="3"/>
  <c r="Q1715" i="3"/>
  <c r="Q1716" i="3"/>
  <c r="Q1717" i="3"/>
  <c r="Q1718" i="3"/>
  <c r="Q1719" i="3"/>
  <c r="Q1720" i="3"/>
  <c r="Q1721" i="3"/>
  <c r="Q1722" i="3"/>
  <c r="Q1723" i="3"/>
  <c r="Q1724" i="3"/>
  <c r="Q1725" i="3"/>
  <c r="Q1726" i="3"/>
  <c r="Q1727" i="3"/>
  <c r="Q1728" i="3"/>
  <c r="Q1729" i="3"/>
  <c r="Q1730" i="3"/>
  <c r="Q1731" i="3"/>
  <c r="Q1732" i="3"/>
  <c r="Q1733" i="3"/>
  <c r="Q1734" i="3"/>
  <c r="Q1735" i="3"/>
  <c r="Q1736" i="3"/>
  <c r="Q1737" i="3"/>
  <c r="Q1738" i="3"/>
  <c r="Q1739" i="3"/>
  <c r="Q1740" i="3"/>
  <c r="Q1741" i="3"/>
  <c r="Q1742" i="3"/>
  <c r="Q1743" i="3"/>
  <c r="Q1744" i="3"/>
  <c r="Q1745" i="3"/>
  <c r="Q1746" i="3"/>
  <c r="Q1747" i="3"/>
  <c r="Q1748" i="3"/>
  <c r="Q1749" i="3"/>
  <c r="Q1750" i="3"/>
  <c r="Q1751" i="3"/>
  <c r="Q1752" i="3"/>
  <c r="Q1753" i="3"/>
  <c r="Q1754" i="3"/>
  <c r="Q1755" i="3"/>
  <c r="Q1756" i="3"/>
  <c r="Q1757" i="3"/>
  <c r="Q1758" i="3"/>
  <c r="Q1759" i="3"/>
  <c r="Q1760" i="3"/>
  <c r="Q1761" i="3"/>
  <c r="Q1762" i="3"/>
  <c r="Q1763" i="3"/>
  <c r="Q1764" i="3"/>
  <c r="Q1765" i="3"/>
  <c r="Q1766" i="3"/>
  <c r="Q1767" i="3"/>
  <c r="Q1768" i="3"/>
  <c r="Q1769" i="3"/>
  <c r="Q1770" i="3"/>
  <c r="Q1771" i="3"/>
  <c r="Q1772" i="3"/>
  <c r="Q1773" i="3"/>
  <c r="Q1774" i="3"/>
  <c r="Q1775" i="3"/>
  <c r="Q1776" i="3"/>
  <c r="Q1777" i="3"/>
  <c r="Q1778" i="3"/>
  <c r="Q1779" i="3"/>
  <c r="Q1780" i="3"/>
  <c r="Q1781" i="3"/>
  <c r="Q1782" i="3"/>
  <c r="Q1783" i="3"/>
  <c r="Q1784" i="3"/>
  <c r="Q1785" i="3"/>
  <c r="Q1786" i="3"/>
  <c r="Q1787" i="3"/>
  <c r="Q1788" i="3"/>
  <c r="Q1789" i="3"/>
  <c r="Q1790" i="3"/>
  <c r="Q1791" i="3"/>
  <c r="Q1792" i="3"/>
  <c r="Q1793" i="3"/>
  <c r="Q1794" i="3"/>
  <c r="Q1795" i="3"/>
  <c r="Q1796" i="3"/>
  <c r="Q1797" i="3"/>
  <c r="Q1798" i="3"/>
  <c r="Q1799" i="3"/>
  <c r="Q1800" i="3"/>
  <c r="Q1801" i="3"/>
  <c r="Q1802" i="3"/>
  <c r="Q1803" i="3"/>
  <c r="Q1804" i="3"/>
  <c r="Q1805" i="3"/>
  <c r="Q1806" i="3"/>
  <c r="Q1807" i="3"/>
  <c r="Q1808" i="3"/>
  <c r="Q1809" i="3"/>
  <c r="Q1810" i="3"/>
  <c r="Q1811" i="3"/>
  <c r="Q1812" i="3"/>
  <c r="Q1813" i="3"/>
  <c r="Q1814" i="3"/>
  <c r="Q1815" i="3"/>
  <c r="Q1816" i="3"/>
  <c r="Q1817" i="3"/>
  <c r="Q1818" i="3"/>
  <c r="Q1819" i="3"/>
  <c r="Q1820" i="3"/>
  <c r="Q1821" i="3"/>
  <c r="Q1822" i="3"/>
  <c r="Q1823" i="3"/>
  <c r="Q1824" i="3"/>
  <c r="Q1825" i="3"/>
  <c r="Q1826" i="3"/>
  <c r="Q1827" i="3"/>
  <c r="Q1828" i="3"/>
  <c r="Q1829" i="3"/>
  <c r="Q1830" i="3"/>
  <c r="Q1831" i="3"/>
  <c r="Q1832" i="3"/>
  <c r="Q1833" i="3"/>
  <c r="Q1834" i="3"/>
  <c r="Q1835" i="3"/>
  <c r="Q1836" i="3"/>
  <c r="Q1837" i="3"/>
  <c r="Q1838" i="3"/>
  <c r="Q1839" i="3"/>
  <c r="Q1840" i="3"/>
  <c r="Q1841" i="3"/>
  <c r="Q1842" i="3"/>
  <c r="Q1843" i="3"/>
  <c r="Q1844" i="3"/>
  <c r="Q1845" i="3"/>
  <c r="Q1846" i="3"/>
  <c r="Q1847" i="3"/>
  <c r="Q1848" i="3"/>
  <c r="Q1849" i="3"/>
  <c r="Q1850" i="3"/>
  <c r="Q1851" i="3"/>
  <c r="Q1852" i="3"/>
  <c r="Q1853" i="3"/>
  <c r="Q1854" i="3"/>
  <c r="Q1855" i="3"/>
  <c r="Q1856" i="3"/>
  <c r="Q1857" i="3"/>
  <c r="Q1858" i="3"/>
  <c r="Q1859" i="3"/>
  <c r="Q1860" i="3"/>
  <c r="Q1861" i="3"/>
  <c r="Q1862" i="3"/>
  <c r="Q1863" i="3"/>
  <c r="Q1864" i="3"/>
  <c r="Q1865" i="3"/>
  <c r="Q1866" i="3"/>
  <c r="Q1867" i="3"/>
  <c r="Q1868" i="3"/>
  <c r="Q1869" i="3"/>
  <c r="Q1870" i="3"/>
  <c r="Q1871" i="3"/>
  <c r="Q1872" i="3"/>
  <c r="Q1873" i="3"/>
  <c r="Q1874" i="3"/>
  <c r="Q1875" i="3"/>
  <c r="Q1876" i="3"/>
  <c r="Q1877" i="3"/>
  <c r="Q1878" i="3"/>
  <c r="Q1879" i="3"/>
  <c r="Q1880" i="3"/>
  <c r="Q1881" i="3"/>
  <c r="Q1882" i="3"/>
  <c r="Q1883" i="3"/>
  <c r="Q1884" i="3"/>
  <c r="Q1885" i="3"/>
  <c r="Q1886" i="3"/>
  <c r="Q1887" i="3"/>
  <c r="Q1888" i="3"/>
  <c r="Q1889" i="3"/>
  <c r="Q1890" i="3"/>
  <c r="Q1891" i="3"/>
  <c r="Q1892" i="3"/>
  <c r="Q1893" i="3"/>
  <c r="Q1894" i="3"/>
  <c r="Q1895" i="3"/>
  <c r="Q1896" i="3"/>
  <c r="Q1897" i="3"/>
  <c r="Q1898" i="3"/>
  <c r="Q1899" i="3"/>
  <c r="Q1900" i="3"/>
  <c r="Q1901" i="3"/>
  <c r="Q1902" i="3"/>
  <c r="Q1903" i="3"/>
  <c r="Q1904" i="3"/>
  <c r="Q1905" i="3"/>
  <c r="Q1906" i="3"/>
  <c r="Q1907" i="3"/>
  <c r="Q1908" i="3"/>
  <c r="Q1909" i="3"/>
  <c r="Q1910" i="3"/>
  <c r="Q1911" i="3"/>
  <c r="Q1912" i="3"/>
  <c r="Q1913" i="3"/>
  <c r="Q1914" i="3"/>
  <c r="Q1915" i="3"/>
  <c r="Q1916" i="3"/>
  <c r="Q1917" i="3"/>
  <c r="Q1918" i="3"/>
  <c r="Q1919" i="3"/>
  <c r="Q1920" i="3"/>
  <c r="Q1921" i="3"/>
  <c r="Q1922" i="3"/>
  <c r="Q1923" i="3"/>
  <c r="Q1924" i="3"/>
  <c r="Q1925" i="3"/>
  <c r="Q1926" i="3"/>
  <c r="Q1927" i="3"/>
  <c r="Q1928" i="3"/>
  <c r="Q1929" i="3"/>
  <c r="Q1930" i="3"/>
  <c r="Q1931" i="3"/>
  <c r="Q1932" i="3"/>
  <c r="Q1933" i="3"/>
  <c r="Q1934" i="3"/>
  <c r="Q1935" i="3"/>
  <c r="Q1936" i="3"/>
  <c r="Q1937" i="3"/>
  <c r="Q1938" i="3"/>
  <c r="Q1939" i="3"/>
  <c r="Q1940" i="3"/>
  <c r="Q1941" i="3"/>
  <c r="Q1942" i="3"/>
  <c r="Q1943" i="3"/>
  <c r="Q1944" i="3"/>
  <c r="Q1945" i="3"/>
  <c r="Q1946" i="3"/>
  <c r="Q1947" i="3"/>
  <c r="Q1948" i="3"/>
  <c r="Q1949" i="3"/>
  <c r="Q1950" i="3"/>
  <c r="Q1951" i="3"/>
  <c r="Q1952" i="3"/>
  <c r="Q1953" i="3"/>
  <c r="Q1954" i="3"/>
  <c r="Q1955" i="3"/>
  <c r="Q1956" i="3"/>
  <c r="Q1957" i="3"/>
  <c r="Q1958" i="3"/>
  <c r="Q1959" i="3"/>
  <c r="Q1960" i="3"/>
  <c r="Q1961" i="3"/>
  <c r="Q1962" i="3"/>
  <c r="Q1963" i="3"/>
  <c r="Q1964" i="3"/>
  <c r="Q1965" i="3"/>
  <c r="Q1966" i="3"/>
  <c r="Q1967" i="3"/>
  <c r="Q1968" i="3"/>
  <c r="Q1969" i="3"/>
  <c r="Q1970" i="3"/>
  <c r="Q1971" i="3"/>
  <c r="Q1972" i="3"/>
  <c r="Q1973" i="3"/>
  <c r="Q1974" i="3"/>
  <c r="Q1975" i="3"/>
  <c r="Q1976" i="3"/>
  <c r="Q1977" i="3"/>
  <c r="Q1978" i="3"/>
  <c r="Q1979" i="3"/>
  <c r="Q1980" i="3"/>
  <c r="Q1981" i="3"/>
  <c r="Q1982" i="3"/>
  <c r="Q1983" i="3"/>
  <c r="Q1984" i="3"/>
  <c r="Q1985" i="3"/>
  <c r="Q1986" i="3"/>
  <c r="Q1987" i="3"/>
  <c r="Q1988" i="3"/>
  <c r="Q1989" i="3"/>
  <c r="Q1990" i="3"/>
  <c r="Q1991" i="3"/>
  <c r="Q1992" i="3"/>
  <c r="Q1993" i="3"/>
  <c r="Q1994" i="3"/>
  <c r="Q1995" i="3"/>
  <c r="Q1996" i="3"/>
  <c r="Q1997" i="3"/>
  <c r="Q1998" i="3"/>
  <c r="Q1999" i="3"/>
  <c r="Q2000" i="3"/>
  <c r="Q2001" i="3"/>
  <c r="Q2002" i="3"/>
  <c r="Q2003" i="3"/>
  <c r="Q2004" i="3"/>
  <c r="Q2005" i="3"/>
  <c r="Q2006" i="3"/>
  <c r="Q2007" i="3"/>
  <c r="Q2008" i="3"/>
  <c r="Q2009" i="3"/>
  <c r="Q2010" i="3"/>
  <c r="Q2011" i="3"/>
  <c r="Q2012" i="3"/>
  <c r="Q2013" i="3"/>
  <c r="Q2014" i="3"/>
  <c r="Q2015" i="3"/>
  <c r="Q2016" i="3"/>
  <c r="Q2017" i="3"/>
  <c r="Q2018" i="3"/>
  <c r="Q2019" i="3"/>
  <c r="Q2020" i="3"/>
  <c r="Q2021" i="3"/>
  <c r="Q2022" i="3"/>
  <c r="Q2023" i="3"/>
  <c r="Q2024" i="3"/>
  <c r="Q2025" i="3"/>
  <c r="Q2026" i="3"/>
  <c r="Q2027" i="3"/>
  <c r="Q2028" i="3"/>
  <c r="Q2029" i="3"/>
  <c r="Q2030" i="3"/>
  <c r="Q2031" i="3"/>
  <c r="Q2032" i="3"/>
  <c r="Q2033" i="3"/>
  <c r="Q2034" i="3"/>
  <c r="Q2035" i="3"/>
  <c r="Q2036" i="3"/>
  <c r="Q2037" i="3"/>
  <c r="Q2038" i="3"/>
  <c r="Q2039" i="3"/>
  <c r="Q2040" i="3"/>
  <c r="Q2041" i="3"/>
  <c r="Q2042" i="3"/>
  <c r="Q2043" i="3"/>
  <c r="Q2044" i="3"/>
  <c r="Q2045" i="3"/>
  <c r="Q2046" i="3"/>
  <c r="Q2047" i="3"/>
  <c r="Q2048" i="3"/>
  <c r="Q2049" i="3"/>
  <c r="Q2050" i="3"/>
  <c r="Q2051" i="3"/>
  <c r="Q2052" i="3"/>
  <c r="Q2053" i="3"/>
  <c r="Q2054" i="3"/>
  <c r="Q2055" i="3"/>
  <c r="Q2056" i="3"/>
  <c r="Q2057" i="3"/>
  <c r="Q2058" i="3"/>
  <c r="Q2059" i="3"/>
  <c r="Q2060" i="3"/>
  <c r="Q2061" i="3"/>
  <c r="Q2062" i="3"/>
  <c r="Q2063" i="3"/>
  <c r="Q2064" i="3"/>
  <c r="Q2065" i="3"/>
  <c r="Q2066" i="3"/>
  <c r="Q2067" i="3"/>
  <c r="Q2068" i="3"/>
  <c r="Q2069" i="3"/>
  <c r="Q2070" i="3"/>
  <c r="Q2071" i="3"/>
  <c r="Q2072" i="3"/>
  <c r="Q2073" i="3"/>
  <c r="Q2074" i="3"/>
  <c r="Q2075" i="3"/>
  <c r="Q2076" i="3"/>
  <c r="Q2077" i="3"/>
  <c r="Q2078" i="3"/>
  <c r="Q2079" i="3"/>
  <c r="Q2080" i="3"/>
  <c r="Q2081" i="3"/>
  <c r="Q2082" i="3"/>
  <c r="Q2083" i="3"/>
  <c r="Q2084" i="3"/>
  <c r="Q2085" i="3"/>
  <c r="Q2086" i="3"/>
  <c r="Q2087" i="3"/>
  <c r="Q2088" i="3"/>
  <c r="Q2089" i="3"/>
  <c r="Q2090" i="3"/>
  <c r="Q2091" i="3"/>
  <c r="Q2092" i="3"/>
  <c r="Q2093" i="3"/>
  <c r="Q2094" i="3"/>
  <c r="Q2095" i="3"/>
  <c r="Q2096" i="3"/>
  <c r="Q2097" i="3"/>
  <c r="Q2098" i="3"/>
  <c r="Q2099" i="3"/>
  <c r="Q2100" i="3"/>
  <c r="Q2101" i="3"/>
  <c r="Q2102" i="3"/>
  <c r="Q2103" i="3"/>
  <c r="Q2104" i="3"/>
  <c r="Q2105" i="3"/>
  <c r="Q2106" i="3"/>
  <c r="Q2107" i="3"/>
  <c r="Q2108" i="3"/>
  <c r="Q2109" i="3"/>
  <c r="Q2110" i="3"/>
  <c r="Q2111" i="3"/>
  <c r="Q2112" i="3"/>
  <c r="Q2113" i="3"/>
  <c r="Q2114" i="3"/>
  <c r="Q2115" i="3"/>
  <c r="Q2116" i="3"/>
  <c r="Q2117" i="3"/>
  <c r="Q2118" i="3"/>
  <c r="Q2119" i="3"/>
  <c r="Q2120" i="3"/>
  <c r="Q2121" i="3"/>
  <c r="Q2122" i="3"/>
  <c r="Q2123" i="3"/>
  <c r="Q2124" i="3"/>
  <c r="Q2125" i="3"/>
  <c r="Q2126" i="3"/>
  <c r="Q2127" i="3"/>
  <c r="Q2128" i="3"/>
  <c r="Q2129" i="3"/>
  <c r="Q2130" i="3"/>
  <c r="Q2131" i="3"/>
  <c r="Q2132" i="3"/>
  <c r="Q2133" i="3"/>
  <c r="Q2134" i="3"/>
  <c r="Q2135" i="3"/>
  <c r="Q2136" i="3"/>
  <c r="Q2137" i="3"/>
  <c r="Q2138" i="3"/>
  <c r="Q2139" i="3"/>
  <c r="Q2140" i="3"/>
  <c r="Q2141" i="3"/>
  <c r="Q2142" i="3"/>
  <c r="Q2143" i="3"/>
  <c r="Q2144" i="3"/>
  <c r="Q2145" i="3"/>
  <c r="Q2146" i="3"/>
  <c r="Q2147" i="3"/>
  <c r="Q2148" i="3"/>
  <c r="Q2149" i="3"/>
  <c r="Q2150" i="3"/>
  <c r="Q2151" i="3"/>
  <c r="Q2152" i="3"/>
  <c r="Q2153" i="3"/>
  <c r="Q2154" i="3"/>
  <c r="Q2155" i="3"/>
  <c r="Q2156" i="3"/>
  <c r="Q2157" i="3"/>
  <c r="Q2158" i="3"/>
  <c r="Q2159" i="3"/>
  <c r="Q2160" i="3"/>
  <c r="Q2161" i="3"/>
  <c r="Q2162" i="3"/>
  <c r="Q2163" i="3"/>
  <c r="Q2164" i="3"/>
  <c r="Q2165" i="3"/>
  <c r="Q2166" i="3"/>
  <c r="Q2167" i="3"/>
  <c r="Q2168" i="3"/>
  <c r="Q2169" i="3"/>
  <c r="Q2170" i="3"/>
  <c r="Q2171" i="3"/>
  <c r="Q2172" i="3"/>
  <c r="Q2173" i="3"/>
  <c r="Q2174" i="3"/>
  <c r="Q2175" i="3"/>
  <c r="Q2176" i="3"/>
  <c r="Q2177" i="3"/>
  <c r="Q2178" i="3"/>
  <c r="Q2179" i="3"/>
  <c r="Q2180" i="3"/>
  <c r="Q2181" i="3"/>
  <c r="Q2182" i="3"/>
  <c r="Q2183" i="3"/>
  <c r="Q2184" i="3"/>
  <c r="Q2185" i="3"/>
  <c r="Q2186" i="3"/>
  <c r="Q2187" i="3"/>
  <c r="Q2188" i="3"/>
  <c r="Q2189" i="3"/>
  <c r="Q2190" i="3"/>
  <c r="Q2191" i="3"/>
  <c r="Q2192" i="3"/>
  <c r="Q2193" i="3"/>
  <c r="Q2194" i="3"/>
  <c r="Q2195" i="3"/>
  <c r="Q2196" i="3"/>
  <c r="Q2197" i="3"/>
  <c r="Q2198" i="3"/>
  <c r="Q2199" i="3"/>
  <c r="Q2200" i="3"/>
  <c r="Q2201" i="3"/>
  <c r="Q2202" i="3"/>
  <c r="Q2203" i="3"/>
  <c r="Q2204" i="3"/>
  <c r="Q2205" i="3"/>
  <c r="Q2206" i="3"/>
  <c r="Q2207" i="3"/>
  <c r="Q2208" i="3"/>
  <c r="Q2209" i="3"/>
  <c r="Q2210" i="3"/>
  <c r="Q2211" i="3"/>
  <c r="Q2212" i="3"/>
  <c r="Q2213" i="3"/>
  <c r="Q2214" i="3"/>
  <c r="Q2215" i="3"/>
  <c r="Q2216" i="3"/>
  <c r="Q2217" i="3"/>
  <c r="Q2218" i="3"/>
  <c r="Q2219" i="3"/>
  <c r="Q2220" i="3"/>
  <c r="Q2221" i="3"/>
  <c r="Q2222" i="3"/>
  <c r="Q2223" i="3"/>
  <c r="Q2224" i="3"/>
  <c r="Q2225" i="3"/>
  <c r="Q2226" i="3"/>
  <c r="Q2227" i="3"/>
  <c r="Q2228" i="3"/>
  <c r="Q2229" i="3"/>
  <c r="Q2230" i="3"/>
  <c r="Q2231" i="3"/>
  <c r="Q2232" i="3"/>
  <c r="Q2233" i="3"/>
  <c r="Q2234" i="3"/>
  <c r="Q2235" i="3"/>
  <c r="Q2236" i="3"/>
  <c r="Q2237" i="3"/>
  <c r="Q2238" i="3"/>
  <c r="Q2239" i="3"/>
  <c r="Q2240" i="3"/>
  <c r="Q2241" i="3"/>
  <c r="Q2242" i="3"/>
  <c r="Q2243" i="3"/>
  <c r="Q2244" i="3"/>
  <c r="Q2245" i="3"/>
  <c r="Q2246" i="3"/>
  <c r="Q2247" i="3"/>
  <c r="Q2248" i="3"/>
  <c r="Q2249" i="3"/>
  <c r="Q2250" i="3"/>
  <c r="Q2251" i="3"/>
  <c r="Q2252" i="3"/>
  <c r="Q2253" i="3"/>
  <c r="Q2254" i="3"/>
  <c r="Q2255" i="3"/>
  <c r="Q2256" i="3"/>
  <c r="Q2257" i="3"/>
  <c r="Q2258" i="3"/>
  <c r="Q2259" i="3"/>
  <c r="Q2260" i="3"/>
  <c r="Q2261" i="3"/>
  <c r="Q2262" i="3"/>
  <c r="Q2263" i="3"/>
  <c r="Q2264" i="3"/>
  <c r="Q2265" i="3"/>
  <c r="Q2266" i="3"/>
  <c r="Q2267" i="3"/>
  <c r="Q2268" i="3"/>
  <c r="Q2269" i="3"/>
  <c r="Q2270" i="3"/>
  <c r="Q2271" i="3"/>
  <c r="Q2272" i="3"/>
  <c r="Q2273" i="3"/>
  <c r="Q2274" i="3"/>
  <c r="Q2275" i="3"/>
  <c r="Q2276" i="3"/>
  <c r="Q2277" i="3"/>
  <c r="Q2278" i="3"/>
  <c r="Q2279" i="3"/>
  <c r="Q2280" i="3"/>
  <c r="Q2281" i="3"/>
  <c r="Q2282" i="3"/>
  <c r="Q2283" i="3"/>
  <c r="Q2284" i="3"/>
  <c r="Q2285" i="3"/>
  <c r="Q2286" i="3"/>
  <c r="Q2287" i="3"/>
  <c r="Q2288" i="3"/>
  <c r="Q2289" i="3"/>
  <c r="Q2290" i="3"/>
  <c r="Q2291" i="3"/>
  <c r="Q2292" i="3"/>
  <c r="Q2293" i="3"/>
  <c r="Q2294" i="3"/>
  <c r="Q2295" i="3"/>
  <c r="Q2296" i="3"/>
  <c r="Q2297" i="3"/>
  <c r="Q2298" i="3"/>
  <c r="Q2299" i="3"/>
  <c r="Q2300" i="3"/>
  <c r="Q2301" i="3"/>
  <c r="Q2302" i="3"/>
  <c r="Q2303" i="3"/>
  <c r="Q2304" i="3"/>
  <c r="Q2305" i="3"/>
  <c r="Q2306" i="3"/>
  <c r="Q2307" i="3"/>
  <c r="Q2308" i="3"/>
  <c r="Q2309" i="3"/>
  <c r="Q2310" i="3"/>
  <c r="Q2311" i="3"/>
  <c r="Q2312" i="3"/>
  <c r="Q2313" i="3"/>
  <c r="Q2314" i="3"/>
  <c r="Q2315" i="3"/>
  <c r="Q2316" i="3"/>
  <c r="Q2317" i="3"/>
  <c r="Q2318" i="3"/>
  <c r="Q2319" i="3"/>
  <c r="Q2320" i="3"/>
  <c r="Q2321" i="3"/>
  <c r="Q2322" i="3"/>
  <c r="Q2323" i="3"/>
  <c r="Q2324" i="3"/>
  <c r="Q2325" i="3"/>
  <c r="Q2326" i="3"/>
  <c r="Q2327" i="3"/>
  <c r="Q2328" i="3"/>
  <c r="Q2329" i="3"/>
  <c r="Q2330" i="3"/>
  <c r="Q2331" i="3"/>
  <c r="Q2332" i="3"/>
  <c r="Q2333" i="3"/>
  <c r="Q2334" i="3"/>
  <c r="Q2335" i="3"/>
  <c r="Q2336" i="3"/>
  <c r="Q2337" i="3"/>
  <c r="Q2338" i="3"/>
  <c r="Q2339" i="3"/>
  <c r="Q2340" i="3"/>
  <c r="Q2341" i="3"/>
  <c r="Q2342" i="3"/>
  <c r="Q2343" i="3"/>
  <c r="Q2344" i="3"/>
  <c r="Q2345" i="3"/>
  <c r="Q2346" i="3"/>
  <c r="Q2347" i="3"/>
  <c r="Q2348" i="3"/>
  <c r="Q2349" i="3"/>
  <c r="Q2350" i="3"/>
  <c r="Q2351" i="3"/>
  <c r="Q2352" i="3"/>
  <c r="Q2353" i="3"/>
  <c r="Q2354" i="3"/>
  <c r="Q2355" i="3"/>
  <c r="Q2356" i="3"/>
  <c r="Q2357" i="3"/>
  <c r="Q2358" i="3"/>
  <c r="Q2359" i="3"/>
  <c r="Q2360" i="3"/>
  <c r="Q2361" i="3"/>
  <c r="Q2362" i="3"/>
  <c r="Q2363" i="3"/>
  <c r="Q2364" i="3"/>
  <c r="Q2365" i="3"/>
  <c r="Q2366" i="3"/>
  <c r="Q2367" i="3"/>
  <c r="Q2368" i="3"/>
  <c r="Q2369" i="3"/>
  <c r="Q2370" i="3"/>
  <c r="Q2371" i="3"/>
  <c r="Q2372" i="3"/>
  <c r="Q2373" i="3"/>
  <c r="Q2374" i="3"/>
  <c r="Q2375" i="3"/>
  <c r="Q2376" i="3"/>
  <c r="Q2377" i="3"/>
  <c r="Q2378" i="3"/>
  <c r="Q2379" i="3"/>
  <c r="Q2380" i="3"/>
  <c r="Q2381" i="3"/>
  <c r="Q2382" i="3"/>
  <c r="Q2383" i="3"/>
  <c r="Q2384" i="3"/>
  <c r="Q2385" i="3"/>
  <c r="Q2386" i="3"/>
  <c r="Q2387" i="3"/>
  <c r="Q2388" i="3"/>
  <c r="Q2389" i="3"/>
  <c r="Q2390" i="3"/>
  <c r="Q2391" i="3"/>
  <c r="Q2392" i="3"/>
  <c r="Q2393" i="3"/>
  <c r="Q2394" i="3"/>
  <c r="Q2395" i="3"/>
  <c r="Q2396" i="3"/>
  <c r="Q2397" i="3"/>
  <c r="Q2398" i="3"/>
  <c r="Q2399" i="3"/>
  <c r="Q2400" i="3"/>
  <c r="Q2401" i="3"/>
  <c r="Q2402" i="3"/>
  <c r="Q2403" i="3"/>
  <c r="Q2404" i="3"/>
  <c r="Q2405" i="3"/>
  <c r="Q2406" i="3"/>
  <c r="Q2407" i="3"/>
  <c r="Q2408" i="3"/>
  <c r="Q2409" i="3"/>
  <c r="Q2410" i="3"/>
  <c r="Q2411" i="3"/>
  <c r="Q2412" i="3"/>
  <c r="Q2413" i="3"/>
  <c r="Q2414" i="3"/>
  <c r="Q2415" i="3"/>
  <c r="Q2416" i="3"/>
  <c r="Q2417" i="3"/>
  <c r="Q2418" i="3"/>
  <c r="Q2419" i="3"/>
  <c r="Q2420" i="3"/>
  <c r="Q2421" i="3"/>
  <c r="Q2422" i="3"/>
  <c r="Q2423" i="3"/>
  <c r="Q2424" i="3"/>
  <c r="Q2425" i="3"/>
  <c r="Q2426" i="3"/>
  <c r="Q2427" i="3"/>
  <c r="Q2428" i="3"/>
  <c r="Q2429" i="3"/>
  <c r="Q2430" i="3"/>
  <c r="Q2431" i="3"/>
  <c r="Q2432" i="3"/>
  <c r="Q2433" i="3"/>
  <c r="Q2434" i="3"/>
  <c r="Q2435" i="3"/>
  <c r="Q2436" i="3"/>
  <c r="Q2437" i="3"/>
  <c r="Q2438" i="3"/>
  <c r="Q2439" i="3"/>
  <c r="Q2440" i="3"/>
  <c r="Q2441" i="3"/>
  <c r="Q2442" i="3"/>
  <c r="Q2443" i="3"/>
  <c r="Q2444" i="3"/>
  <c r="Q2445" i="3"/>
  <c r="Q2446" i="3"/>
  <c r="Q2447" i="3"/>
  <c r="Q2448" i="3"/>
  <c r="Q2449" i="3"/>
  <c r="Q2450" i="3"/>
  <c r="Q2451" i="3"/>
  <c r="Q2452" i="3"/>
  <c r="Q2453" i="3"/>
  <c r="Q2454" i="3"/>
  <c r="Q2455" i="3"/>
  <c r="Q2456" i="3"/>
  <c r="Q2457" i="3"/>
  <c r="Q2458" i="3"/>
  <c r="Q2459" i="3"/>
  <c r="Q2460" i="3"/>
  <c r="Q2461" i="3"/>
  <c r="Q2462" i="3"/>
  <c r="Q2463" i="3"/>
  <c r="Q2464" i="3"/>
  <c r="Q2465" i="3"/>
  <c r="Q2466" i="3"/>
  <c r="Q2467" i="3"/>
  <c r="Q2468" i="3"/>
  <c r="Q2469" i="3"/>
  <c r="Q2470" i="3"/>
  <c r="Q2471" i="3"/>
  <c r="Q2472" i="3"/>
  <c r="Q2473" i="3"/>
  <c r="Q2474" i="3"/>
  <c r="Q2475" i="3"/>
  <c r="Q2476" i="3"/>
  <c r="Q2477" i="3"/>
  <c r="Q2478" i="3"/>
  <c r="Q2479" i="3"/>
  <c r="Q2480" i="3"/>
  <c r="Q2481" i="3"/>
  <c r="Q2482" i="3"/>
  <c r="Q2483" i="3"/>
  <c r="Q2484" i="3"/>
  <c r="Q2485" i="3"/>
  <c r="Q2486" i="3"/>
  <c r="Q2487" i="3"/>
  <c r="Q2488" i="3"/>
  <c r="Q2489" i="3"/>
  <c r="Q2490" i="3"/>
  <c r="Q2491" i="3"/>
  <c r="Q2492" i="3"/>
  <c r="Q2493" i="3"/>
  <c r="Q2494" i="3"/>
  <c r="Q2495" i="3"/>
  <c r="Q2496" i="3"/>
  <c r="Q2497" i="3"/>
  <c r="Q2498" i="3"/>
  <c r="Q2499" i="3"/>
  <c r="Q2500" i="3"/>
  <c r="Q2501" i="3"/>
  <c r="Q2502" i="3"/>
  <c r="Q2503" i="3"/>
  <c r="Q2504" i="3"/>
  <c r="Q2505" i="3"/>
  <c r="Q2506" i="3"/>
  <c r="Q2507" i="3"/>
  <c r="Q2508" i="3"/>
  <c r="Q2509" i="3"/>
  <c r="Q2510" i="3"/>
  <c r="Q2511" i="3"/>
  <c r="Q2512" i="3"/>
  <c r="Q2513" i="3"/>
  <c r="Q2514" i="3"/>
  <c r="Q2515" i="3"/>
  <c r="Q2516" i="3"/>
  <c r="Q2517" i="3"/>
  <c r="Q2518" i="3"/>
  <c r="Q2519" i="3"/>
  <c r="Q2520" i="3"/>
  <c r="Q2521" i="3"/>
  <c r="Q2522" i="3"/>
  <c r="Q2523" i="3"/>
  <c r="Q2524" i="3"/>
  <c r="Q2525" i="3"/>
  <c r="Q2526" i="3"/>
  <c r="Q2527" i="3"/>
  <c r="Q2528" i="3"/>
  <c r="Q2529" i="3"/>
  <c r="Q2530" i="3"/>
  <c r="Q2531" i="3"/>
  <c r="Q2532" i="3"/>
  <c r="Q2533" i="3"/>
  <c r="Q2534" i="3"/>
  <c r="Q2535" i="3"/>
  <c r="Q2536" i="3"/>
  <c r="Q2537" i="3"/>
  <c r="Q2538" i="3"/>
  <c r="Q2539" i="3"/>
  <c r="Q2540" i="3"/>
  <c r="Q2541" i="3"/>
  <c r="Q2542" i="3"/>
  <c r="Q2543" i="3"/>
  <c r="Q2544" i="3"/>
  <c r="Q2545" i="3"/>
  <c r="Q2546" i="3"/>
  <c r="Q2547" i="3"/>
  <c r="Q2548" i="3"/>
  <c r="Q2549" i="3"/>
  <c r="Q2550" i="3"/>
  <c r="Q2551" i="3"/>
  <c r="Q2552" i="3"/>
  <c r="Q2553" i="3"/>
  <c r="Q2554" i="3"/>
  <c r="Q2555" i="3"/>
  <c r="Q2556" i="3"/>
  <c r="Q2557" i="3"/>
  <c r="Q2558" i="3"/>
  <c r="Q2559" i="3"/>
  <c r="Q2560" i="3"/>
  <c r="Q2561" i="3"/>
  <c r="Q2562" i="3"/>
  <c r="Q2563" i="3"/>
  <c r="Q2564" i="3"/>
  <c r="Q2565" i="3"/>
  <c r="Q2566" i="3"/>
  <c r="Q2567" i="3"/>
  <c r="Q2568" i="3"/>
  <c r="Q2569" i="3"/>
  <c r="Q2570" i="3"/>
  <c r="Q2571" i="3"/>
  <c r="Q2572" i="3"/>
  <c r="Q2573" i="3"/>
  <c r="Q2574" i="3"/>
  <c r="Q2575" i="3"/>
  <c r="Q2576" i="3"/>
  <c r="Q2577" i="3"/>
  <c r="Q2578" i="3"/>
  <c r="Q2579" i="3"/>
  <c r="Q2580" i="3"/>
  <c r="Q2581" i="3"/>
  <c r="Q2582" i="3"/>
  <c r="Q2583" i="3"/>
  <c r="Q2584" i="3"/>
  <c r="Q2585" i="3"/>
  <c r="Q2586" i="3"/>
  <c r="Q2587" i="3"/>
  <c r="Q2588" i="3"/>
  <c r="Q2589" i="3"/>
  <c r="Q2590" i="3"/>
  <c r="Q2591" i="3"/>
  <c r="Q2592" i="3"/>
  <c r="Q2593" i="3"/>
  <c r="Q2594" i="3"/>
  <c r="Q2595" i="3"/>
  <c r="Q2596" i="3"/>
  <c r="Q2597" i="3"/>
  <c r="Q2598" i="3"/>
  <c r="Q2599" i="3"/>
  <c r="Q2600" i="3"/>
  <c r="Q2601" i="3"/>
  <c r="Q2602" i="3"/>
  <c r="Q2603" i="3"/>
  <c r="Q2604" i="3"/>
  <c r="Q2605" i="3"/>
  <c r="Q2606" i="3"/>
  <c r="Q2607" i="3"/>
  <c r="Q2608" i="3"/>
  <c r="Q2609" i="3"/>
  <c r="Q2610" i="3"/>
  <c r="Q2611" i="3"/>
  <c r="Q2612" i="3"/>
  <c r="Q2613" i="3"/>
  <c r="Q2614" i="3"/>
  <c r="Q2615" i="3"/>
  <c r="Q2616" i="3"/>
  <c r="Q2617" i="3"/>
  <c r="Q2618" i="3"/>
  <c r="Q2619" i="3"/>
  <c r="Q2620" i="3"/>
  <c r="Q2621" i="3"/>
  <c r="Q2622" i="3"/>
  <c r="Q2623" i="3"/>
  <c r="Q2624" i="3"/>
  <c r="Q2625" i="3"/>
  <c r="Q2626" i="3"/>
  <c r="Q2627" i="3"/>
  <c r="Q2628" i="3"/>
  <c r="Q2629" i="3"/>
  <c r="Q2630" i="3"/>
  <c r="Q2631" i="3"/>
  <c r="Q2632" i="3"/>
  <c r="Q2633" i="3"/>
  <c r="Q2634" i="3"/>
  <c r="Q2635" i="3"/>
  <c r="Q2636" i="3"/>
  <c r="Q2637" i="3"/>
  <c r="Q2638" i="3"/>
  <c r="Q2639" i="3"/>
  <c r="Q2640" i="3"/>
  <c r="Q2641" i="3"/>
  <c r="Q2642" i="3"/>
  <c r="Q2643" i="3"/>
  <c r="Q2644" i="3"/>
  <c r="Q2645" i="3"/>
  <c r="Q2646" i="3"/>
  <c r="Q2647" i="3"/>
  <c r="Q2648" i="3"/>
  <c r="Q2649" i="3"/>
  <c r="Q2650" i="3"/>
  <c r="Q2651" i="3"/>
  <c r="Q2652" i="3"/>
  <c r="Q2653" i="3"/>
  <c r="Q2654" i="3"/>
  <c r="Q2655" i="3"/>
  <c r="Q2656" i="3"/>
  <c r="Q2657" i="3"/>
  <c r="Q2658" i="3"/>
  <c r="Q2659" i="3"/>
  <c r="Q2660" i="3"/>
  <c r="Q2661" i="3"/>
  <c r="Q2662" i="3"/>
  <c r="Q2663" i="3"/>
  <c r="Q2664" i="3"/>
  <c r="Q2665" i="3"/>
  <c r="Q2666" i="3"/>
  <c r="Q2667" i="3"/>
  <c r="Q2668" i="3"/>
  <c r="Q2669" i="3"/>
  <c r="Q2670" i="3"/>
  <c r="Q2671" i="3"/>
  <c r="Q2672" i="3"/>
  <c r="Q2673" i="3"/>
  <c r="Q2674" i="3"/>
  <c r="Q2675" i="3"/>
  <c r="Q2676" i="3"/>
  <c r="Q2677" i="3"/>
  <c r="Q2678" i="3"/>
  <c r="Q2679" i="3"/>
  <c r="Q2680" i="3"/>
  <c r="Q2681" i="3"/>
  <c r="Q2682" i="3"/>
  <c r="Q2683" i="3"/>
  <c r="Q2684" i="3"/>
  <c r="Q2685" i="3"/>
  <c r="Q2686" i="3"/>
  <c r="Q2687" i="3"/>
  <c r="Q2688" i="3"/>
  <c r="Q2689" i="3"/>
  <c r="Q2690" i="3"/>
  <c r="Q2691" i="3"/>
  <c r="Q2692" i="3"/>
  <c r="Q2693" i="3"/>
  <c r="Q2694" i="3"/>
  <c r="Q2695" i="3"/>
  <c r="Q2696" i="3"/>
  <c r="Q2697" i="3"/>
  <c r="Q2698" i="3"/>
  <c r="Q2699" i="3"/>
  <c r="Q2700" i="3"/>
  <c r="Q2701" i="3"/>
  <c r="Q2702" i="3"/>
  <c r="Q2703" i="3"/>
  <c r="Q2704" i="3"/>
  <c r="Q2705" i="3"/>
  <c r="Q2706" i="3"/>
  <c r="Q2707" i="3"/>
  <c r="Q2708" i="3"/>
  <c r="Q2709" i="3"/>
  <c r="Q2710" i="3"/>
  <c r="Q2711" i="3"/>
  <c r="Q2712" i="3"/>
  <c r="Q2713" i="3"/>
  <c r="Q2714" i="3"/>
  <c r="Q2715" i="3"/>
  <c r="Q2716" i="3"/>
  <c r="Q2717" i="3"/>
  <c r="Q2718" i="3"/>
  <c r="Q2719" i="3"/>
  <c r="Q2720" i="3"/>
  <c r="Q2721" i="3"/>
  <c r="Q2722" i="3"/>
  <c r="Q2723" i="3"/>
  <c r="Q2724" i="3"/>
  <c r="Q2725" i="3"/>
  <c r="Q2726" i="3"/>
  <c r="Q2727" i="3"/>
  <c r="Q2728" i="3"/>
  <c r="Q2729" i="3"/>
  <c r="Q2730" i="3"/>
  <c r="Q2731" i="3"/>
  <c r="Q2732" i="3"/>
  <c r="Q2733" i="3"/>
  <c r="Q2734" i="3"/>
  <c r="Q2735" i="3"/>
  <c r="Q2736" i="3"/>
  <c r="Q2737" i="3"/>
  <c r="Q2738" i="3"/>
  <c r="Q2739" i="3"/>
  <c r="Q2740" i="3"/>
  <c r="Q2741" i="3"/>
  <c r="Q2742" i="3"/>
  <c r="Q2743" i="3"/>
  <c r="Q2744" i="3"/>
  <c r="Q2745" i="3"/>
  <c r="Q2746" i="3"/>
  <c r="Q2747" i="3"/>
  <c r="Q2748" i="3"/>
  <c r="Q2749" i="3"/>
  <c r="Q2750" i="3"/>
  <c r="Q2751" i="3"/>
  <c r="Q2752" i="3"/>
  <c r="Q2753" i="3"/>
  <c r="Q2754" i="3"/>
  <c r="Q2755" i="3"/>
  <c r="Q2756" i="3"/>
  <c r="Q2757" i="3"/>
  <c r="Q2758" i="3"/>
  <c r="Q2759" i="3"/>
  <c r="Q2760" i="3"/>
  <c r="Q2761" i="3"/>
  <c r="Q2762" i="3"/>
  <c r="Q2763" i="3"/>
  <c r="Q2764" i="3"/>
  <c r="Q2765" i="3"/>
  <c r="Q2766" i="3"/>
  <c r="Q2767" i="3"/>
  <c r="Q2768" i="3"/>
  <c r="Q2769" i="3"/>
  <c r="Q2770" i="3"/>
  <c r="Q2771" i="3"/>
  <c r="Q2772" i="3"/>
  <c r="Q2773" i="3"/>
  <c r="Q2774" i="3"/>
  <c r="Q2775" i="3"/>
  <c r="Q2776" i="3"/>
  <c r="Q2777" i="3"/>
  <c r="Q2778" i="3"/>
  <c r="Q2779" i="3"/>
  <c r="Q2780" i="3"/>
  <c r="Q2781" i="3"/>
  <c r="Q2782" i="3"/>
  <c r="Q2783" i="3"/>
  <c r="Q2784" i="3"/>
  <c r="Q2785" i="3"/>
  <c r="Q2786" i="3"/>
  <c r="Q2787" i="3"/>
  <c r="Q2788" i="3"/>
  <c r="Q2789" i="3"/>
  <c r="Q2790" i="3"/>
  <c r="Q2791" i="3"/>
  <c r="Q2792" i="3"/>
  <c r="Q2793" i="3"/>
  <c r="Q2794" i="3"/>
  <c r="Q2795" i="3"/>
  <c r="Q2796" i="3"/>
  <c r="Q2797" i="3"/>
  <c r="Q2798" i="3"/>
  <c r="Q2799" i="3"/>
  <c r="Q2800" i="3"/>
  <c r="Q2801" i="3"/>
  <c r="Q2802" i="3"/>
  <c r="Q2803" i="3"/>
  <c r="Q2804" i="3"/>
  <c r="Q2805" i="3"/>
  <c r="Q2806" i="3"/>
  <c r="Q2807" i="3"/>
  <c r="Q2808" i="3"/>
  <c r="Q2809" i="3"/>
  <c r="Q2810" i="3"/>
  <c r="Q2811" i="3"/>
  <c r="Q2812" i="3"/>
  <c r="Q2813" i="3"/>
  <c r="Q2814" i="3"/>
  <c r="Q2815" i="3"/>
  <c r="Q2816" i="3"/>
  <c r="Q2817" i="3"/>
  <c r="Q2818" i="3"/>
  <c r="Q2819" i="3"/>
  <c r="Q2820" i="3"/>
  <c r="Q2821" i="3"/>
  <c r="Q2822" i="3"/>
  <c r="Q2823" i="3"/>
  <c r="Q2824" i="3"/>
  <c r="Q2825" i="3"/>
  <c r="Q2826" i="3"/>
  <c r="Q2827" i="3"/>
  <c r="Q2828" i="3"/>
  <c r="Q2829" i="3"/>
  <c r="Q2830" i="3"/>
  <c r="Q2831" i="3"/>
  <c r="Q2832" i="3"/>
  <c r="Q2833" i="3"/>
  <c r="Q2834" i="3"/>
  <c r="Q2835" i="3"/>
  <c r="Q2836" i="3"/>
  <c r="Q2837" i="3"/>
  <c r="Q2838" i="3"/>
  <c r="Q2839" i="3"/>
  <c r="Q2840" i="3"/>
  <c r="Q2841" i="3"/>
  <c r="Q2842" i="3"/>
  <c r="Q2843" i="3"/>
  <c r="Q2844" i="3"/>
  <c r="Q2845" i="3"/>
  <c r="Q2846" i="3"/>
  <c r="Q2847" i="3"/>
  <c r="Q2848" i="3"/>
  <c r="Q2849" i="3"/>
  <c r="Q2850" i="3"/>
  <c r="Q2851" i="3"/>
  <c r="Q2852" i="3"/>
  <c r="Q2853" i="3"/>
  <c r="Q2854" i="3"/>
  <c r="Q2855" i="3"/>
  <c r="Q2856" i="3"/>
  <c r="Q2857" i="3"/>
  <c r="Q2858" i="3"/>
  <c r="Q2859" i="3"/>
  <c r="Q2860" i="3"/>
  <c r="Q2861" i="3"/>
  <c r="Q2862" i="3"/>
  <c r="Q2863" i="3"/>
  <c r="Q2864" i="3"/>
  <c r="Q2865" i="3"/>
  <c r="Q2866" i="3"/>
  <c r="Q2867" i="3"/>
  <c r="Q2868" i="3"/>
  <c r="Q2869" i="3"/>
  <c r="Q2870" i="3"/>
  <c r="Q2871" i="3"/>
  <c r="Q2872" i="3"/>
  <c r="Q2873" i="3"/>
  <c r="Q2874" i="3"/>
  <c r="Q2875" i="3"/>
  <c r="Q2876" i="3"/>
  <c r="Q2877" i="3"/>
  <c r="Q2878" i="3"/>
  <c r="Q2879" i="3"/>
  <c r="Q2880" i="3"/>
  <c r="Q2881" i="3"/>
  <c r="Q2882" i="3"/>
  <c r="Q2883" i="3"/>
  <c r="Q2884" i="3"/>
  <c r="Q2885" i="3"/>
  <c r="Q2886" i="3"/>
  <c r="Q2887" i="3"/>
  <c r="Q2888" i="3"/>
  <c r="Q2889" i="3"/>
  <c r="Q2890" i="3"/>
  <c r="Q2891" i="3"/>
  <c r="Q2892" i="3"/>
  <c r="Q2893" i="3"/>
  <c r="Q2894" i="3"/>
  <c r="Q2895" i="3"/>
  <c r="Q2896" i="3"/>
  <c r="Q2897" i="3"/>
  <c r="Q2898" i="3"/>
  <c r="Q2899" i="3"/>
  <c r="Q2900" i="3"/>
  <c r="Q2901" i="3"/>
  <c r="Q2902" i="3"/>
  <c r="Q2903" i="3"/>
  <c r="Q2904" i="3"/>
  <c r="Q2905" i="3"/>
  <c r="Q2906" i="3"/>
  <c r="Q2907" i="3"/>
  <c r="Q2908" i="3"/>
  <c r="Q2909" i="3"/>
  <c r="Q2910" i="3"/>
  <c r="Q2911" i="3"/>
  <c r="Q2912" i="3"/>
  <c r="Q2913" i="3"/>
  <c r="Q2914" i="3"/>
  <c r="Q2915" i="3"/>
  <c r="Q2916" i="3"/>
  <c r="Q2917" i="3"/>
  <c r="Q2918" i="3"/>
  <c r="Q2919" i="3"/>
  <c r="Q2920" i="3"/>
  <c r="Q2921" i="3"/>
  <c r="Q2922" i="3"/>
  <c r="Q2923" i="3"/>
  <c r="Q2924" i="3"/>
  <c r="Q2925" i="3"/>
  <c r="Q2926" i="3"/>
  <c r="Q2927" i="3"/>
  <c r="Q2928" i="3"/>
  <c r="Q2929" i="3"/>
  <c r="Q2930" i="3"/>
  <c r="Q2931" i="3"/>
  <c r="Q2932" i="3"/>
  <c r="Q2933" i="3"/>
  <c r="Q2934" i="3"/>
  <c r="Q2935" i="3"/>
  <c r="Q2936" i="3"/>
  <c r="Q2937" i="3"/>
  <c r="Q2938" i="3"/>
  <c r="Q2939" i="3"/>
  <c r="Q2940" i="3"/>
  <c r="Q2941" i="3"/>
  <c r="Q2942" i="3"/>
  <c r="Q2943" i="3"/>
  <c r="Q2944" i="3"/>
  <c r="Q2945" i="3"/>
  <c r="Q2946" i="3"/>
  <c r="Q2947" i="3"/>
  <c r="Q2948" i="3"/>
  <c r="Q2949" i="3"/>
  <c r="Q2950" i="3"/>
  <c r="Q2951" i="3"/>
  <c r="Q2952" i="3"/>
  <c r="Q2953" i="3"/>
  <c r="Q2954" i="3"/>
  <c r="Q2955" i="3"/>
  <c r="Q2956" i="3"/>
  <c r="Q2957" i="3"/>
  <c r="Q2958" i="3"/>
  <c r="Q2959" i="3"/>
  <c r="Q2960" i="3"/>
  <c r="Q2961" i="3"/>
  <c r="Q2962" i="3"/>
  <c r="Q2963" i="3"/>
  <c r="Q2964" i="3"/>
  <c r="Q2965" i="3"/>
  <c r="Q2966" i="3"/>
  <c r="Q2967" i="3"/>
  <c r="Q2968" i="3"/>
  <c r="Q2969" i="3"/>
  <c r="Q2970" i="3"/>
  <c r="Q2971" i="3"/>
  <c r="Q2972" i="3"/>
  <c r="Q2973" i="3"/>
  <c r="Q2974" i="3"/>
  <c r="Q2975" i="3"/>
  <c r="Q2976" i="3"/>
  <c r="Q2977" i="3"/>
  <c r="Q2978" i="3"/>
  <c r="Q2979" i="3"/>
  <c r="Q2980" i="3"/>
  <c r="Q2981" i="3"/>
  <c r="Q2982" i="3"/>
  <c r="Q2983" i="3"/>
  <c r="Q2984" i="3"/>
  <c r="Q2985" i="3"/>
  <c r="Q2986" i="3"/>
  <c r="Q2987" i="3"/>
  <c r="Q2988" i="3"/>
  <c r="Q2989" i="3"/>
  <c r="Q2990" i="3"/>
  <c r="Q2991" i="3"/>
  <c r="Q2992" i="3"/>
  <c r="Q2993" i="3"/>
  <c r="Q2994" i="3"/>
  <c r="Q2995" i="3"/>
  <c r="Q2996" i="3"/>
  <c r="Q2997" i="3"/>
  <c r="Q2998" i="3"/>
  <c r="Q2999" i="3"/>
  <c r="Q3000" i="3"/>
  <c r="Q3001" i="3"/>
  <c r="Q3002" i="3"/>
  <c r="Q3003" i="3"/>
  <c r="Q3004" i="3"/>
  <c r="Q3005" i="3"/>
  <c r="Q3006" i="3"/>
  <c r="Q3007" i="3"/>
  <c r="Q3008" i="3"/>
  <c r="Q3009" i="3"/>
  <c r="Q3010" i="3"/>
  <c r="Q3011" i="3"/>
  <c r="Q3012" i="3"/>
  <c r="Q3013" i="3"/>
  <c r="Q3014" i="3"/>
  <c r="Q3015" i="3"/>
  <c r="Q3016" i="3"/>
  <c r="Q3017" i="3"/>
  <c r="Q3018" i="3"/>
  <c r="Q3019" i="3"/>
  <c r="Q3020" i="3"/>
  <c r="Q3021" i="3"/>
  <c r="Q3022" i="3"/>
  <c r="Q3023" i="3"/>
  <c r="Q3024" i="3"/>
  <c r="Q3025" i="3"/>
  <c r="Q3026" i="3"/>
  <c r="Q3027" i="3"/>
  <c r="Q3028" i="3"/>
  <c r="Q3029" i="3"/>
  <c r="Q3030" i="3"/>
  <c r="Q3031" i="3"/>
  <c r="Q3032" i="3"/>
  <c r="Q3033" i="3"/>
  <c r="Q3034" i="3"/>
  <c r="Q3035" i="3"/>
  <c r="Q3036" i="3"/>
  <c r="Q3037" i="3"/>
  <c r="Q3038" i="3"/>
  <c r="Q3039" i="3"/>
  <c r="Q3040" i="3"/>
  <c r="Q3041" i="3"/>
  <c r="Q3042" i="3"/>
  <c r="Q3043" i="3"/>
  <c r="Q3044" i="3"/>
  <c r="Q3045" i="3"/>
  <c r="Q3046" i="3"/>
  <c r="Q3047" i="3"/>
  <c r="Q3048" i="3"/>
  <c r="Q3049" i="3"/>
  <c r="Q3050" i="3"/>
  <c r="Q3051" i="3"/>
  <c r="Q3052" i="3"/>
  <c r="Q3053" i="3"/>
  <c r="Q3054" i="3"/>
  <c r="Q3055" i="3"/>
  <c r="Q3056" i="3"/>
  <c r="Q3057" i="3"/>
  <c r="Q3058" i="3"/>
  <c r="Q3059" i="3"/>
  <c r="Q3060" i="3"/>
  <c r="Q3061" i="3"/>
  <c r="Q3062" i="3"/>
  <c r="Q3063" i="3"/>
  <c r="Q3064" i="3"/>
  <c r="Q3065" i="3"/>
  <c r="Q3066" i="3"/>
  <c r="Q3067" i="3"/>
  <c r="Q3068" i="3"/>
  <c r="Q3069" i="3"/>
  <c r="Q3070" i="3"/>
  <c r="Q3071" i="3"/>
  <c r="Q3072" i="3"/>
  <c r="Q3073" i="3"/>
  <c r="Q3074" i="3"/>
  <c r="Q3075" i="3"/>
  <c r="Q3076" i="3"/>
  <c r="Q3077" i="3"/>
  <c r="Q3078" i="3"/>
  <c r="Q3079" i="3"/>
  <c r="Q3080" i="3"/>
  <c r="Q3081" i="3"/>
  <c r="Q3082" i="3"/>
  <c r="Q3083" i="3"/>
  <c r="Q3084" i="3"/>
  <c r="Q3085" i="3"/>
  <c r="Q3086" i="3"/>
  <c r="Q3087" i="3"/>
  <c r="Q3088" i="3"/>
  <c r="Q3089" i="3"/>
  <c r="Q3090" i="3"/>
  <c r="Q3091" i="3"/>
  <c r="Q3092" i="3"/>
  <c r="Q3093" i="3"/>
  <c r="Q3094" i="3"/>
  <c r="Q3095" i="3"/>
  <c r="Q3096" i="3"/>
  <c r="Q3097" i="3"/>
  <c r="Q3098" i="3"/>
  <c r="Q3099" i="3"/>
  <c r="Q3100" i="3"/>
  <c r="Q3101" i="3"/>
  <c r="Q3102" i="3"/>
  <c r="Q3103" i="3"/>
  <c r="Q3104" i="3"/>
  <c r="Q3105" i="3"/>
  <c r="Q3106" i="3"/>
  <c r="Q3107" i="3"/>
  <c r="Q3108" i="3"/>
  <c r="Q3109" i="3"/>
  <c r="Q3110" i="3"/>
  <c r="Q3111" i="3"/>
  <c r="Q3112" i="3"/>
  <c r="Q3113" i="3"/>
  <c r="Q3114" i="3"/>
  <c r="Q3115" i="3"/>
  <c r="Q3116" i="3"/>
  <c r="Q3117" i="3"/>
  <c r="Q3118" i="3"/>
  <c r="Q3119" i="3"/>
  <c r="Q3120" i="3"/>
  <c r="Q3121" i="3"/>
  <c r="Q3122" i="3"/>
  <c r="Q3123" i="3"/>
  <c r="Q3124" i="3"/>
  <c r="Q3125" i="3"/>
  <c r="Q3126" i="3"/>
  <c r="Q3127" i="3"/>
  <c r="Q3128" i="3"/>
  <c r="Q3129" i="3"/>
  <c r="Q3130" i="3"/>
  <c r="Q3131" i="3"/>
  <c r="Q3132" i="3"/>
  <c r="Q3133" i="3"/>
  <c r="Q3134" i="3"/>
  <c r="Q3135" i="3"/>
  <c r="Q3136" i="3"/>
  <c r="Q3137" i="3"/>
  <c r="Q3138" i="3"/>
  <c r="Q3139" i="3"/>
  <c r="Q3140" i="3"/>
  <c r="Q3141" i="3"/>
  <c r="Q3142" i="3"/>
  <c r="Q3143" i="3"/>
  <c r="Q3144" i="3"/>
  <c r="Q3145" i="3"/>
  <c r="Q3146" i="3"/>
  <c r="Q3147" i="3"/>
  <c r="Q3148" i="3"/>
  <c r="Q3149" i="3"/>
  <c r="Q3150" i="3"/>
  <c r="Q3151" i="3"/>
  <c r="Q3152" i="3"/>
  <c r="Q3153" i="3"/>
  <c r="Q3154" i="3"/>
  <c r="Q3155" i="3"/>
  <c r="Q3156" i="3"/>
  <c r="Q3157" i="3"/>
  <c r="Q3158" i="3"/>
  <c r="Q3159" i="3"/>
  <c r="Q3160" i="3"/>
  <c r="Q3161" i="3"/>
  <c r="Q3162" i="3"/>
  <c r="Q3163" i="3"/>
  <c r="Q3164" i="3"/>
  <c r="Q3165" i="3"/>
  <c r="Q3166" i="3"/>
  <c r="Q3167" i="3"/>
  <c r="Q3168" i="3"/>
  <c r="Q3169" i="3"/>
  <c r="Q3170" i="3"/>
  <c r="Q3171" i="3"/>
  <c r="Q3172" i="3"/>
  <c r="Q3173" i="3"/>
  <c r="Q3174" i="3"/>
  <c r="Q3175" i="3"/>
  <c r="Q3176" i="3"/>
  <c r="Q3177" i="3"/>
  <c r="Q3178" i="3"/>
  <c r="Q3179" i="3"/>
  <c r="Q3180" i="3"/>
  <c r="Q3181" i="3"/>
  <c r="Q3182" i="3"/>
  <c r="Q3183" i="3"/>
  <c r="Q3184" i="3"/>
  <c r="Q3185" i="3"/>
  <c r="Q3186" i="3"/>
  <c r="Q3187" i="3"/>
  <c r="Q3188" i="3"/>
  <c r="Q3189" i="3"/>
  <c r="Q3190" i="3"/>
  <c r="Q3191" i="3"/>
  <c r="Q3192" i="3"/>
  <c r="Q3193" i="3"/>
  <c r="Q3194" i="3"/>
  <c r="Q3195" i="3"/>
  <c r="Q3196" i="3"/>
  <c r="Q3197" i="3"/>
  <c r="Q3198" i="3"/>
  <c r="Q3199" i="3"/>
  <c r="Q3200" i="3"/>
  <c r="Q3201" i="3"/>
  <c r="Q3202" i="3"/>
  <c r="Q3203" i="3"/>
  <c r="Q3204" i="3"/>
  <c r="Q3205" i="3"/>
  <c r="Q3206" i="3"/>
  <c r="Q3207" i="3"/>
  <c r="Q3208" i="3"/>
  <c r="Q3209" i="3"/>
  <c r="Q3210" i="3"/>
  <c r="Q3211" i="3"/>
  <c r="Q3212" i="3"/>
  <c r="Q3213" i="3"/>
  <c r="Q3214" i="3"/>
  <c r="Q3215" i="3"/>
  <c r="Q3216" i="3"/>
  <c r="Q3217" i="3"/>
  <c r="Q3218" i="3"/>
  <c r="Q3219" i="3"/>
  <c r="Q3220" i="3"/>
  <c r="Q3221" i="3"/>
  <c r="Q3222" i="3"/>
  <c r="Q3223" i="3"/>
  <c r="Q3224" i="3"/>
  <c r="Q3225" i="3"/>
  <c r="Q3226" i="3"/>
  <c r="Q3227" i="3"/>
  <c r="Q3228" i="3"/>
  <c r="Q3229" i="3"/>
  <c r="Q3230" i="3"/>
  <c r="Q3231" i="3"/>
  <c r="Q3232" i="3"/>
  <c r="Q3233" i="3"/>
  <c r="Q3234" i="3"/>
  <c r="Q3235" i="3"/>
  <c r="Q3236" i="3"/>
  <c r="Q3237" i="3"/>
  <c r="Q3238" i="3"/>
  <c r="Q3239" i="3"/>
  <c r="Q3240" i="3"/>
  <c r="Q3241" i="3"/>
  <c r="Q3242" i="3"/>
  <c r="Q3243" i="3"/>
  <c r="Q3244" i="3"/>
  <c r="Q3245" i="3"/>
  <c r="Q3246" i="3"/>
  <c r="Q3247" i="3"/>
  <c r="Q3248" i="3"/>
  <c r="Q3249" i="3"/>
  <c r="Q3250" i="3"/>
  <c r="Q3251" i="3"/>
  <c r="Q3252" i="3"/>
  <c r="Q3253" i="3"/>
  <c r="Q3254" i="3"/>
  <c r="Q3255" i="3"/>
  <c r="Q3256" i="3"/>
  <c r="Q3257" i="3"/>
  <c r="Q3258" i="3"/>
  <c r="Q3259" i="3"/>
  <c r="Q3260" i="3"/>
  <c r="Q3261" i="3"/>
  <c r="Q3262" i="3"/>
  <c r="Q3263" i="3"/>
  <c r="Q3264" i="3"/>
  <c r="Q3265" i="3"/>
  <c r="Q3266" i="3"/>
  <c r="Q3267" i="3"/>
  <c r="Q3268" i="3"/>
  <c r="Q3269" i="3"/>
  <c r="Q3270" i="3"/>
  <c r="Q3271" i="3"/>
  <c r="Q3272" i="3"/>
  <c r="Q3273" i="3"/>
  <c r="Q3274" i="3"/>
  <c r="Q3275" i="3"/>
  <c r="Q3276" i="3"/>
  <c r="Q3277" i="3"/>
  <c r="Q3278" i="3"/>
  <c r="Q3279" i="3"/>
  <c r="Q3280" i="3"/>
  <c r="Q3281" i="3"/>
  <c r="Q3282" i="3"/>
  <c r="Q3283" i="3"/>
  <c r="Q3284" i="3"/>
  <c r="Q3285" i="3"/>
  <c r="Q3286" i="3"/>
  <c r="Q3287" i="3"/>
  <c r="Q3288" i="3"/>
  <c r="Q3289" i="3"/>
  <c r="Q3290" i="3"/>
  <c r="Q3291" i="3"/>
  <c r="Q3292" i="3"/>
  <c r="Q3293" i="3"/>
  <c r="Q3294" i="3"/>
  <c r="Q3295" i="3"/>
  <c r="Q3296" i="3"/>
  <c r="Q3297" i="3"/>
  <c r="Q3298" i="3"/>
  <c r="Q3299" i="3"/>
  <c r="Q3300" i="3"/>
  <c r="Q3301" i="3"/>
  <c r="Q3302" i="3"/>
  <c r="Q3303" i="3"/>
  <c r="Q3304" i="3"/>
  <c r="Q3305" i="3"/>
  <c r="Q3306" i="3"/>
  <c r="Q3307" i="3"/>
  <c r="Q3308" i="3"/>
  <c r="Q3309" i="3"/>
  <c r="Q3310" i="3"/>
  <c r="Q3311" i="3"/>
  <c r="Q3312" i="3"/>
  <c r="Q3313" i="3"/>
  <c r="Q3314" i="3"/>
  <c r="Q3315" i="3"/>
  <c r="Q3316" i="3"/>
  <c r="Q3317" i="3"/>
  <c r="Q3318" i="3"/>
  <c r="Q3319" i="3"/>
  <c r="Q3320" i="3"/>
  <c r="Q3321" i="3"/>
  <c r="Q3322" i="3"/>
  <c r="Q3323" i="3"/>
  <c r="Q3324" i="3"/>
  <c r="Q3325" i="3"/>
  <c r="Q3326" i="3"/>
  <c r="Q3327" i="3"/>
  <c r="Q3328" i="3"/>
  <c r="Q3329" i="3"/>
  <c r="Q3330" i="3"/>
  <c r="Q3331" i="3"/>
  <c r="Q3332" i="3"/>
  <c r="Q3333" i="3"/>
  <c r="Q3334" i="3"/>
  <c r="Q3335" i="3"/>
  <c r="Q3336" i="3"/>
  <c r="Q3337" i="3"/>
  <c r="Q3338" i="3"/>
  <c r="Q3339" i="3"/>
  <c r="Q3340" i="3"/>
  <c r="Q3341" i="3"/>
  <c r="Q3342" i="3"/>
  <c r="Q3343" i="3"/>
  <c r="Q3344" i="3"/>
  <c r="Q3345" i="3"/>
  <c r="Q3346" i="3"/>
  <c r="Q3347" i="3"/>
  <c r="Q3348" i="3"/>
  <c r="Q3349" i="3"/>
  <c r="Q3350" i="3"/>
  <c r="Q3351" i="3"/>
  <c r="Q3352" i="3"/>
  <c r="Q3353" i="3"/>
  <c r="Q3354" i="3"/>
  <c r="Q3355" i="3"/>
  <c r="Q3356" i="3"/>
  <c r="Q3357" i="3"/>
  <c r="Q3358" i="3"/>
  <c r="Q3359" i="3"/>
  <c r="Q3360" i="3"/>
  <c r="Q3361" i="3"/>
  <c r="Q3362" i="3"/>
  <c r="Q3363" i="3"/>
  <c r="Q3364" i="3"/>
  <c r="Q3365" i="3"/>
  <c r="Q3366" i="3"/>
  <c r="Q3367" i="3"/>
  <c r="Q3368" i="3"/>
  <c r="Q3369" i="3"/>
  <c r="Q3370" i="3"/>
  <c r="Q3371" i="3"/>
  <c r="Q3372" i="3"/>
  <c r="Q3373" i="3"/>
  <c r="Q3374" i="3"/>
  <c r="Q3375" i="3"/>
  <c r="Q3376" i="3"/>
  <c r="Q3377" i="3"/>
  <c r="Q3378" i="3"/>
  <c r="Q3379" i="3"/>
  <c r="Q3380" i="3"/>
  <c r="Q3381" i="3"/>
  <c r="Q3382" i="3"/>
  <c r="Q3383" i="3"/>
  <c r="Q3384" i="3"/>
  <c r="Q3385" i="3"/>
  <c r="Q3386" i="3"/>
  <c r="Q3387" i="3"/>
  <c r="Q3388" i="3"/>
  <c r="Q3389" i="3"/>
  <c r="Q3390" i="3"/>
  <c r="Q3391" i="3"/>
  <c r="Q3392" i="3"/>
  <c r="Q3393" i="3"/>
  <c r="Q3394" i="3"/>
  <c r="Q3395" i="3"/>
  <c r="Q3396" i="3"/>
  <c r="Q3397" i="3"/>
  <c r="Q3398" i="3"/>
  <c r="Q3399" i="3"/>
  <c r="Q3400" i="3"/>
  <c r="Q3401" i="3"/>
  <c r="Q3402" i="3"/>
  <c r="Q3403" i="3"/>
  <c r="Q3404" i="3"/>
  <c r="Q3405" i="3"/>
  <c r="Q3406" i="3"/>
  <c r="Q3407" i="3"/>
  <c r="Q3408" i="3"/>
  <c r="Q3409" i="3"/>
  <c r="Q3410" i="3"/>
  <c r="Q3411" i="3"/>
  <c r="Q3412" i="3"/>
  <c r="Q3413" i="3"/>
  <c r="Q3414" i="3"/>
  <c r="Q3415" i="3"/>
  <c r="Q3416" i="3"/>
  <c r="Q3417" i="3"/>
  <c r="Q3418" i="3"/>
  <c r="Q3419" i="3"/>
  <c r="Q3420" i="3"/>
  <c r="Q3421" i="3"/>
  <c r="Q3422" i="3"/>
  <c r="Q3423" i="3"/>
  <c r="Q3424" i="3"/>
  <c r="Q3425" i="3"/>
  <c r="Q3426" i="3"/>
  <c r="Q3427" i="3"/>
  <c r="Q3428" i="3"/>
  <c r="Q3429" i="3"/>
  <c r="Q3430" i="3"/>
  <c r="Q3431" i="3"/>
  <c r="Q3432" i="3"/>
  <c r="Q3433" i="3"/>
  <c r="Q3434" i="3"/>
  <c r="Q3435" i="3"/>
  <c r="Q3436" i="3"/>
  <c r="Q3437" i="3"/>
  <c r="Q3438" i="3"/>
  <c r="Q3439" i="3"/>
  <c r="Q3440" i="3"/>
  <c r="Q3441" i="3"/>
  <c r="Q3442" i="3"/>
  <c r="Q3443" i="3"/>
  <c r="Q3444" i="3"/>
  <c r="Q3445" i="3"/>
  <c r="Q3446" i="3"/>
  <c r="Q3447" i="3"/>
  <c r="Q3448" i="3"/>
  <c r="Q3449" i="3"/>
  <c r="Q3450" i="3"/>
  <c r="Q3451" i="3"/>
  <c r="Q3452" i="3"/>
  <c r="Q3453" i="3"/>
  <c r="Q3454" i="3"/>
  <c r="Q3455" i="3"/>
  <c r="Q3456" i="3"/>
  <c r="Q3457" i="3"/>
  <c r="Q3458" i="3"/>
  <c r="Q3459" i="3"/>
  <c r="Q3460" i="3"/>
  <c r="Q3461" i="3"/>
  <c r="Q3462" i="3"/>
  <c r="Q3463" i="3"/>
  <c r="Q3464" i="3"/>
  <c r="Q3465" i="3"/>
  <c r="Q3466" i="3"/>
  <c r="Q3467" i="3"/>
  <c r="Q3468" i="3"/>
  <c r="Q3469" i="3"/>
  <c r="Q3470" i="3"/>
  <c r="Q3471" i="3"/>
  <c r="Q3472" i="3"/>
  <c r="Q3473" i="3"/>
  <c r="Q3474" i="3"/>
  <c r="Q3475" i="3"/>
  <c r="Q3476" i="3"/>
  <c r="Q3477" i="3"/>
  <c r="Q3478" i="3"/>
  <c r="Q3479" i="3"/>
  <c r="Q3480" i="3"/>
  <c r="Q3481" i="3"/>
  <c r="Q3482" i="3"/>
  <c r="Q3483" i="3"/>
  <c r="Q3484" i="3"/>
  <c r="Q3485" i="3"/>
  <c r="Q3486" i="3"/>
  <c r="Q3487" i="3"/>
  <c r="Q3488" i="3"/>
  <c r="Q3489" i="3"/>
  <c r="Q3490" i="3"/>
  <c r="Q3491" i="3"/>
  <c r="Q3492" i="3"/>
  <c r="Q3493" i="3"/>
  <c r="Q3494" i="3"/>
  <c r="Q3495" i="3"/>
  <c r="Q3496" i="3"/>
  <c r="Q3497" i="3"/>
  <c r="Q3498" i="3"/>
  <c r="Q3499" i="3"/>
  <c r="Q3500" i="3"/>
  <c r="Q3501" i="3"/>
  <c r="Q3502" i="3"/>
  <c r="Q3503" i="3"/>
  <c r="Q3504" i="3"/>
  <c r="Q3505" i="3"/>
  <c r="Q3506" i="3"/>
  <c r="Q3507" i="3"/>
  <c r="Q3508" i="3"/>
  <c r="Q3509" i="3"/>
  <c r="Q3510" i="3"/>
  <c r="Q3511" i="3"/>
  <c r="Q3512" i="3"/>
  <c r="Q3513" i="3"/>
  <c r="Q3514" i="3"/>
  <c r="Q3515" i="3"/>
  <c r="Q3516" i="3"/>
  <c r="Q3517" i="3"/>
  <c r="Q3518" i="3"/>
  <c r="Q3519" i="3"/>
  <c r="Q3520" i="3"/>
  <c r="Q3521" i="3"/>
  <c r="Q3522" i="3"/>
  <c r="Q3523" i="3"/>
  <c r="Q3524" i="3"/>
  <c r="Q3525" i="3"/>
  <c r="Q3526" i="3"/>
  <c r="Q3527" i="3"/>
  <c r="Q3528" i="3"/>
  <c r="Q3529" i="3"/>
  <c r="Q3530" i="3"/>
  <c r="Q3531" i="3"/>
  <c r="Q3532" i="3"/>
  <c r="Q3533" i="3"/>
  <c r="Q3534" i="3"/>
  <c r="Q3535" i="3"/>
  <c r="Q3536" i="3"/>
  <c r="Q3537" i="3"/>
  <c r="Q3538" i="3"/>
  <c r="Q3539" i="3"/>
  <c r="Q3540" i="3"/>
  <c r="Q3541" i="3"/>
  <c r="Q3542" i="3"/>
  <c r="Q3543" i="3"/>
  <c r="Q3544" i="3"/>
  <c r="Q3545" i="3"/>
  <c r="Q3546" i="3"/>
  <c r="Q3547" i="3"/>
  <c r="Q3548" i="3"/>
  <c r="Q3549" i="3"/>
  <c r="Q3550" i="3"/>
  <c r="Q3551" i="3"/>
  <c r="Q3552" i="3"/>
  <c r="Q3553" i="3"/>
  <c r="Q3554" i="3"/>
  <c r="Q3555" i="3"/>
  <c r="Q3556" i="3"/>
  <c r="Q3557" i="3"/>
  <c r="Q3558" i="3"/>
  <c r="Q3559" i="3"/>
  <c r="Q3560" i="3"/>
  <c r="Q3561" i="3"/>
  <c r="Q3562" i="3"/>
  <c r="Q3563" i="3"/>
  <c r="Q3564" i="3"/>
  <c r="Q3565" i="3"/>
  <c r="Q3566" i="3"/>
  <c r="Q3567" i="3"/>
  <c r="Q3568" i="3"/>
  <c r="Q3569" i="3"/>
  <c r="Q3570" i="3"/>
  <c r="Q3571" i="3"/>
  <c r="Q3572" i="3"/>
  <c r="Q3573" i="3"/>
  <c r="Q3574" i="3"/>
  <c r="Q3575" i="3"/>
  <c r="Q3576" i="3"/>
  <c r="Q3577" i="3"/>
  <c r="Q3578" i="3"/>
  <c r="Q3579" i="3"/>
  <c r="Q3580" i="3"/>
  <c r="Q3581" i="3"/>
  <c r="Q3582" i="3"/>
  <c r="Q3583" i="3"/>
  <c r="Q3584" i="3"/>
  <c r="Q3585" i="3"/>
  <c r="Q3586" i="3"/>
  <c r="Q3587" i="3"/>
  <c r="Q3588" i="3"/>
  <c r="Q3589" i="3"/>
  <c r="Q3590" i="3"/>
  <c r="Q3591" i="3"/>
  <c r="Q3592" i="3"/>
  <c r="Q3593" i="3"/>
  <c r="Q3594" i="3"/>
  <c r="Q3595" i="3"/>
  <c r="Q3596" i="3"/>
  <c r="Q3597" i="3"/>
  <c r="Q3598" i="3"/>
  <c r="Q3599" i="3"/>
  <c r="Q3600" i="3"/>
  <c r="Q3601" i="3"/>
  <c r="Q3602" i="3"/>
  <c r="Q3603" i="3"/>
  <c r="Q3604" i="3"/>
  <c r="Q3605" i="3"/>
  <c r="Q3606" i="3"/>
  <c r="Q3607" i="3"/>
  <c r="Q3608" i="3"/>
  <c r="Q3609" i="3"/>
  <c r="Q3610" i="3"/>
  <c r="Q3611" i="3"/>
  <c r="Q3612" i="3"/>
  <c r="Q3613" i="3"/>
  <c r="Q3614" i="3"/>
  <c r="Q3615" i="3"/>
  <c r="Q3616" i="3"/>
  <c r="Q3617" i="3"/>
  <c r="Q3618" i="3"/>
  <c r="Q3619" i="3"/>
  <c r="Q3620" i="3"/>
  <c r="Q3621" i="3"/>
  <c r="Q3622" i="3"/>
  <c r="Q3623" i="3"/>
  <c r="Q3624" i="3"/>
  <c r="Q3625" i="3"/>
  <c r="Q3626" i="3"/>
  <c r="Q3627" i="3"/>
  <c r="Q3628" i="3"/>
  <c r="Q3629" i="3"/>
  <c r="Q3630" i="3"/>
  <c r="Q3631" i="3"/>
  <c r="Q3632" i="3"/>
  <c r="Q3633" i="3"/>
  <c r="Q3634" i="3"/>
  <c r="Q3635" i="3"/>
  <c r="Q3636" i="3"/>
  <c r="Q3637" i="3"/>
  <c r="Q3638" i="3"/>
  <c r="Q3639" i="3"/>
  <c r="Q3640" i="3"/>
  <c r="Q3641" i="3"/>
  <c r="Q3642" i="3"/>
  <c r="Q3643" i="3"/>
  <c r="Q3644" i="3"/>
  <c r="Q3645" i="3"/>
  <c r="Q3646" i="3"/>
  <c r="Q3647" i="3"/>
  <c r="Q3648" i="3"/>
  <c r="Q3649" i="3"/>
  <c r="Q3650" i="3"/>
  <c r="Q3651" i="3"/>
  <c r="Q3652" i="3"/>
  <c r="Q3653" i="3"/>
  <c r="Q3654" i="3"/>
  <c r="Q3655" i="3"/>
  <c r="Q3656" i="3"/>
  <c r="Q3657" i="3"/>
  <c r="Q3658" i="3"/>
  <c r="Q3659" i="3"/>
  <c r="Q3660" i="3"/>
  <c r="Q3661" i="3"/>
  <c r="Q3662" i="3"/>
  <c r="Q3663" i="3"/>
  <c r="Q3664" i="3"/>
  <c r="Q3665" i="3"/>
  <c r="Q3666" i="3"/>
  <c r="Q3667" i="3"/>
  <c r="Q3668" i="3"/>
  <c r="Q3669" i="3"/>
  <c r="Q3670" i="3"/>
  <c r="Q3671" i="3"/>
  <c r="Q3672" i="3"/>
  <c r="Q3673" i="3"/>
  <c r="Q3674" i="3"/>
  <c r="Q3675" i="3"/>
  <c r="Q3676" i="3"/>
  <c r="Q3677" i="3"/>
  <c r="Q3678" i="3"/>
  <c r="Q3679" i="3"/>
  <c r="Q3680" i="3"/>
  <c r="Q3681" i="3"/>
  <c r="Q3682" i="3"/>
  <c r="Q3683" i="3"/>
  <c r="Q3684" i="3"/>
  <c r="Q3685" i="3"/>
  <c r="Q3686" i="3"/>
  <c r="Q3687" i="3"/>
  <c r="Q3688" i="3"/>
  <c r="Q3689" i="3"/>
  <c r="Q3690" i="3"/>
  <c r="Q3691" i="3"/>
  <c r="Q3692" i="3"/>
  <c r="Q3693" i="3"/>
  <c r="Q3694" i="3"/>
  <c r="Q3695" i="3"/>
  <c r="Q3696" i="3"/>
  <c r="Q3697" i="3"/>
  <c r="Q3698" i="3"/>
  <c r="Q3699" i="3"/>
  <c r="Q3700" i="3"/>
  <c r="Q3701" i="3"/>
  <c r="Q3702" i="3"/>
  <c r="Q3703" i="3"/>
  <c r="Q3704" i="3"/>
  <c r="Q3705" i="3"/>
  <c r="Q3706" i="3"/>
  <c r="Q3707" i="3"/>
  <c r="Q3708" i="3"/>
  <c r="Q3709" i="3"/>
  <c r="Q3710" i="3"/>
  <c r="Q3711" i="3"/>
  <c r="Q3712" i="3"/>
  <c r="Q3713" i="3"/>
  <c r="Q3714" i="3"/>
  <c r="Q3715" i="3"/>
  <c r="Q3716" i="3"/>
  <c r="Q3717" i="3"/>
  <c r="Q3718" i="3"/>
  <c r="Q3719" i="3"/>
  <c r="Q3720" i="3"/>
  <c r="Q3721" i="3"/>
  <c r="Q3722" i="3"/>
  <c r="Q3723" i="3"/>
  <c r="Q3724" i="3"/>
  <c r="Q3725" i="3"/>
  <c r="Q3726" i="3"/>
  <c r="Q3727" i="3"/>
  <c r="Q3728" i="3"/>
  <c r="Q3729" i="3"/>
  <c r="Q3730" i="3"/>
  <c r="Q3731" i="3"/>
  <c r="Q3732" i="3"/>
  <c r="Q3733" i="3"/>
  <c r="Q3734" i="3"/>
  <c r="Q3735" i="3"/>
  <c r="Q3736" i="3"/>
  <c r="Q3737" i="3"/>
  <c r="Q3738" i="3"/>
  <c r="Q3739" i="3"/>
  <c r="Q3740" i="3"/>
  <c r="Q3741" i="3"/>
  <c r="Q3742" i="3"/>
  <c r="Q3743" i="3"/>
  <c r="Q3744" i="3"/>
  <c r="Q3745" i="3"/>
  <c r="Q3746" i="3"/>
  <c r="Q3747" i="3"/>
  <c r="Q3748" i="3"/>
  <c r="Q3749" i="3"/>
  <c r="Q3750" i="3"/>
  <c r="Q3751" i="3"/>
  <c r="Q3752" i="3"/>
  <c r="Q3753" i="3"/>
  <c r="Q3754" i="3"/>
  <c r="Q3755" i="3"/>
  <c r="Q3756" i="3"/>
  <c r="Q3757" i="3"/>
  <c r="Q3758" i="3"/>
  <c r="Q3759" i="3"/>
  <c r="Q3760" i="3"/>
  <c r="Q3761" i="3"/>
  <c r="Q3762" i="3"/>
  <c r="Q3763" i="3"/>
  <c r="Q3764" i="3"/>
  <c r="Q3765" i="3"/>
  <c r="Q3766" i="3"/>
  <c r="Q3767" i="3"/>
  <c r="Q3768" i="3"/>
  <c r="Q3769" i="3"/>
  <c r="Q3770" i="3"/>
  <c r="Q3771" i="3"/>
  <c r="Q3772" i="3"/>
  <c r="Q3773" i="3"/>
  <c r="Q3774" i="3"/>
  <c r="Q3775" i="3"/>
  <c r="Q3776" i="3"/>
  <c r="Q3777" i="3"/>
  <c r="Q3778" i="3"/>
  <c r="Q3779" i="3"/>
  <c r="Q3780" i="3"/>
  <c r="Q3781" i="3"/>
  <c r="Q3782" i="3"/>
  <c r="Q3783" i="3"/>
  <c r="Q3784" i="3"/>
  <c r="Q3785" i="3"/>
  <c r="Q3786" i="3"/>
  <c r="Q3787" i="3"/>
  <c r="Q3788" i="3"/>
  <c r="Q3789" i="3"/>
  <c r="Q3790" i="3"/>
  <c r="Q3791" i="3"/>
  <c r="Q3792" i="3"/>
  <c r="Q3793" i="3"/>
  <c r="Q3794" i="3"/>
  <c r="Q3795" i="3"/>
  <c r="Q3796" i="3"/>
  <c r="Q3797" i="3"/>
  <c r="Q3798" i="3"/>
  <c r="Q3799" i="3"/>
  <c r="Q3800" i="3"/>
  <c r="Q3801" i="3"/>
  <c r="Q3802" i="3"/>
  <c r="Q3803" i="3"/>
  <c r="Q3804" i="3"/>
  <c r="Q3805" i="3"/>
  <c r="Q3806" i="3"/>
  <c r="Q3807" i="3"/>
  <c r="Q3808" i="3"/>
  <c r="Q3809" i="3"/>
  <c r="Q3810" i="3"/>
  <c r="Q3811" i="3"/>
  <c r="Q3812" i="3"/>
  <c r="Q3813" i="3"/>
  <c r="Q3814" i="3"/>
  <c r="Q3815" i="3"/>
  <c r="Q3816" i="3"/>
  <c r="Q3817" i="3"/>
  <c r="Q3818" i="3"/>
  <c r="Q3819" i="3"/>
  <c r="Q3820" i="3"/>
  <c r="Q3821" i="3"/>
  <c r="Q3822" i="3"/>
  <c r="Q3823" i="3"/>
  <c r="Q3824" i="3"/>
  <c r="Q3825" i="3"/>
  <c r="Q3826" i="3"/>
  <c r="Q3827" i="3"/>
  <c r="Q3828" i="3"/>
  <c r="Q3829" i="3"/>
  <c r="Q3830" i="3"/>
  <c r="Q3831" i="3"/>
  <c r="Q3832" i="3"/>
  <c r="Q3833" i="3"/>
  <c r="Q3834" i="3"/>
  <c r="Q3835" i="3"/>
  <c r="Q3836" i="3"/>
  <c r="Q3837" i="3"/>
  <c r="Q3838" i="3"/>
  <c r="Q3839" i="3"/>
  <c r="Q3840" i="3"/>
  <c r="Q3841" i="3"/>
  <c r="Q3842" i="3"/>
  <c r="Q3843" i="3"/>
  <c r="Q3844" i="3"/>
  <c r="Q3845" i="3"/>
  <c r="Q3846" i="3"/>
  <c r="Q3847" i="3"/>
  <c r="Q3848" i="3"/>
  <c r="Q3849" i="3"/>
  <c r="Q3850" i="3"/>
  <c r="Q3851" i="3"/>
  <c r="Q3852" i="3"/>
  <c r="Q3853" i="3"/>
  <c r="Q3854" i="3"/>
  <c r="Q3855" i="3"/>
  <c r="Q3856" i="3"/>
  <c r="Q3857" i="3"/>
  <c r="Q3858" i="3"/>
  <c r="Q3859" i="3"/>
  <c r="Q3860" i="3"/>
  <c r="Q3861" i="3"/>
  <c r="Q3862" i="3"/>
  <c r="Q3863" i="3"/>
  <c r="Q3864" i="3"/>
  <c r="Q3865" i="3"/>
  <c r="Q3866" i="3"/>
  <c r="Q3867" i="3"/>
  <c r="Q3868" i="3"/>
  <c r="Q3869" i="3"/>
  <c r="Q3870" i="3"/>
  <c r="Q3871" i="3"/>
  <c r="Q3872" i="3"/>
  <c r="Q3873" i="3"/>
  <c r="Q3874" i="3"/>
  <c r="Q3875" i="3"/>
  <c r="Q3876" i="3"/>
  <c r="Q3877" i="3"/>
  <c r="Q3878" i="3"/>
  <c r="Q3879" i="3"/>
  <c r="Q3880" i="3"/>
  <c r="Q3881" i="3"/>
  <c r="Q3882" i="3"/>
  <c r="Q3883" i="3"/>
  <c r="Q3884" i="3"/>
  <c r="Q3885" i="3"/>
  <c r="Q3886" i="3"/>
  <c r="Q3887" i="3"/>
  <c r="Q3888" i="3"/>
  <c r="Q3889" i="3"/>
  <c r="Q3890" i="3"/>
  <c r="Q3891" i="3"/>
  <c r="Q3892" i="3"/>
  <c r="Q3893" i="3"/>
  <c r="Q3894" i="3"/>
  <c r="Q3895" i="3"/>
  <c r="Q3896" i="3"/>
  <c r="Q3897" i="3"/>
  <c r="Q3898" i="3"/>
  <c r="Q3899" i="3"/>
  <c r="Q3900" i="3"/>
  <c r="Q3901" i="3"/>
  <c r="Q3902" i="3"/>
  <c r="Q3903" i="3"/>
  <c r="Q3904" i="3"/>
  <c r="Q3905" i="3"/>
  <c r="Q3906" i="3"/>
  <c r="Q3907" i="3"/>
  <c r="Q3908" i="3"/>
  <c r="Q3909" i="3"/>
  <c r="Q3910" i="3"/>
  <c r="Q3911" i="3"/>
  <c r="Q3912" i="3"/>
  <c r="Q3913" i="3"/>
  <c r="Q3914" i="3"/>
  <c r="Q3915" i="3"/>
  <c r="Q3916" i="3"/>
  <c r="Q3917" i="3"/>
  <c r="Q3918" i="3"/>
  <c r="Q3919" i="3"/>
  <c r="Q3920" i="3"/>
  <c r="Q3921" i="3"/>
  <c r="Q3922" i="3"/>
  <c r="Q3923" i="3"/>
  <c r="Q3924" i="3"/>
  <c r="Q3925" i="3"/>
  <c r="Q3926" i="3"/>
  <c r="Q3927" i="3"/>
  <c r="Q3928" i="3"/>
  <c r="Q3929" i="3"/>
  <c r="Q3930" i="3"/>
  <c r="Q3931" i="3"/>
  <c r="Q3932" i="3"/>
  <c r="Q3933" i="3"/>
  <c r="Q3934" i="3"/>
  <c r="Q3935" i="3"/>
  <c r="Q3936" i="3"/>
  <c r="Q3937" i="3"/>
  <c r="Q3938" i="3"/>
  <c r="Q3939" i="3"/>
  <c r="Q3940" i="3"/>
  <c r="Q3941" i="3"/>
  <c r="Q3942" i="3"/>
  <c r="Q3943" i="3"/>
  <c r="Q3944" i="3"/>
  <c r="Q3945" i="3"/>
  <c r="Q3946" i="3"/>
  <c r="Q3947" i="3"/>
  <c r="Q3948" i="3"/>
  <c r="Q3949" i="3"/>
  <c r="Q3950" i="3"/>
  <c r="Q3951" i="3"/>
  <c r="Q3952" i="3"/>
  <c r="Q3953" i="3"/>
  <c r="Q3954" i="3"/>
  <c r="Q3955" i="3"/>
  <c r="Q3956" i="3"/>
  <c r="Q3957" i="3"/>
  <c r="Q3958" i="3"/>
  <c r="Q3959" i="3"/>
  <c r="Q3960" i="3"/>
  <c r="Q3961" i="3"/>
  <c r="Q3962" i="3"/>
  <c r="Q3963" i="3"/>
  <c r="Q3964" i="3"/>
  <c r="Q3965" i="3"/>
  <c r="Q3966" i="3"/>
  <c r="Q3967" i="3"/>
  <c r="Q3968" i="3"/>
  <c r="Q3969" i="3"/>
  <c r="Q3970" i="3"/>
  <c r="Q3971" i="3"/>
  <c r="Q3972" i="3"/>
  <c r="Q3973" i="3"/>
  <c r="Q3974" i="3"/>
  <c r="Q3975" i="3"/>
  <c r="Q3976" i="3"/>
  <c r="Q3977" i="3"/>
  <c r="Q3978" i="3"/>
  <c r="Q3979" i="3"/>
  <c r="Q3980" i="3"/>
  <c r="Q3981" i="3"/>
  <c r="Q3982" i="3"/>
  <c r="Q3983" i="3"/>
  <c r="Q3984" i="3"/>
  <c r="Q3985" i="3"/>
  <c r="Q3986" i="3"/>
  <c r="Q3987" i="3"/>
  <c r="Q3988" i="3"/>
  <c r="Q3989" i="3"/>
  <c r="Q3990" i="3"/>
  <c r="Q3991" i="3"/>
  <c r="Q3992" i="3"/>
  <c r="Q3993" i="3"/>
  <c r="Q3994" i="3"/>
  <c r="Q3995" i="3"/>
  <c r="Q3996" i="3"/>
  <c r="Q3997" i="3"/>
  <c r="Q3998" i="3"/>
  <c r="Q3999" i="3"/>
  <c r="Q4000" i="3"/>
  <c r="Q4001" i="3"/>
  <c r="Q4002" i="3"/>
  <c r="Q4003" i="3"/>
  <c r="Q4004" i="3"/>
  <c r="Q4005" i="3"/>
  <c r="Q4006" i="3"/>
  <c r="Q4007" i="3"/>
  <c r="Q4008" i="3"/>
  <c r="Q4009" i="3"/>
  <c r="Q4010" i="3"/>
  <c r="Q4011" i="3"/>
  <c r="Q4012" i="3"/>
  <c r="Q4013" i="3"/>
  <c r="Q4014" i="3"/>
  <c r="Q4015" i="3"/>
  <c r="Q4016" i="3"/>
  <c r="Q4017" i="3"/>
  <c r="Q4018" i="3"/>
  <c r="Q4019" i="3"/>
  <c r="Q4020" i="3"/>
  <c r="Q4021" i="3"/>
  <c r="Q4022" i="3"/>
  <c r="Q4023" i="3"/>
  <c r="Q4024" i="3"/>
  <c r="Q4025" i="3"/>
  <c r="Q4026" i="3"/>
  <c r="Q4027" i="3"/>
  <c r="Q4028" i="3"/>
  <c r="Q4029" i="3"/>
  <c r="Q4030" i="3"/>
  <c r="Q4031" i="3"/>
  <c r="Q4032" i="3"/>
  <c r="Q4033" i="3"/>
  <c r="Q4034" i="3"/>
  <c r="Q4035" i="3"/>
  <c r="Q4036" i="3"/>
  <c r="Q4037" i="3"/>
  <c r="Q4038" i="3"/>
  <c r="Q4039" i="3"/>
  <c r="Q4040" i="3"/>
  <c r="Q4041" i="3"/>
  <c r="Q4042" i="3"/>
  <c r="Q4043" i="3"/>
  <c r="Q4044" i="3"/>
  <c r="Q4045" i="3"/>
  <c r="Q4046" i="3"/>
  <c r="Q4047" i="3"/>
  <c r="Q4048" i="3"/>
  <c r="Q4049" i="3"/>
  <c r="Q4050" i="3"/>
  <c r="Q4051" i="3"/>
  <c r="Q4052" i="3"/>
  <c r="Q4053" i="3"/>
  <c r="Q4054" i="3"/>
  <c r="Q4055" i="3"/>
  <c r="Q4056" i="3"/>
  <c r="Q4057" i="3"/>
  <c r="Q4058" i="3"/>
  <c r="Q4059" i="3"/>
  <c r="Q4060" i="3"/>
  <c r="Q4061" i="3"/>
  <c r="Q4062" i="3"/>
  <c r="Q4063" i="3"/>
  <c r="Q4064" i="3"/>
  <c r="Q4065" i="3"/>
  <c r="Q4066" i="3"/>
  <c r="Q4067" i="3"/>
  <c r="Q4068" i="3"/>
  <c r="Q4069" i="3"/>
  <c r="Q4070" i="3"/>
  <c r="Q4071" i="3"/>
  <c r="Q4072" i="3"/>
  <c r="Q4073" i="3"/>
  <c r="Q4074" i="3"/>
  <c r="Q4075" i="3"/>
  <c r="Q4076" i="3"/>
  <c r="Q4077" i="3"/>
  <c r="Q4078" i="3"/>
  <c r="Q4079" i="3"/>
  <c r="Q4080" i="3"/>
  <c r="Q4081" i="3"/>
  <c r="Q4082" i="3"/>
  <c r="Q4083" i="3"/>
  <c r="Q4084" i="3"/>
  <c r="Q4085" i="3"/>
  <c r="Q4086" i="3"/>
  <c r="Q4087" i="3"/>
  <c r="Q4088" i="3"/>
  <c r="Q4089" i="3"/>
  <c r="Q4090" i="3"/>
  <c r="Q4091" i="3"/>
  <c r="Q4092" i="3"/>
  <c r="Q4093" i="3"/>
  <c r="Q4094" i="3"/>
  <c r="Q4095" i="3"/>
  <c r="Q4096" i="3"/>
  <c r="Q4097" i="3"/>
  <c r="Q4098" i="3"/>
  <c r="Q4099" i="3"/>
  <c r="Q4100" i="3"/>
  <c r="Q4101" i="3"/>
  <c r="Q4102" i="3"/>
  <c r="Q4103" i="3"/>
  <c r="Q4104" i="3"/>
  <c r="Q4105" i="3"/>
  <c r="Q4106" i="3"/>
  <c r="Q4107" i="3"/>
  <c r="Q4108" i="3"/>
  <c r="Q4109" i="3"/>
  <c r="Q4110" i="3"/>
  <c r="Q4111" i="3"/>
  <c r="Q4112" i="3"/>
  <c r="Q4113" i="3"/>
  <c r="Q4114" i="3"/>
  <c r="Q4115" i="3"/>
  <c r="Q4116" i="3"/>
  <c r="Q4117" i="3"/>
  <c r="Q4118" i="3"/>
  <c r="Q4119" i="3"/>
  <c r="Q4120" i="3"/>
  <c r="Q4121" i="3"/>
  <c r="Q4122" i="3"/>
  <c r="Q4123" i="3"/>
  <c r="Q4124" i="3"/>
  <c r="Q4125" i="3"/>
  <c r="Q4126" i="3"/>
  <c r="Q4127" i="3"/>
  <c r="Q4128" i="3"/>
  <c r="Q4129" i="3"/>
  <c r="Q4130" i="3"/>
  <c r="Q4131" i="3"/>
  <c r="Q4132" i="3"/>
  <c r="Q4133" i="3"/>
  <c r="Q4134" i="3"/>
  <c r="Q4135" i="3"/>
  <c r="Q4136" i="3"/>
  <c r="Q4137" i="3"/>
  <c r="Q4138" i="3"/>
  <c r="Q4139" i="3"/>
  <c r="Q4140" i="3"/>
  <c r="Q4141" i="3"/>
  <c r="Q4142" i="3"/>
  <c r="Q4143" i="3"/>
  <c r="Q4144" i="3"/>
  <c r="Q4145" i="3"/>
  <c r="Q4146" i="3"/>
  <c r="Q4147" i="3"/>
  <c r="Q4148" i="3"/>
  <c r="Q4149" i="3"/>
  <c r="Q4150" i="3"/>
  <c r="Q4151" i="3"/>
  <c r="Q4152" i="3"/>
  <c r="Q4153" i="3"/>
  <c r="Q4154" i="3"/>
  <c r="Q4155" i="3"/>
  <c r="Q4156" i="3"/>
  <c r="Q4157" i="3"/>
  <c r="Q4158" i="3"/>
  <c r="Q4159" i="3"/>
  <c r="Q4160" i="3"/>
  <c r="Q4161" i="3"/>
  <c r="Q4162" i="3"/>
  <c r="Q4163" i="3"/>
  <c r="Q4164" i="3"/>
  <c r="Q4165" i="3"/>
  <c r="Q4166" i="3"/>
  <c r="Q4167" i="3"/>
  <c r="Q4168" i="3"/>
  <c r="Q4169" i="3"/>
  <c r="Q4170" i="3"/>
  <c r="Q4171" i="3"/>
  <c r="Q4172" i="3"/>
  <c r="Q4173" i="3"/>
  <c r="Q4174" i="3"/>
  <c r="Q4175" i="3"/>
  <c r="Q4176" i="3"/>
  <c r="Q4177" i="3"/>
  <c r="Q4178" i="3"/>
  <c r="Q4179" i="3"/>
  <c r="Q4180" i="3"/>
  <c r="Q4181" i="3"/>
  <c r="Q4182" i="3"/>
  <c r="Q4183" i="3"/>
  <c r="Q4184" i="3"/>
  <c r="Q4185" i="3"/>
  <c r="Q4186" i="3"/>
  <c r="Q4187" i="3"/>
  <c r="Q4188" i="3"/>
  <c r="Q4189" i="3"/>
  <c r="Q4190" i="3"/>
  <c r="Q4191" i="3"/>
  <c r="Q4192" i="3"/>
  <c r="Q4193" i="3"/>
  <c r="Q4194" i="3"/>
  <c r="Q4195" i="3"/>
  <c r="Q4196" i="3"/>
  <c r="Q4197" i="3"/>
  <c r="Q4198" i="3"/>
  <c r="Q4199" i="3"/>
  <c r="Q4200" i="3"/>
  <c r="Q4201" i="3"/>
  <c r="Q4202" i="3"/>
  <c r="Q4203" i="3"/>
  <c r="Q4204" i="3"/>
  <c r="Q4205" i="3"/>
  <c r="Q4206" i="3"/>
  <c r="Q4207" i="3"/>
  <c r="Q4208" i="3"/>
  <c r="Q4209" i="3"/>
  <c r="Q4210" i="3"/>
  <c r="Q4211" i="3"/>
  <c r="Q4212" i="3"/>
  <c r="Q4213" i="3"/>
  <c r="Q4214" i="3"/>
  <c r="Q4215" i="3"/>
  <c r="Q4216" i="3"/>
  <c r="Q4217" i="3"/>
  <c r="Q4218" i="3"/>
  <c r="Q4219" i="3"/>
  <c r="Q4220" i="3"/>
  <c r="Q4221" i="3"/>
  <c r="Q4222" i="3"/>
  <c r="Q4223" i="3"/>
  <c r="Q4224" i="3"/>
  <c r="Q4225" i="3"/>
  <c r="Q4226" i="3"/>
  <c r="Q4227" i="3"/>
  <c r="Q4228" i="3"/>
  <c r="Q4229" i="3"/>
  <c r="Q4230" i="3"/>
  <c r="Q4231" i="3"/>
  <c r="Q4232" i="3"/>
  <c r="Q4233" i="3"/>
  <c r="Q4234" i="3"/>
  <c r="Q4235" i="3"/>
  <c r="Q4236" i="3"/>
  <c r="Q4237" i="3"/>
  <c r="Q4238" i="3"/>
  <c r="Q4239" i="3"/>
  <c r="Q4240" i="3"/>
  <c r="Q4241" i="3"/>
  <c r="Q4242" i="3"/>
  <c r="Q4243" i="3"/>
  <c r="Q4244" i="3"/>
  <c r="Q4245" i="3"/>
  <c r="Q4246" i="3"/>
  <c r="Q4247" i="3"/>
  <c r="Q4248" i="3"/>
  <c r="Q4249" i="3"/>
  <c r="Q4250" i="3"/>
  <c r="Q4251" i="3"/>
  <c r="Q4252" i="3"/>
  <c r="Q4253" i="3"/>
  <c r="Q4254" i="3"/>
  <c r="Q4255" i="3"/>
  <c r="Q4256" i="3"/>
  <c r="Q4257" i="3"/>
  <c r="Q4258" i="3"/>
  <c r="Q4259" i="3"/>
  <c r="Q4260" i="3"/>
  <c r="Q4261" i="3"/>
  <c r="Q4262" i="3"/>
  <c r="Q4263" i="3"/>
  <c r="Q4264" i="3"/>
  <c r="Q4265" i="3"/>
  <c r="Q4266" i="3"/>
  <c r="Q4267" i="3"/>
  <c r="Q4268" i="3"/>
  <c r="Q4269" i="3"/>
  <c r="Q4270" i="3"/>
  <c r="Q4271" i="3"/>
  <c r="Q4272" i="3"/>
  <c r="Q4273" i="3"/>
  <c r="Q4274" i="3"/>
  <c r="Q4275" i="3"/>
  <c r="Q4276" i="3"/>
  <c r="Q4277" i="3"/>
  <c r="Q4278" i="3"/>
  <c r="Q4279" i="3"/>
  <c r="Q4280" i="3"/>
  <c r="Q4281" i="3"/>
  <c r="Q4282" i="3"/>
  <c r="Q4283" i="3"/>
  <c r="Q4284" i="3"/>
  <c r="Q4285" i="3"/>
  <c r="Q4286" i="3"/>
  <c r="Q4287" i="3"/>
  <c r="Q4288" i="3"/>
  <c r="Q4289" i="3"/>
  <c r="Q4290" i="3"/>
  <c r="Q4291" i="3"/>
  <c r="Q4292" i="3"/>
  <c r="Q4293" i="3"/>
  <c r="Q4294" i="3"/>
  <c r="Q4295" i="3"/>
  <c r="Q4296" i="3"/>
  <c r="Q4297" i="3"/>
  <c r="Q4298" i="3"/>
  <c r="Q4299" i="3"/>
  <c r="Q4300" i="3"/>
  <c r="Q4301" i="3"/>
  <c r="Q4302" i="3"/>
  <c r="Q4303" i="3"/>
  <c r="Q4304" i="3"/>
  <c r="Q4305" i="3"/>
  <c r="Q4306" i="3"/>
  <c r="Q4307" i="3"/>
  <c r="Q4308" i="3"/>
  <c r="Q4309" i="3"/>
  <c r="Q4310" i="3"/>
  <c r="Q4311" i="3"/>
  <c r="Q4312" i="3"/>
  <c r="Q4313" i="3"/>
  <c r="Q4314" i="3"/>
  <c r="Q4315" i="3"/>
  <c r="Q4316" i="3"/>
  <c r="Q4317" i="3"/>
  <c r="Q4318" i="3"/>
  <c r="Q4319" i="3"/>
  <c r="Q4320" i="3"/>
  <c r="Q4321" i="3"/>
  <c r="Q4322" i="3"/>
  <c r="Q4323" i="3"/>
  <c r="Q4324" i="3"/>
  <c r="Q4325" i="3"/>
  <c r="Q4326" i="3"/>
  <c r="Q4327" i="3"/>
  <c r="Q4328" i="3"/>
  <c r="Q4329" i="3"/>
  <c r="Q4330" i="3"/>
  <c r="Q4331" i="3"/>
  <c r="Q4332" i="3"/>
  <c r="Q4333" i="3"/>
  <c r="Q4334" i="3"/>
  <c r="Q4335" i="3"/>
  <c r="Q4336" i="3"/>
  <c r="Q4337" i="3"/>
  <c r="Q4338" i="3"/>
  <c r="Q4339" i="3"/>
  <c r="Q4340" i="3"/>
  <c r="Q4341" i="3"/>
  <c r="Q4342" i="3"/>
  <c r="Q4343" i="3"/>
  <c r="Q4344" i="3"/>
  <c r="Q4345" i="3"/>
  <c r="Q4346" i="3"/>
  <c r="Q4347" i="3"/>
  <c r="Q4348" i="3"/>
  <c r="Q4349" i="3"/>
  <c r="Q4350" i="3"/>
  <c r="Q4351" i="3"/>
  <c r="Q4352" i="3"/>
  <c r="Q4353" i="3"/>
  <c r="Q4354" i="3"/>
  <c r="Q4355" i="3"/>
  <c r="Q4356" i="3"/>
  <c r="Q4357" i="3"/>
  <c r="Q4358" i="3"/>
  <c r="Q4359" i="3"/>
  <c r="Q4360" i="3"/>
  <c r="Q4361" i="3"/>
  <c r="Q4362" i="3"/>
  <c r="Q4363" i="3"/>
  <c r="Q4364" i="3"/>
  <c r="Q4365" i="3"/>
  <c r="Q4366" i="3"/>
  <c r="Q4367" i="3"/>
  <c r="Q4368" i="3"/>
  <c r="Q4369" i="3"/>
  <c r="Q4370" i="3"/>
  <c r="Q4371" i="3"/>
  <c r="Q4372" i="3"/>
  <c r="Q4373" i="3"/>
  <c r="Q4374" i="3"/>
  <c r="Q4375" i="3"/>
  <c r="Q4376" i="3"/>
  <c r="Q4377" i="3"/>
  <c r="Q4378" i="3"/>
  <c r="Q4379" i="3"/>
  <c r="Q4380" i="3"/>
  <c r="Q4381" i="3"/>
  <c r="Q4382" i="3"/>
  <c r="Q4383" i="3"/>
  <c r="Q4384" i="3"/>
  <c r="Q4385" i="3"/>
  <c r="Q4386" i="3"/>
  <c r="Q4387" i="3"/>
  <c r="Q4388" i="3"/>
  <c r="Q4389" i="3"/>
  <c r="Q4390" i="3"/>
  <c r="Q4391" i="3"/>
  <c r="Q4392" i="3"/>
  <c r="Q4393" i="3"/>
  <c r="Q4394" i="3"/>
  <c r="Q4395" i="3"/>
  <c r="Q4396" i="3"/>
  <c r="Q4397" i="3"/>
  <c r="Q4398" i="3"/>
  <c r="Q4399" i="3"/>
  <c r="Q4400" i="3"/>
  <c r="Q4401" i="3"/>
  <c r="Q4402" i="3"/>
  <c r="Q4403" i="3"/>
  <c r="Q4404" i="3"/>
  <c r="Q4405" i="3"/>
  <c r="Q4406" i="3"/>
  <c r="Q4407" i="3"/>
  <c r="Q4408" i="3"/>
  <c r="Q4409" i="3"/>
  <c r="Q4410" i="3"/>
  <c r="Q4411" i="3"/>
  <c r="Q4412" i="3"/>
  <c r="Q4413" i="3"/>
  <c r="Q4414" i="3"/>
  <c r="Q4415" i="3"/>
  <c r="Q4416" i="3"/>
  <c r="Q4417" i="3"/>
  <c r="Q4418" i="3"/>
  <c r="Q4419" i="3"/>
  <c r="Q4420" i="3"/>
  <c r="Q4421" i="3"/>
  <c r="Q4422" i="3"/>
  <c r="Q4423" i="3"/>
  <c r="Q4424" i="3"/>
  <c r="Q4425" i="3"/>
  <c r="Q4426" i="3"/>
  <c r="Q4427" i="3"/>
  <c r="Q4428" i="3"/>
  <c r="Q4429" i="3"/>
  <c r="Q4430" i="3"/>
  <c r="Q4431" i="3"/>
  <c r="Q4432" i="3"/>
  <c r="Q4433" i="3"/>
  <c r="Q4434" i="3"/>
  <c r="Q4435" i="3"/>
  <c r="Q4436" i="3"/>
  <c r="Q4437" i="3"/>
  <c r="Q4438" i="3"/>
  <c r="Q4439" i="3"/>
  <c r="Q4440" i="3"/>
  <c r="Q4441" i="3"/>
  <c r="Q4442" i="3"/>
  <c r="Q4443" i="3"/>
  <c r="Q4444" i="3"/>
  <c r="Q4445" i="3"/>
  <c r="Q4446" i="3"/>
  <c r="Q4447" i="3"/>
  <c r="Q4448" i="3"/>
  <c r="Q4449" i="3"/>
  <c r="Q4450" i="3"/>
  <c r="Q4451" i="3"/>
  <c r="Q4452" i="3"/>
  <c r="Q4453" i="3"/>
  <c r="Q4454" i="3"/>
  <c r="Q4455" i="3"/>
  <c r="Q4456" i="3"/>
  <c r="Q4457" i="3"/>
  <c r="Q4458" i="3"/>
  <c r="Q4459" i="3"/>
  <c r="Q4460" i="3"/>
  <c r="Q4461" i="3"/>
  <c r="Q4462" i="3"/>
  <c r="Q4463" i="3"/>
  <c r="Q4464" i="3"/>
  <c r="Q4465" i="3"/>
  <c r="Q4466" i="3"/>
  <c r="Q4467" i="3"/>
  <c r="Q4468" i="3"/>
  <c r="Q4469" i="3"/>
  <c r="Q4470" i="3"/>
  <c r="Q4471" i="3"/>
  <c r="Q4472" i="3"/>
  <c r="Q4473" i="3"/>
  <c r="Q4474" i="3"/>
  <c r="Q4475" i="3"/>
  <c r="Q4476" i="3"/>
  <c r="Q4477" i="3"/>
  <c r="Q4478" i="3"/>
  <c r="Q4479" i="3"/>
  <c r="Q4480" i="3"/>
  <c r="Q4481" i="3"/>
  <c r="Q4482" i="3"/>
  <c r="Q4483" i="3"/>
  <c r="Q4484" i="3"/>
  <c r="Q4485" i="3"/>
  <c r="Q4486" i="3"/>
  <c r="Q4487" i="3"/>
  <c r="Q4488" i="3"/>
  <c r="Q4489" i="3"/>
  <c r="Q4490" i="3"/>
  <c r="Q4491" i="3"/>
  <c r="Q4492" i="3"/>
  <c r="Q4493" i="3"/>
  <c r="Q4494" i="3"/>
  <c r="Q4495" i="3"/>
  <c r="Q4496" i="3"/>
  <c r="Q4497" i="3"/>
  <c r="Q4498" i="3"/>
  <c r="Q4499" i="3"/>
  <c r="Q4500" i="3"/>
  <c r="Q4501" i="3"/>
  <c r="Q4502" i="3"/>
  <c r="Q4503" i="3"/>
  <c r="Q4504" i="3"/>
  <c r="Q4505" i="3"/>
  <c r="Q4506" i="3"/>
  <c r="Q4507" i="3"/>
  <c r="Q4508" i="3"/>
  <c r="Q4509" i="3"/>
  <c r="Q4510" i="3"/>
  <c r="Q4511" i="3"/>
  <c r="Q4512" i="3"/>
  <c r="Q4513" i="3"/>
  <c r="Q4514" i="3"/>
  <c r="Q4515" i="3"/>
  <c r="Q4516" i="3"/>
  <c r="Q4517" i="3"/>
  <c r="Q4518" i="3"/>
  <c r="Q4519" i="3"/>
  <c r="Q4520" i="3"/>
  <c r="Q4521" i="3"/>
  <c r="Q4522" i="3"/>
  <c r="Q4523" i="3"/>
  <c r="Q4524" i="3"/>
  <c r="Q4525" i="3"/>
  <c r="Q4526" i="3"/>
  <c r="Q4527" i="3"/>
  <c r="Q4528" i="3"/>
  <c r="Q4529" i="3"/>
  <c r="Q4530" i="3"/>
  <c r="Q4531" i="3"/>
  <c r="Q4532" i="3"/>
  <c r="Q4533" i="3"/>
  <c r="Q4534" i="3"/>
  <c r="Q4535" i="3"/>
  <c r="Q4536" i="3"/>
  <c r="Q4537" i="3"/>
  <c r="Q4538" i="3"/>
  <c r="Q4539" i="3"/>
  <c r="Q4540" i="3"/>
  <c r="Q4541" i="3"/>
  <c r="Q4542" i="3"/>
  <c r="Q4543" i="3"/>
  <c r="Q4544" i="3"/>
  <c r="Q4545" i="3"/>
  <c r="Q4546" i="3"/>
  <c r="Q4547" i="3"/>
  <c r="Q4548" i="3"/>
  <c r="Q4549" i="3"/>
  <c r="Q4550" i="3"/>
  <c r="Q4551" i="3"/>
  <c r="Q4552" i="3"/>
  <c r="Q4553" i="3"/>
  <c r="Q4554" i="3"/>
  <c r="Q4555" i="3"/>
  <c r="Q4556" i="3"/>
  <c r="Q4557" i="3"/>
  <c r="Q4558" i="3"/>
  <c r="Q4559" i="3"/>
  <c r="Q4560" i="3"/>
  <c r="Q4561" i="3"/>
  <c r="Q4562" i="3"/>
  <c r="Q4563" i="3"/>
  <c r="Q4564" i="3"/>
  <c r="Q4565" i="3"/>
  <c r="Q4566" i="3"/>
  <c r="Q4567" i="3"/>
  <c r="Q4568" i="3"/>
  <c r="Q4569" i="3"/>
  <c r="Q4570" i="3"/>
  <c r="Q4571" i="3"/>
  <c r="Q4572" i="3"/>
  <c r="Q4573" i="3"/>
  <c r="Q4574" i="3"/>
  <c r="Q4575" i="3"/>
  <c r="Q4576" i="3"/>
  <c r="Q4577" i="3"/>
  <c r="Q4578" i="3"/>
  <c r="Q4579" i="3"/>
  <c r="Q4580" i="3"/>
  <c r="Q4581" i="3"/>
  <c r="Q4582" i="3"/>
  <c r="Q4583" i="3"/>
  <c r="Q4584" i="3"/>
  <c r="Q4585" i="3"/>
  <c r="Q4586" i="3"/>
  <c r="Q4587" i="3"/>
  <c r="Q4588" i="3"/>
  <c r="Q4589" i="3"/>
  <c r="Q4590" i="3"/>
  <c r="Q4591" i="3"/>
  <c r="Q4592" i="3"/>
  <c r="Q4593" i="3"/>
  <c r="Q4594" i="3"/>
  <c r="Q4595" i="3"/>
  <c r="Q4596" i="3"/>
  <c r="Q4597" i="3"/>
  <c r="Q4598" i="3"/>
  <c r="Q4599" i="3"/>
  <c r="Q4600" i="3"/>
  <c r="Q4601" i="3"/>
  <c r="Q4602" i="3"/>
  <c r="Q4603" i="3"/>
  <c r="Q4604" i="3"/>
  <c r="Q4605" i="3"/>
  <c r="Q4606" i="3"/>
  <c r="Q4607" i="3"/>
  <c r="Q4608" i="3"/>
  <c r="Q4609" i="3"/>
  <c r="Q4610" i="3"/>
  <c r="Q4611" i="3"/>
  <c r="Q4612" i="3"/>
  <c r="Q4613" i="3"/>
  <c r="Q4614" i="3"/>
  <c r="Q4615" i="3"/>
  <c r="Q4616" i="3"/>
  <c r="Q4617" i="3"/>
  <c r="Q4618" i="3"/>
  <c r="Q4619" i="3"/>
  <c r="Q4620" i="3"/>
  <c r="Q4621" i="3"/>
  <c r="Q4622" i="3"/>
  <c r="Q4623" i="3"/>
  <c r="Q4624" i="3"/>
  <c r="Q4625" i="3"/>
  <c r="Q4626" i="3"/>
  <c r="Q4627" i="3"/>
  <c r="Q4628" i="3"/>
  <c r="Q4629" i="3"/>
  <c r="Q4630" i="3"/>
  <c r="Q4631" i="3"/>
  <c r="Q4632" i="3"/>
  <c r="Q4633" i="3"/>
  <c r="Q4634" i="3"/>
  <c r="Q4635" i="3"/>
  <c r="Q4636" i="3"/>
  <c r="Q4637" i="3"/>
  <c r="Q4638" i="3"/>
  <c r="Q4639" i="3"/>
  <c r="Q4640" i="3"/>
  <c r="Q4641" i="3"/>
  <c r="Q4642" i="3"/>
  <c r="Q4643" i="3"/>
  <c r="Q4644" i="3"/>
  <c r="Q4645" i="3"/>
  <c r="Q4646" i="3"/>
  <c r="Q4647" i="3"/>
  <c r="Q4648" i="3"/>
  <c r="Q4649" i="3"/>
  <c r="Q4650" i="3"/>
  <c r="Q4651" i="3"/>
  <c r="Q4652" i="3"/>
  <c r="Q4653" i="3"/>
  <c r="Q4654" i="3"/>
  <c r="Q4655" i="3"/>
  <c r="Q4656" i="3"/>
  <c r="Q4657" i="3"/>
  <c r="Q4658" i="3"/>
  <c r="Q4659" i="3"/>
  <c r="Q4660" i="3"/>
  <c r="Q4661" i="3"/>
  <c r="Q4662" i="3"/>
  <c r="Q4663" i="3"/>
  <c r="Q4664" i="3"/>
  <c r="Q4665" i="3"/>
  <c r="Q4666" i="3"/>
  <c r="Q4667" i="3"/>
  <c r="Q4668" i="3"/>
  <c r="Q4669" i="3"/>
  <c r="Q4670" i="3"/>
  <c r="Q4671" i="3"/>
  <c r="Q4672" i="3"/>
  <c r="Q4673" i="3"/>
  <c r="Q4674" i="3"/>
  <c r="Q4675" i="3"/>
  <c r="Q4676" i="3"/>
  <c r="Q4677" i="3"/>
  <c r="Q4678" i="3"/>
  <c r="Q4679" i="3"/>
  <c r="Q4680" i="3"/>
  <c r="Q4681" i="3"/>
  <c r="Q4682" i="3"/>
  <c r="Q4683" i="3"/>
  <c r="Q4684" i="3"/>
  <c r="Q4685" i="3"/>
  <c r="Q4686" i="3"/>
  <c r="Q4687" i="3"/>
  <c r="Q4688" i="3"/>
  <c r="Q4689" i="3"/>
  <c r="Q4690" i="3"/>
  <c r="Q4691" i="3"/>
  <c r="Q4692" i="3"/>
  <c r="Q4693" i="3"/>
  <c r="Q4694" i="3"/>
  <c r="Q4695" i="3"/>
  <c r="Q4696" i="3"/>
  <c r="Q4697" i="3"/>
  <c r="Q4698" i="3"/>
  <c r="Q4699" i="3"/>
  <c r="Q4700" i="3"/>
  <c r="Q4701" i="3"/>
  <c r="Q4702" i="3"/>
  <c r="Q4703" i="3"/>
  <c r="Q4704" i="3"/>
  <c r="Q4705" i="3"/>
  <c r="Q4706" i="3"/>
  <c r="Q4707" i="3"/>
  <c r="Q4708" i="3"/>
  <c r="Q4709" i="3"/>
  <c r="Q4710" i="3"/>
  <c r="Q4711" i="3"/>
  <c r="Q4712" i="3"/>
  <c r="Q4713" i="3"/>
  <c r="Q4714" i="3"/>
  <c r="Q4715" i="3"/>
  <c r="Q4716" i="3"/>
  <c r="Q4717" i="3"/>
  <c r="Q4718" i="3"/>
  <c r="Q4719" i="3"/>
  <c r="Q4720" i="3"/>
  <c r="Q4721" i="3"/>
  <c r="Q4722" i="3"/>
  <c r="Q4723" i="3"/>
  <c r="Q4724" i="3"/>
  <c r="Q4725" i="3"/>
  <c r="Q4726" i="3"/>
  <c r="Q4727" i="3"/>
  <c r="Q4728" i="3"/>
  <c r="Q4729" i="3"/>
  <c r="Q4730" i="3"/>
  <c r="Q4731" i="3"/>
  <c r="Q4732" i="3"/>
  <c r="Q4733" i="3"/>
  <c r="Q4734" i="3"/>
  <c r="Q4735" i="3"/>
  <c r="Q4736" i="3"/>
  <c r="Q4737" i="3"/>
  <c r="Q4738" i="3"/>
  <c r="Q4739" i="3"/>
  <c r="Q4740" i="3"/>
  <c r="Q4741" i="3"/>
  <c r="Q4742" i="3"/>
  <c r="Q4743" i="3"/>
  <c r="Q4744" i="3"/>
  <c r="Q4745" i="3"/>
  <c r="Q4746" i="3"/>
  <c r="Q4747" i="3"/>
  <c r="Q4748" i="3"/>
  <c r="Q4749" i="3"/>
  <c r="Q4750" i="3"/>
  <c r="Q4751" i="3"/>
  <c r="Q4752" i="3"/>
  <c r="Q4753" i="3"/>
  <c r="Q4754" i="3"/>
  <c r="Q4755" i="3"/>
  <c r="Q4756" i="3"/>
  <c r="Q4757" i="3"/>
  <c r="Q4758" i="3"/>
  <c r="Q4759" i="3"/>
  <c r="Q4760" i="3"/>
  <c r="Q4761" i="3"/>
  <c r="Q4762" i="3"/>
  <c r="Q4763" i="3"/>
  <c r="Q4764" i="3"/>
  <c r="Q4765" i="3"/>
  <c r="Q4766" i="3"/>
  <c r="Q4767" i="3"/>
  <c r="Q4768" i="3"/>
  <c r="Q4769" i="3"/>
  <c r="Q4770" i="3"/>
  <c r="Q4771" i="3"/>
  <c r="Q4772" i="3"/>
  <c r="Q4773" i="3"/>
  <c r="Q4774" i="3"/>
  <c r="Q4775" i="3"/>
  <c r="Q4776" i="3"/>
  <c r="Q4777" i="3"/>
  <c r="Q4778" i="3"/>
  <c r="Q4779" i="3"/>
  <c r="Q4780" i="3"/>
  <c r="Q4781" i="3"/>
  <c r="Q4782" i="3"/>
  <c r="Q4783" i="3"/>
  <c r="Q4784" i="3"/>
  <c r="Q4785" i="3"/>
  <c r="Q4786" i="3"/>
  <c r="Q4787" i="3"/>
  <c r="Q4788" i="3"/>
  <c r="Q4789" i="3"/>
  <c r="Q4790" i="3"/>
  <c r="Q4791" i="3"/>
  <c r="Q4792" i="3"/>
  <c r="Q4793" i="3"/>
  <c r="Q4794" i="3"/>
  <c r="Q4795" i="3"/>
  <c r="Q4796" i="3"/>
  <c r="Q4797" i="3"/>
  <c r="Q4798" i="3"/>
  <c r="M4" i="3"/>
  <c r="G9" i="2" s="1"/>
  <c r="M5" i="3"/>
  <c r="G10" i="2" s="1"/>
  <c r="M6" i="3"/>
  <c r="G11" i="2" s="1"/>
  <c r="M7" i="3"/>
  <c r="G12" i="2" s="1"/>
  <c r="M8" i="3"/>
  <c r="G13" i="2" s="1"/>
  <c r="M9" i="3"/>
  <c r="G14" i="2" s="1"/>
  <c r="M10" i="3"/>
  <c r="G15" i="2" s="1"/>
  <c r="M11" i="3"/>
  <c r="G16" i="2" s="1"/>
  <c r="M12" i="3"/>
  <c r="G17" i="2" s="1"/>
  <c r="M13" i="3"/>
  <c r="G18" i="2" s="1"/>
  <c r="M14" i="3"/>
  <c r="G19" i="2" s="1"/>
  <c r="M15" i="3"/>
  <c r="G20" i="2" s="1"/>
  <c r="M16" i="3"/>
  <c r="G21" i="2" s="1"/>
  <c r="M17" i="3"/>
  <c r="G22" i="2" s="1"/>
  <c r="M18" i="3"/>
  <c r="G23" i="2" s="1"/>
  <c r="M19" i="3"/>
  <c r="G24" i="2" s="1"/>
  <c r="M20" i="3"/>
  <c r="G25" i="2" s="1"/>
  <c r="M21" i="3"/>
  <c r="G26" i="2" s="1"/>
  <c r="M22" i="3"/>
  <c r="G27" i="2" s="1"/>
  <c r="M23" i="3"/>
  <c r="G28" i="2" s="1"/>
  <c r="M24" i="3"/>
  <c r="G29" i="2" s="1"/>
  <c r="M25" i="3"/>
  <c r="G30" i="2" s="1"/>
  <c r="M26" i="3"/>
  <c r="G31" i="2" s="1"/>
  <c r="M27" i="3"/>
  <c r="G32" i="2" s="1"/>
  <c r="M28" i="3"/>
  <c r="G33" i="2" s="1"/>
  <c r="M29" i="3"/>
  <c r="G34" i="2" s="1"/>
  <c r="M30" i="3"/>
  <c r="G35" i="2" s="1"/>
  <c r="M31" i="3"/>
  <c r="G36" i="2" s="1"/>
  <c r="M32" i="3"/>
  <c r="G37" i="2" s="1"/>
  <c r="M33" i="3"/>
  <c r="G38" i="2" s="1"/>
  <c r="M34" i="3"/>
  <c r="G39" i="2" s="1"/>
  <c r="M35" i="3"/>
  <c r="G40" i="2" s="1"/>
  <c r="M36" i="3"/>
  <c r="G41" i="2" s="1"/>
  <c r="M37" i="3"/>
  <c r="G42" i="2" s="1"/>
  <c r="M38" i="3"/>
  <c r="G43" i="2" s="1"/>
  <c r="M39" i="3"/>
  <c r="G44" i="2" s="1"/>
  <c r="M40" i="3"/>
  <c r="G45" i="2" s="1"/>
  <c r="M41" i="3"/>
  <c r="G46" i="2" s="1"/>
  <c r="M42" i="3"/>
  <c r="G47" i="2" s="1"/>
  <c r="M43" i="3"/>
  <c r="G48" i="2" s="1"/>
  <c r="M44" i="3"/>
  <c r="G49" i="2" s="1"/>
  <c r="M45" i="3"/>
  <c r="G50" i="2" s="1"/>
  <c r="M46" i="3"/>
  <c r="G51" i="2" s="1"/>
  <c r="M47" i="3"/>
  <c r="G52" i="2" s="1"/>
  <c r="M48" i="3"/>
  <c r="G53" i="2" s="1"/>
  <c r="M49" i="3"/>
  <c r="G54" i="2" s="1"/>
  <c r="M50" i="3"/>
  <c r="G55" i="2" s="1"/>
  <c r="M51" i="3"/>
  <c r="G56" i="2" s="1"/>
  <c r="M52" i="3"/>
  <c r="G57" i="2" s="1"/>
  <c r="M53" i="3"/>
  <c r="G58" i="2" s="1"/>
  <c r="M54" i="3"/>
  <c r="M55" i="3"/>
  <c r="G60" i="2" s="1"/>
  <c r="M56" i="3"/>
  <c r="G61" i="2" s="1"/>
  <c r="M57" i="3"/>
  <c r="G62" i="2" s="1"/>
  <c r="M58" i="3"/>
  <c r="G63" i="2" s="1"/>
  <c r="M59" i="3"/>
  <c r="G64" i="2" s="1"/>
  <c r="M60" i="3"/>
  <c r="G65" i="2" s="1"/>
  <c r="M61" i="3"/>
  <c r="G66" i="2" s="1"/>
  <c r="M62" i="3"/>
  <c r="G67" i="2" s="1"/>
  <c r="M63" i="3"/>
  <c r="G68" i="2" s="1"/>
  <c r="M64" i="3"/>
  <c r="G69" i="2" s="1"/>
  <c r="M65" i="3"/>
  <c r="G70" i="2" s="1"/>
  <c r="M66" i="3"/>
  <c r="M67" i="3"/>
  <c r="G72" i="2" s="1"/>
  <c r="M68" i="3"/>
  <c r="G73" i="2" s="1"/>
  <c r="M69" i="3"/>
  <c r="M70" i="3"/>
  <c r="G75" i="2" s="1"/>
  <c r="M71" i="3"/>
  <c r="G76" i="2" s="1"/>
  <c r="M72" i="3"/>
  <c r="G77" i="2" s="1"/>
  <c r="M73" i="3"/>
  <c r="G78" i="2" s="1"/>
  <c r="M74" i="3"/>
  <c r="G79" i="2" s="1"/>
  <c r="M75" i="3"/>
  <c r="G80" i="2" s="1"/>
  <c r="M76" i="3"/>
  <c r="G81" i="2" s="1"/>
  <c r="M77" i="3"/>
  <c r="G82" i="2" s="1"/>
  <c r="M78" i="3"/>
  <c r="G83" i="2" s="1"/>
  <c r="M79" i="3"/>
  <c r="G84" i="2" s="1"/>
  <c r="M80" i="3"/>
  <c r="G85" i="2" s="1"/>
  <c r="M81" i="3"/>
  <c r="G86" i="2" s="1"/>
  <c r="M82" i="3"/>
  <c r="G87" i="2" s="1"/>
  <c r="M83" i="3"/>
  <c r="G88" i="2" s="1"/>
  <c r="M84" i="3"/>
  <c r="G89" i="2" s="1"/>
  <c r="M85" i="3"/>
  <c r="G90" i="2" s="1"/>
  <c r="M86" i="3"/>
  <c r="G91" i="2" s="1"/>
  <c r="M87" i="3"/>
  <c r="G92" i="2" s="1"/>
  <c r="M88" i="3"/>
  <c r="G93" i="2" s="1"/>
  <c r="M89" i="3"/>
  <c r="G94" i="2" s="1"/>
  <c r="M90" i="3"/>
  <c r="G95" i="2" s="1"/>
  <c r="M91" i="3"/>
  <c r="G96" i="2" s="1"/>
  <c r="M92" i="3"/>
  <c r="G97" i="2" s="1"/>
  <c r="M93" i="3"/>
  <c r="G98" i="2" s="1"/>
  <c r="M94" i="3"/>
  <c r="G99" i="2" s="1"/>
  <c r="M95" i="3"/>
  <c r="G100" i="2" s="1"/>
  <c r="M96" i="3"/>
  <c r="G101" i="2" s="1"/>
  <c r="M97" i="3"/>
  <c r="G102" i="2" s="1"/>
  <c r="M98" i="3"/>
  <c r="G103" i="2" s="1"/>
  <c r="M99" i="3"/>
  <c r="G104" i="2" s="1"/>
  <c r="M100" i="3"/>
  <c r="G105" i="2" s="1"/>
  <c r="M101" i="3"/>
  <c r="G106" i="2" s="1"/>
  <c r="M102" i="3"/>
  <c r="G107" i="2" s="1"/>
  <c r="M103" i="3"/>
  <c r="G108" i="2" s="1"/>
  <c r="M104" i="3"/>
  <c r="G109" i="2" s="1"/>
  <c r="M105" i="3"/>
  <c r="G110" i="2" s="1"/>
  <c r="M106" i="3"/>
  <c r="G111" i="2" s="1"/>
  <c r="M3" i="3"/>
  <c r="M114" i="3" l="1"/>
  <c r="M112" i="3"/>
  <c r="M115" i="3"/>
  <c r="G71" i="2"/>
  <c r="G74" i="2"/>
  <c r="M111" i="3"/>
  <c r="G8" i="2"/>
  <c r="G59" i="2"/>
  <c r="M113" i="3"/>
  <c r="I4" i="3"/>
  <c r="C9" i="2" s="1"/>
  <c r="I5" i="3"/>
  <c r="C10" i="2" s="1"/>
  <c r="I6" i="3"/>
  <c r="C11" i="2" s="1"/>
  <c r="I7" i="3"/>
  <c r="C12" i="2" s="1"/>
  <c r="I8" i="3"/>
  <c r="C13" i="2" s="1"/>
  <c r="I9" i="3"/>
  <c r="C14" i="2" s="1"/>
  <c r="I10" i="3"/>
  <c r="C15" i="2" s="1"/>
  <c r="I11" i="3"/>
  <c r="C16" i="2" s="1"/>
  <c r="I12" i="3"/>
  <c r="C17" i="2" s="1"/>
  <c r="I13" i="3"/>
  <c r="C18" i="2" s="1"/>
  <c r="I14" i="3"/>
  <c r="C19" i="2" s="1"/>
  <c r="I15" i="3"/>
  <c r="C20" i="2" s="1"/>
  <c r="I16" i="3"/>
  <c r="C21" i="2" s="1"/>
  <c r="I17" i="3"/>
  <c r="C22" i="2" s="1"/>
  <c r="I18" i="3"/>
  <c r="C23" i="2" s="1"/>
  <c r="I19" i="3"/>
  <c r="C24" i="2" s="1"/>
  <c r="I20" i="3"/>
  <c r="C25" i="2" s="1"/>
  <c r="I21" i="3"/>
  <c r="C26" i="2" s="1"/>
  <c r="I22" i="3"/>
  <c r="C27" i="2" s="1"/>
  <c r="I23" i="3"/>
  <c r="C28" i="2" s="1"/>
  <c r="I24" i="3"/>
  <c r="C29" i="2" s="1"/>
  <c r="I25" i="3"/>
  <c r="C30" i="2" s="1"/>
  <c r="I26" i="3"/>
  <c r="C31" i="2" s="1"/>
  <c r="I27" i="3"/>
  <c r="C32" i="2" s="1"/>
  <c r="I28" i="3"/>
  <c r="C33" i="2" s="1"/>
  <c r="I29" i="3"/>
  <c r="C34" i="2" s="1"/>
  <c r="I30" i="3"/>
  <c r="C35" i="2" s="1"/>
  <c r="I31" i="3"/>
  <c r="C36" i="2" s="1"/>
  <c r="I32" i="3"/>
  <c r="C37" i="2" s="1"/>
  <c r="I33" i="3"/>
  <c r="C38" i="2" s="1"/>
  <c r="I34" i="3"/>
  <c r="C39" i="2" s="1"/>
  <c r="I35" i="3"/>
  <c r="C40" i="2" s="1"/>
  <c r="I36" i="3"/>
  <c r="C41" i="2" s="1"/>
  <c r="I37" i="3"/>
  <c r="C42" i="2" s="1"/>
  <c r="I38" i="3"/>
  <c r="C43" i="2" s="1"/>
  <c r="I39" i="3"/>
  <c r="C44" i="2" s="1"/>
  <c r="I40" i="3"/>
  <c r="C45" i="2" s="1"/>
  <c r="I41" i="3"/>
  <c r="C46" i="2" s="1"/>
  <c r="I42" i="3"/>
  <c r="C47" i="2" s="1"/>
  <c r="I43" i="3"/>
  <c r="C48" i="2" s="1"/>
  <c r="I44" i="3"/>
  <c r="C49" i="2" s="1"/>
  <c r="I45" i="3"/>
  <c r="C50" i="2" s="1"/>
  <c r="I46" i="3"/>
  <c r="C51" i="2" s="1"/>
  <c r="I47" i="3"/>
  <c r="C52" i="2" s="1"/>
  <c r="I48" i="3"/>
  <c r="C53" i="2" s="1"/>
  <c r="I49" i="3"/>
  <c r="C54" i="2" s="1"/>
  <c r="I50" i="3"/>
  <c r="C55" i="2" s="1"/>
  <c r="I51" i="3"/>
  <c r="C56" i="2" s="1"/>
  <c r="I52" i="3"/>
  <c r="C57" i="2" s="1"/>
  <c r="I53" i="3"/>
  <c r="C58" i="2" s="1"/>
  <c r="I54" i="3"/>
  <c r="C59" i="2" s="1"/>
  <c r="I55" i="3"/>
  <c r="C60" i="2" s="1"/>
  <c r="I56" i="3"/>
  <c r="C61" i="2" s="1"/>
  <c r="I57" i="3"/>
  <c r="C62" i="2" s="1"/>
  <c r="I58" i="3"/>
  <c r="C63" i="2" s="1"/>
  <c r="I59" i="3"/>
  <c r="C64" i="2" s="1"/>
  <c r="I60" i="3"/>
  <c r="C65" i="2" s="1"/>
  <c r="I61" i="3"/>
  <c r="C66" i="2" s="1"/>
  <c r="I62" i="3"/>
  <c r="C67" i="2" s="1"/>
  <c r="I63" i="3"/>
  <c r="C68" i="2" s="1"/>
  <c r="I64" i="3"/>
  <c r="C69" i="2" s="1"/>
  <c r="I65" i="3"/>
  <c r="C70" i="2" s="1"/>
  <c r="I66" i="3"/>
  <c r="C71" i="2" s="1"/>
  <c r="I67" i="3"/>
  <c r="C72" i="2" s="1"/>
  <c r="I68" i="3"/>
  <c r="C73" i="2" s="1"/>
  <c r="I69" i="3"/>
  <c r="C74" i="2" s="1"/>
  <c r="I70" i="3"/>
  <c r="C75" i="2" s="1"/>
  <c r="I71" i="3"/>
  <c r="C76" i="2" s="1"/>
  <c r="I72" i="3"/>
  <c r="C77" i="2" s="1"/>
  <c r="I73" i="3"/>
  <c r="C78" i="2" s="1"/>
  <c r="I74" i="3"/>
  <c r="C79" i="2" s="1"/>
  <c r="I75" i="3"/>
  <c r="C80" i="2" s="1"/>
  <c r="I76" i="3"/>
  <c r="C81" i="2" s="1"/>
  <c r="I77" i="3"/>
  <c r="C82" i="2" s="1"/>
  <c r="I78" i="3"/>
  <c r="C83" i="2" s="1"/>
  <c r="I79" i="3"/>
  <c r="C84" i="2" s="1"/>
  <c r="I80" i="3"/>
  <c r="C85" i="2" s="1"/>
  <c r="I81" i="3"/>
  <c r="C86" i="2" s="1"/>
  <c r="I82" i="3"/>
  <c r="C87" i="2" s="1"/>
  <c r="I83" i="3"/>
  <c r="C88" i="2" s="1"/>
  <c r="I84" i="3"/>
  <c r="C89" i="2" s="1"/>
  <c r="I85" i="3"/>
  <c r="C90" i="2" s="1"/>
  <c r="I86" i="3"/>
  <c r="C91" i="2" s="1"/>
  <c r="I87" i="3"/>
  <c r="C92" i="2" s="1"/>
  <c r="I88" i="3"/>
  <c r="C93" i="2" s="1"/>
  <c r="I89" i="3"/>
  <c r="C94" i="2" s="1"/>
  <c r="I90" i="3"/>
  <c r="C95" i="2" s="1"/>
  <c r="I91" i="3"/>
  <c r="C96" i="2" s="1"/>
  <c r="I92" i="3"/>
  <c r="C97" i="2" s="1"/>
  <c r="I93" i="3"/>
  <c r="C98" i="2" s="1"/>
  <c r="I94" i="3"/>
  <c r="C99" i="2" s="1"/>
  <c r="I95" i="3"/>
  <c r="C100" i="2" s="1"/>
  <c r="I96" i="3"/>
  <c r="C101" i="2" s="1"/>
  <c r="I97" i="3"/>
  <c r="C102" i="2" s="1"/>
  <c r="I98" i="3"/>
  <c r="C103" i="2" s="1"/>
  <c r="I99" i="3"/>
  <c r="C104" i="2" s="1"/>
  <c r="I100" i="3"/>
  <c r="C105" i="2" s="1"/>
  <c r="I101" i="3"/>
  <c r="C106" i="2" s="1"/>
  <c r="I102" i="3"/>
  <c r="C107" i="2" s="1"/>
  <c r="I103" i="3"/>
  <c r="C108" i="2" s="1"/>
  <c r="I104" i="3"/>
  <c r="C109" i="2" s="1"/>
  <c r="I105" i="3"/>
  <c r="C110" i="2" s="1"/>
  <c r="I106" i="3"/>
  <c r="C111" i="2" s="1"/>
  <c r="I3" i="3"/>
  <c r="G117" i="2"/>
  <c r="G118" i="2"/>
  <c r="G119" i="2"/>
  <c r="G120" i="2"/>
  <c r="A4617" i="3"/>
  <c r="A4618" i="3"/>
  <c r="A4619" i="3"/>
  <c r="A4620" i="3"/>
  <c r="A4621" i="3"/>
  <c r="A4622" i="3"/>
  <c r="A4623" i="3"/>
  <c r="A4624" i="3"/>
  <c r="A4625" i="3"/>
  <c r="A4626" i="3"/>
  <c r="A4627" i="3"/>
  <c r="A4628" i="3"/>
  <c r="A4629" i="3"/>
  <c r="A4630" i="3"/>
  <c r="A4631" i="3"/>
  <c r="A4632" i="3"/>
  <c r="A4633" i="3"/>
  <c r="A4634" i="3"/>
  <c r="A4635" i="3"/>
  <c r="A4636" i="3"/>
  <c r="A4637" i="3"/>
  <c r="A4638" i="3"/>
  <c r="A4639" i="3"/>
  <c r="A4640" i="3"/>
  <c r="A4641" i="3"/>
  <c r="A4642" i="3"/>
  <c r="A4643" i="3"/>
  <c r="A4644" i="3"/>
  <c r="A4645" i="3"/>
  <c r="A4646" i="3"/>
  <c r="A4647" i="3"/>
  <c r="A4648" i="3"/>
  <c r="A4649" i="3"/>
  <c r="A4650" i="3"/>
  <c r="A4651" i="3"/>
  <c r="A4652" i="3"/>
  <c r="A4653" i="3"/>
  <c r="A4654" i="3"/>
  <c r="A4655" i="3"/>
  <c r="A4656" i="3"/>
  <c r="A4657" i="3"/>
  <c r="A4658" i="3"/>
  <c r="A4659" i="3"/>
  <c r="A4660" i="3"/>
  <c r="A4661" i="3"/>
  <c r="A4662" i="3"/>
  <c r="A4663" i="3"/>
  <c r="A4664" i="3"/>
  <c r="A4665" i="3"/>
  <c r="A4666" i="3"/>
  <c r="A4667" i="3"/>
  <c r="A4668" i="3"/>
  <c r="A4669" i="3"/>
  <c r="A4670" i="3"/>
  <c r="A4671" i="3"/>
  <c r="A4672" i="3"/>
  <c r="A4673" i="3"/>
  <c r="A4674" i="3"/>
  <c r="A4675" i="3"/>
  <c r="A4676" i="3"/>
  <c r="A4677" i="3"/>
  <c r="A4678" i="3"/>
  <c r="A4679" i="3"/>
  <c r="A4680" i="3"/>
  <c r="A4681" i="3"/>
  <c r="A4682" i="3"/>
  <c r="A4683" i="3"/>
  <c r="A4684" i="3"/>
  <c r="A4685" i="3"/>
  <c r="A4686" i="3"/>
  <c r="A4687" i="3"/>
  <c r="A4688" i="3"/>
  <c r="A4689" i="3"/>
  <c r="A4690" i="3"/>
  <c r="A4691" i="3"/>
  <c r="A4692" i="3"/>
  <c r="A4693" i="3"/>
  <c r="A4694" i="3"/>
  <c r="A4695" i="3"/>
  <c r="A4696" i="3"/>
  <c r="A4697" i="3"/>
  <c r="A4698" i="3"/>
  <c r="A4699" i="3"/>
  <c r="A4700" i="3"/>
  <c r="A4701" i="3"/>
  <c r="A4702" i="3"/>
  <c r="A4703" i="3"/>
  <c r="A4704" i="3"/>
  <c r="A4705" i="3"/>
  <c r="A4706" i="3"/>
  <c r="A4707" i="3"/>
  <c r="A4708" i="3"/>
  <c r="A4709" i="3"/>
  <c r="A4710" i="3"/>
  <c r="A4711" i="3"/>
  <c r="A4712" i="3"/>
  <c r="A4713" i="3"/>
  <c r="A4714" i="3"/>
  <c r="A4715" i="3"/>
  <c r="A4716" i="3"/>
  <c r="A4717" i="3"/>
  <c r="A4718" i="3"/>
  <c r="A4719" i="3"/>
  <c r="A4720" i="3"/>
  <c r="A4721" i="3"/>
  <c r="A4722" i="3"/>
  <c r="A4723" i="3"/>
  <c r="A4724" i="3"/>
  <c r="A4725" i="3"/>
  <c r="A4726" i="3"/>
  <c r="A4727" i="3"/>
  <c r="A4728" i="3"/>
  <c r="A4729" i="3"/>
  <c r="A4730" i="3"/>
  <c r="A4731" i="3"/>
  <c r="A4732" i="3"/>
  <c r="A4733" i="3"/>
  <c r="A4734" i="3"/>
  <c r="A4735" i="3"/>
  <c r="A4736" i="3"/>
  <c r="A4737" i="3"/>
  <c r="A4738" i="3"/>
  <c r="A4739" i="3"/>
  <c r="A4740" i="3"/>
  <c r="A4741" i="3"/>
  <c r="A4742" i="3"/>
  <c r="A4743" i="3"/>
  <c r="A4744" i="3"/>
  <c r="A4745" i="3"/>
  <c r="A4746" i="3"/>
  <c r="A4747" i="3"/>
  <c r="A4748" i="3"/>
  <c r="A4749" i="3"/>
  <c r="A4750" i="3"/>
  <c r="A4751" i="3"/>
  <c r="A4752" i="3"/>
  <c r="A4753" i="3"/>
  <c r="A4754" i="3"/>
  <c r="A4755" i="3"/>
  <c r="A4756" i="3"/>
  <c r="A4757" i="3"/>
  <c r="A4758" i="3"/>
  <c r="A4759" i="3"/>
  <c r="A4760" i="3"/>
  <c r="A4761" i="3"/>
  <c r="A4762" i="3"/>
  <c r="A4763" i="3"/>
  <c r="A4764" i="3"/>
  <c r="A4765" i="3"/>
  <c r="A4766" i="3"/>
  <c r="A4767" i="3"/>
  <c r="A4768" i="3"/>
  <c r="A4769" i="3"/>
  <c r="A4770" i="3"/>
  <c r="A4771" i="3"/>
  <c r="A4772" i="3"/>
  <c r="A4773" i="3"/>
  <c r="A4774" i="3"/>
  <c r="A4775" i="3"/>
  <c r="A4776" i="3"/>
  <c r="A4777" i="3"/>
  <c r="A4778" i="3"/>
  <c r="A4779" i="3"/>
  <c r="A4780" i="3"/>
  <c r="A4781" i="3"/>
  <c r="A4782" i="3"/>
  <c r="A4783" i="3"/>
  <c r="A4784" i="3"/>
  <c r="A4785" i="3"/>
  <c r="A4786" i="3"/>
  <c r="A4787" i="3"/>
  <c r="A4788" i="3"/>
  <c r="A4789" i="3"/>
  <c r="A4790" i="3"/>
  <c r="A4791" i="3"/>
  <c r="A4792" i="3"/>
  <c r="A4793" i="3"/>
  <c r="A4794" i="3"/>
  <c r="A4795" i="3"/>
  <c r="A4796" i="3"/>
  <c r="A4797" i="3"/>
  <c r="A4798" i="3"/>
  <c r="B4617" i="3"/>
  <c r="B4618" i="3"/>
  <c r="B4619" i="3"/>
  <c r="B4620" i="3"/>
  <c r="B4621" i="3"/>
  <c r="B4622" i="3"/>
  <c r="B4623" i="3"/>
  <c r="B4624" i="3"/>
  <c r="B4625" i="3"/>
  <c r="B4626" i="3"/>
  <c r="B4627" i="3"/>
  <c r="B4628" i="3"/>
  <c r="B4629" i="3"/>
  <c r="B4630" i="3"/>
  <c r="B4631" i="3"/>
  <c r="B4632" i="3"/>
  <c r="B4633" i="3"/>
  <c r="B4634" i="3"/>
  <c r="B4635" i="3"/>
  <c r="B4636" i="3"/>
  <c r="B4637" i="3"/>
  <c r="B4638" i="3"/>
  <c r="B4639" i="3"/>
  <c r="B4640" i="3"/>
  <c r="B4641" i="3"/>
  <c r="B4642" i="3"/>
  <c r="B4643" i="3"/>
  <c r="B4644" i="3"/>
  <c r="B4645" i="3"/>
  <c r="B4646" i="3"/>
  <c r="B4647" i="3"/>
  <c r="B4648" i="3"/>
  <c r="B4649" i="3"/>
  <c r="B4650" i="3"/>
  <c r="B4651" i="3"/>
  <c r="B4652" i="3"/>
  <c r="B4653" i="3"/>
  <c r="B4654" i="3"/>
  <c r="B4655" i="3"/>
  <c r="B4656" i="3"/>
  <c r="B4657" i="3"/>
  <c r="B4658" i="3"/>
  <c r="B4659" i="3"/>
  <c r="B4660" i="3"/>
  <c r="B4661" i="3"/>
  <c r="B4662" i="3"/>
  <c r="B4663" i="3"/>
  <c r="B4664" i="3"/>
  <c r="B4665" i="3"/>
  <c r="B4666" i="3"/>
  <c r="B4667" i="3"/>
  <c r="B4668" i="3"/>
  <c r="B4669" i="3"/>
  <c r="B4670" i="3"/>
  <c r="B4671" i="3"/>
  <c r="B4672" i="3"/>
  <c r="B4673" i="3"/>
  <c r="B4674" i="3"/>
  <c r="B4675" i="3"/>
  <c r="B4676" i="3"/>
  <c r="B4677" i="3"/>
  <c r="B4678" i="3"/>
  <c r="B4679" i="3"/>
  <c r="B4680" i="3"/>
  <c r="B4681" i="3"/>
  <c r="B4682" i="3"/>
  <c r="B4683" i="3"/>
  <c r="B4684" i="3"/>
  <c r="B4685" i="3"/>
  <c r="B4686" i="3"/>
  <c r="B4687" i="3"/>
  <c r="B4688" i="3"/>
  <c r="B4689" i="3"/>
  <c r="B4690" i="3"/>
  <c r="B4691" i="3"/>
  <c r="B4692" i="3"/>
  <c r="B4693" i="3"/>
  <c r="B4694" i="3"/>
  <c r="B4695" i="3"/>
  <c r="B4696" i="3"/>
  <c r="B4697" i="3"/>
  <c r="B4698" i="3"/>
  <c r="B4699" i="3"/>
  <c r="B4700" i="3"/>
  <c r="B4701" i="3"/>
  <c r="B4702" i="3"/>
  <c r="B4703" i="3"/>
  <c r="B4704" i="3"/>
  <c r="B4705" i="3"/>
  <c r="B4706" i="3"/>
  <c r="B4707" i="3"/>
  <c r="B4708" i="3"/>
  <c r="B4709" i="3"/>
  <c r="B4710" i="3"/>
  <c r="B4711" i="3"/>
  <c r="B4712" i="3"/>
  <c r="B4713" i="3"/>
  <c r="B4714" i="3"/>
  <c r="B4715" i="3"/>
  <c r="B4716" i="3"/>
  <c r="B4717" i="3"/>
  <c r="B4718" i="3"/>
  <c r="B4719" i="3"/>
  <c r="B4720" i="3"/>
  <c r="B4721" i="3"/>
  <c r="B4722" i="3"/>
  <c r="B4723" i="3"/>
  <c r="B4724" i="3"/>
  <c r="B4725" i="3"/>
  <c r="B4726" i="3"/>
  <c r="B4727" i="3"/>
  <c r="B4728" i="3"/>
  <c r="B4729" i="3"/>
  <c r="B4730" i="3"/>
  <c r="B4731" i="3"/>
  <c r="B4732" i="3"/>
  <c r="B4733" i="3"/>
  <c r="B4734" i="3"/>
  <c r="B4735" i="3"/>
  <c r="B4736" i="3"/>
  <c r="B4737" i="3"/>
  <c r="B4738" i="3"/>
  <c r="B4739" i="3"/>
  <c r="B4740" i="3"/>
  <c r="B4741" i="3"/>
  <c r="B4742" i="3"/>
  <c r="B4743" i="3"/>
  <c r="B4744" i="3"/>
  <c r="B4745" i="3"/>
  <c r="B4746" i="3"/>
  <c r="B4747" i="3"/>
  <c r="B4748" i="3"/>
  <c r="B4749" i="3"/>
  <c r="B4750" i="3"/>
  <c r="B4751" i="3"/>
  <c r="B4752" i="3"/>
  <c r="B4753" i="3"/>
  <c r="B4754" i="3"/>
  <c r="B4755" i="3"/>
  <c r="B4756" i="3"/>
  <c r="B4757" i="3"/>
  <c r="B4758" i="3"/>
  <c r="B4759" i="3"/>
  <c r="B4760" i="3"/>
  <c r="B4761" i="3"/>
  <c r="B4762" i="3"/>
  <c r="B4763" i="3"/>
  <c r="B4764" i="3"/>
  <c r="B4765" i="3"/>
  <c r="B4766" i="3"/>
  <c r="B4767" i="3"/>
  <c r="B4768" i="3"/>
  <c r="B4769" i="3"/>
  <c r="B4770" i="3"/>
  <c r="B4771" i="3"/>
  <c r="B4772" i="3"/>
  <c r="B4773" i="3"/>
  <c r="B4774" i="3"/>
  <c r="B4775" i="3"/>
  <c r="B4776" i="3"/>
  <c r="B4777" i="3"/>
  <c r="B4778" i="3"/>
  <c r="B4779" i="3"/>
  <c r="B4780" i="3"/>
  <c r="B4781" i="3"/>
  <c r="B4782" i="3"/>
  <c r="B4783" i="3"/>
  <c r="B4784" i="3"/>
  <c r="B4785" i="3"/>
  <c r="B4786" i="3"/>
  <c r="B4787" i="3"/>
  <c r="B4788" i="3"/>
  <c r="B4789" i="3"/>
  <c r="B4790" i="3"/>
  <c r="B4791" i="3"/>
  <c r="B4792" i="3"/>
  <c r="B4793" i="3"/>
  <c r="B4794" i="3"/>
  <c r="B4795" i="3"/>
  <c r="B4796" i="3"/>
  <c r="B4797" i="3"/>
  <c r="B4798" i="3"/>
  <c r="J5099" i="3"/>
  <c r="K5099" i="3"/>
  <c r="L5099" i="3"/>
  <c r="M5099" i="3"/>
  <c r="N5099" i="3"/>
  <c r="I5099" i="3"/>
  <c r="A4357" i="3"/>
  <c r="A4358" i="3"/>
  <c r="A4359" i="3"/>
  <c r="A4360" i="3"/>
  <c r="A4361" i="3"/>
  <c r="A4362" i="3"/>
  <c r="A4363" i="3"/>
  <c r="A4364" i="3"/>
  <c r="A4365" i="3"/>
  <c r="A4366" i="3"/>
  <c r="A4367" i="3"/>
  <c r="A4368" i="3"/>
  <c r="A4369" i="3"/>
  <c r="A4370" i="3"/>
  <c r="A4371" i="3"/>
  <c r="A4372" i="3"/>
  <c r="A4373" i="3"/>
  <c r="A4374" i="3"/>
  <c r="A4375" i="3"/>
  <c r="A4376" i="3"/>
  <c r="A4377" i="3"/>
  <c r="A4378" i="3"/>
  <c r="A4379" i="3"/>
  <c r="A4380" i="3"/>
  <c r="A4381" i="3"/>
  <c r="A4382" i="3"/>
  <c r="A4383" i="3"/>
  <c r="A4384" i="3"/>
  <c r="A4385" i="3"/>
  <c r="A4386" i="3"/>
  <c r="A4387" i="3"/>
  <c r="A4388" i="3"/>
  <c r="A4389" i="3"/>
  <c r="A4390" i="3"/>
  <c r="A4391" i="3"/>
  <c r="A4392" i="3"/>
  <c r="A4393" i="3"/>
  <c r="A4394" i="3"/>
  <c r="A4395" i="3"/>
  <c r="A4396" i="3"/>
  <c r="A4397" i="3"/>
  <c r="A4398" i="3"/>
  <c r="A4399" i="3"/>
  <c r="A4400" i="3"/>
  <c r="A4401" i="3"/>
  <c r="A4402" i="3"/>
  <c r="A4403" i="3"/>
  <c r="A4404" i="3"/>
  <c r="A4405" i="3"/>
  <c r="A4406" i="3"/>
  <c r="A4407" i="3"/>
  <c r="A4408" i="3"/>
  <c r="A4409" i="3"/>
  <c r="A4410" i="3"/>
  <c r="A4411" i="3"/>
  <c r="A4412" i="3"/>
  <c r="A4413" i="3"/>
  <c r="A4414" i="3"/>
  <c r="A4415" i="3"/>
  <c r="A4416" i="3"/>
  <c r="A4417" i="3"/>
  <c r="A4418" i="3"/>
  <c r="A4419" i="3"/>
  <c r="A4420" i="3"/>
  <c r="A4421" i="3"/>
  <c r="A4422" i="3"/>
  <c r="A4423" i="3"/>
  <c r="A4424" i="3"/>
  <c r="A4425" i="3"/>
  <c r="A4426" i="3"/>
  <c r="A4427" i="3"/>
  <c r="A4428" i="3"/>
  <c r="A4429" i="3"/>
  <c r="A4430" i="3"/>
  <c r="A4431" i="3"/>
  <c r="A4432" i="3"/>
  <c r="A4433" i="3"/>
  <c r="A4434" i="3"/>
  <c r="A4435" i="3"/>
  <c r="A4436" i="3"/>
  <c r="A4437" i="3"/>
  <c r="A4438" i="3"/>
  <c r="A4439" i="3"/>
  <c r="A4440" i="3"/>
  <c r="A4441" i="3"/>
  <c r="A4442" i="3"/>
  <c r="A4443" i="3"/>
  <c r="A4444" i="3"/>
  <c r="A4445" i="3"/>
  <c r="A4446" i="3"/>
  <c r="A4447" i="3"/>
  <c r="A4448" i="3"/>
  <c r="A4449" i="3"/>
  <c r="A4450" i="3"/>
  <c r="A4451" i="3"/>
  <c r="A4452" i="3"/>
  <c r="A4453" i="3"/>
  <c r="A4454" i="3"/>
  <c r="A4455" i="3"/>
  <c r="A4456" i="3"/>
  <c r="A4457" i="3"/>
  <c r="A4458" i="3"/>
  <c r="A4459" i="3"/>
  <c r="A4460" i="3"/>
  <c r="A4461" i="3"/>
  <c r="A4462" i="3"/>
  <c r="A4463" i="3"/>
  <c r="A4464" i="3"/>
  <c r="A4465" i="3"/>
  <c r="A4466" i="3"/>
  <c r="A4467" i="3"/>
  <c r="A4468" i="3"/>
  <c r="A4469" i="3"/>
  <c r="A4470" i="3"/>
  <c r="A4471" i="3"/>
  <c r="A4472" i="3"/>
  <c r="A4473" i="3"/>
  <c r="A4474" i="3"/>
  <c r="A4475" i="3"/>
  <c r="A4476" i="3"/>
  <c r="A4477" i="3"/>
  <c r="A4478" i="3"/>
  <c r="A4479" i="3"/>
  <c r="A4480" i="3"/>
  <c r="A4481" i="3"/>
  <c r="A4482" i="3"/>
  <c r="A4483" i="3"/>
  <c r="A4484" i="3"/>
  <c r="A4485" i="3"/>
  <c r="A4486" i="3"/>
  <c r="A4487" i="3"/>
  <c r="A4488" i="3"/>
  <c r="A4489" i="3"/>
  <c r="A4490" i="3"/>
  <c r="A4491" i="3"/>
  <c r="A4492" i="3"/>
  <c r="A4493" i="3"/>
  <c r="A4494" i="3"/>
  <c r="A4495" i="3"/>
  <c r="A4496" i="3"/>
  <c r="A4497" i="3"/>
  <c r="A4498" i="3"/>
  <c r="A4499" i="3"/>
  <c r="A4500" i="3"/>
  <c r="A4501" i="3"/>
  <c r="A4502" i="3"/>
  <c r="A4503" i="3"/>
  <c r="A4504" i="3"/>
  <c r="A4505" i="3"/>
  <c r="A4506" i="3"/>
  <c r="A4507" i="3"/>
  <c r="A4508" i="3"/>
  <c r="A4509" i="3"/>
  <c r="A4510" i="3"/>
  <c r="A4511" i="3"/>
  <c r="A4512" i="3"/>
  <c r="A4513" i="3"/>
  <c r="A4514" i="3"/>
  <c r="A4515" i="3"/>
  <c r="A4516" i="3"/>
  <c r="A4517" i="3"/>
  <c r="A4518" i="3"/>
  <c r="A4519" i="3"/>
  <c r="A4520" i="3"/>
  <c r="A4521" i="3"/>
  <c r="A4522" i="3"/>
  <c r="A4523" i="3"/>
  <c r="A4524" i="3"/>
  <c r="A4525" i="3"/>
  <c r="A4526" i="3"/>
  <c r="A4527" i="3"/>
  <c r="A4528" i="3"/>
  <c r="A4529" i="3"/>
  <c r="A4530" i="3"/>
  <c r="A4531" i="3"/>
  <c r="A4532" i="3"/>
  <c r="A4533" i="3"/>
  <c r="A4534" i="3"/>
  <c r="A4535" i="3"/>
  <c r="A4536" i="3"/>
  <c r="A4537" i="3"/>
  <c r="A4538" i="3"/>
  <c r="A4539" i="3"/>
  <c r="A4540" i="3"/>
  <c r="A4541" i="3"/>
  <c r="A4542" i="3"/>
  <c r="A4543" i="3"/>
  <c r="A4544" i="3"/>
  <c r="A4545" i="3"/>
  <c r="A4546" i="3"/>
  <c r="A4547" i="3"/>
  <c r="A4548" i="3"/>
  <c r="A4549" i="3"/>
  <c r="A4550" i="3"/>
  <c r="A4551" i="3"/>
  <c r="A4552" i="3"/>
  <c r="A4553" i="3"/>
  <c r="A4554" i="3"/>
  <c r="A4555" i="3"/>
  <c r="A4556" i="3"/>
  <c r="A4557" i="3"/>
  <c r="A4558" i="3"/>
  <c r="A4559" i="3"/>
  <c r="A4560" i="3"/>
  <c r="A4561" i="3"/>
  <c r="A4562" i="3"/>
  <c r="A4563" i="3"/>
  <c r="A4564" i="3"/>
  <c r="A4565" i="3"/>
  <c r="A4566" i="3"/>
  <c r="A4567" i="3"/>
  <c r="A4568" i="3"/>
  <c r="A4569" i="3"/>
  <c r="A4570" i="3"/>
  <c r="A4571" i="3"/>
  <c r="A4572" i="3"/>
  <c r="A4573" i="3"/>
  <c r="A4574" i="3"/>
  <c r="A4575" i="3"/>
  <c r="A4576" i="3"/>
  <c r="A4577" i="3"/>
  <c r="A4578" i="3"/>
  <c r="A4579" i="3"/>
  <c r="A4580" i="3"/>
  <c r="A4581" i="3"/>
  <c r="A4582" i="3"/>
  <c r="A4583" i="3"/>
  <c r="A4584" i="3"/>
  <c r="A4585" i="3"/>
  <c r="A4586" i="3"/>
  <c r="A4587" i="3"/>
  <c r="A4588" i="3"/>
  <c r="A4589" i="3"/>
  <c r="A4590" i="3"/>
  <c r="A4591" i="3"/>
  <c r="A4592" i="3"/>
  <c r="A4593" i="3"/>
  <c r="A4594" i="3"/>
  <c r="A4595" i="3"/>
  <c r="A4596" i="3"/>
  <c r="A4597" i="3"/>
  <c r="A4598" i="3"/>
  <c r="A4599" i="3"/>
  <c r="A4600" i="3"/>
  <c r="A4601" i="3"/>
  <c r="A4602" i="3"/>
  <c r="A4603" i="3"/>
  <c r="A4604" i="3"/>
  <c r="A4605" i="3"/>
  <c r="A4606" i="3"/>
  <c r="A4607" i="3"/>
  <c r="A4608" i="3"/>
  <c r="A4609" i="3"/>
  <c r="A4610" i="3"/>
  <c r="A4611" i="3"/>
  <c r="A4612" i="3"/>
  <c r="A4613" i="3"/>
  <c r="A4614" i="3"/>
  <c r="A4615" i="3"/>
  <c r="A4616" i="3"/>
  <c r="B4357" i="3"/>
  <c r="B4358" i="3"/>
  <c r="B4359" i="3"/>
  <c r="B4360" i="3"/>
  <c r="B4361" i="3"/>
  <c r="B4362" i="3"/>
  <c r="B4363" i="3"/>
  <c r="B4364" i="3"/>
  <c r="B4365" i="3"/>
  <c r="B4366" i="3"/>
  <c r="B4367" i="3"/>
  <c r="B4368" i="3"/>
  <c r="B4369" i="3"/>
  <c r="B4370" i="3"/>
  <c r="B4371" i="3"/>
  <c r="B4372" i="3"/>
  <c r="B4373" i="3"/>
  <c r="B4374" i="3"/>
  <c r="B4375" i="3"/>
  <c r="B4376" i="3"/>
  <c r="B4377" i="3"/>
  <c r="B4378" i="3"/>
  <c r="B4379" i="3"/>
  <c r="B4380" i="3"/>
  <c r="B4381" i="3"/>
  <c r="B4382" i="3"/>
  <c r="B4383" i="3"/>
  <c r="B4384" i="3"/>
  <c r="B4385" i="3"/>
  <c r="B4386" i="3"/>
  <c r="B4387" i="3"/>
  <c r="B4388" i="3"/>
  <c r="B4389" i="3"/>
  <c r="B4390" i="3"/>
  <c r="B4391" i="3"/>
  <c r="B4392" i="3"/>
  <c r="B4393" i="3"/>
  <c r="B4394" i="3"/>
  <c r="B4395" i="3"/>
  <c r="B4396" i="3"/>
  <c r="B4397" i="3"/>
  <c r="B4398" i="3"/>
  <c r="B4399" i="3"/>
  <c r="B4400" i="3"/>
  <c r="B4401" i="3"/>
  <c r="B4402" i="3"/>
  <c r="B4403" i="3"/>
  <c r="B4404" i="3"/>
  <c r="B4405" i="3"/>
  <c r="B4406" i="3"/>
  <c r="B4407" i="3"/>
  <c r="B4408" i="3"/>
  <c r="B4409" i="3"/>
  <c r="B4410" i="3"/>
  <c r="B4411" i="3"/>
  <c r="B4412" i="3"/>
  <c r="B4413" i="3"/>
  <c r="B4414" i="3"/>
  <c r="B4415" i="3"/>
  <c r="B4416" i="3"/>
  <c r="B4417" i="3"/>
  <c r="B4418" i="3"/>
  <c r="B4419" i="3"/>
  <c r="B4420" i="3"/>
  <c r="B4421" i="3"/>
  <c r="B4422" i="3"/>
  <c r="B4423" i="3"/>
  <c r="B4424" i="3"/>
  <c r="B4425" i="3"/>
  <c r="B4426" i="3"/>
  <c r="B4427" i="3"/>
  <c r="B4428" i="3"/>
  <c r="B4429" i="3"/>
  <c r="B4430" i="3"/>
  <c r="B4431" i="3"/>
  <c r="B4432" i="3"/>
  <c r="B4433" i="3"/>
  <c r="B4434" i="3"/>
  <c r="B4435" i="3"/>
  <c r="B4436" i="3"/>
  <c r="B4437" i="3"/>
  <c r="B4438" i="3"/>
  <c r="B4439" i="3"/>
  <c r="B4440" i="3"/>
  <c r="B4441" i="3"/>
  <c r="B4442" i="3"/>
  <c r="B4443" i="3"/>
  <c r="B4444" i="3"/>
  <c r="B4445" i="3"/>
  <c r="B4446" i="3"/>
  <c r="B4447" i="3"/>
  <c r="B4448" i="3"/>
  <c r="B4449" i="3"/>
  <c r="B4450" i="3"/>
  <c r="B4451" i="3"/>
  <c r="B4452" i="3"/>
  <c r="B4453" i="3"/>
  <c r="B4454" i="3"/>
  <c r="B4455" i="3"/>
  <c r="B4456" i="3"/>
  <c r="B4457" i="3"/>
  <c r="B4458" i="3"/>
  <c r="B4459" i="3"/>
  <c r="B4460" i="3"/>
  <c r="B4461" i="3"/>
  <c r="B4462" i="3"/>
  <c r="B4463" i="3"/>
  <c r="B4464" i="3"/>
  <c r="B4465" i="3"/>
  <c r="B4466" i="3"/>
  <c r="B4467" i="3"/>
  <c r="B4468" i="3"/>
  <c r="B4469" i="3"/>
  <c r="B4470" i="3"/>
  <c r="B4471" i="3"/>
  <c r="B4472" i="3"/>
  <c r="B4473" i="3"/>
  <c r="B4474" i="3"/>
  <c r="B4475" i="3"/>
  <c r="B4476" i="3"/>
  <c r="B4477" i="3"/>
  <c r="B4478" i="3"/>
  <c r="B4479" i="3"/>
  <c r="B4480" i="3"/>
  <c r="B4481" i="3"/>
  <c r="B4482" i="3"/>
  <c r="B4483" i="3"/>
  <c r="B4484" i="3"/>
  <c r="B4485" i="3"/>
  <c r="B4486" i="3"/>
  <c r="B4487" i="3"/>
  <c r="B4488" i="3"/>
  <c r="B4489" i="3"/>
  <c r="B4490" i="3"/>
  <c r="B4491" i="3"/>
  <c r="B4492" i="3"/>
  <c r="B4493" i="3"/>
  <c r="B4494" i="3"/>
  <c r="B4495" i="3"/>
  <c r="B4496" i="3"/>
  <c r="B4497" i="3"/>
  <c r="B4498" i="3"/>
  <c r="B4499" i="3"/>
  <c r="B4500" i="3"/>
  <c r="B4501" i="3"/>
  <c r="B4502" i="3"/>
  <c r="B4503" i="3"/>
  <c r="B4504" i="3"/>
  <c r="B4505" i="3"/>
  <c r="B4506" i="3"/>
  <c r="B4507" i="3"/>
  <c r="B4508" i="3"/>
  <c r="B4509" i="3"/>
  <c r="B4510" i="3"/>
  <c r="B4511" i="3"/>
  <c r="B4512" i="3"/>
  <c r="B4513" i="3"/>
  <c r="B4514" i="3"/>
  <c r="B4515" i="3"/>
  <c r="B4516" i="3"/>
  <c r="B4517" i="3"/>
  <c r="B4518" i="3"/>
  <c r="B4519" i="3"/>
  <c r="B4520" i="3"/>
  <c r="B4521" i="3"/>
  <c r="B4522" i="3"/>
  <c r="B4523" i="3"/>
  <c r="B4524" i="3"/>
  <c r="B4525" i="3"/>
  <c r="B4526" i="3"/>
  <c r="B4527" i="3"/>
  <c r="B4528" i="3"/>
  <c r="B4529" i="3"/>
  <c r="B4530" i="3"/>
  <c r="B4531" i="3"/>
  <c r="B4532" i="3"/>
  <c r="B4533" i="3"/>
  <c r="B4534" i="3"/>
  <c r="B4535" i="3"/>
  <c r="B4536" i="3"/>
  <c r="B4537" i="3"/>
  <c r="B4538" i="3"/>
  <c r="B4539" i="3"/>
  <c r="B4540" i="3"/>
  <c r="B4541" i="3"/>
  <c r="B4542" i="3"/>
  <c r="B4543" i="3"/>
  <c r="B4544" i="3"/>
  <c r="B4545" i="3"/>
  <c r="B4546" i="3"/>
  <c r="B4547" i="3"/>
  <c r="B4548" i="3"/>
  <c r="B4549" i="3"/>
  <c r="B4550" i="3"/>
  <c r="B4551" i="3"/>
  <c r="B4552" i="3"/>
  <c r="B4553" i="3"/>
  <c r="B4554" i="3"/>
  <c r="B4555" i="3"/>
  <c r="B4556" i="3"/>
  <c r="B4557" i="3"/>
  <c r="B4558" i="3"/>
  <c r="B4559" i="3"/>
  <c r="B4560" i="3"/>
  <c r="B4561" i="3"/>
  <c r="B4562" i="3"/>
  <c r="B4563" i="3"/>
  <c r="B4564" i="3"/>
  <c r="B4565" i="3"/>
  <c r="B4566" i="3"/>
  <c r="B4567" i="3"/>
  <c r="B4568" i="3"/>
  <c r="B4569" i="3"/>
  <c r="B4570" i="3"/>
  <c r="B4571" i="3"/>
  <c r="B4572" i="3"/>
  <c r="B4573" i="3"/>
  <c r="B4574" i="3"/>
  <c r="B4575" i="3"/>
  <c r="B4576" i="3"/>
  <c r="B4577" i="3"/>
  <c r="B4578" i="3"/>
  <c r="B4579" i="3"/>
  <c r="B4580" i="3"/>
  <c r="B4581" i="3"/>
  <c r="B4582" i="3"/>
  <c r="B4583" i="3"/>
  <c r="B4584" i="3"/>
  <c r="B4585" i="3"/>
  <c r="B4586" i="3"/>
  <c r="B4587" i="3"/>
  <c r="B4588" i="3"/>
  <c r="B4589" i="3"/>
  <c r="B4590" i="3"/>
  <c r="B4591" i="3"/>
  <c r="B4592" i="3"/>
  <c r="B4593" i="3"/>
  <c r="B4594" i="3"/>
  <c r="B4595" i="3"/>
  <c r="B4596" i="3"/>
  <c r="B4597" i="3"/>
  <c r="B4598" i="3"/>
  <c r="B4599" i="3"/>
  <c r="B4600" i="3"/>
  <c r="B4601" i="3"/>
  <c r="B4602" i="3"/>
  <c r="B4603" i="3"/>
  <c r="B4604" i="3"/>
  <c r="B4605" i="3"/>
  <c r="B4606" i="3"/>
  <c r="B4607" i="3"/>
  <c r="B4608" i="3"/>
  <c r="B4609" i="3"/>
  <c r="B4610" i="3"/>
  <c r="B4611" i="3"/>
  <c r="B4612" i="3"/>
  <c r="B4613" i="3"/>
  <c r="B4614" i="3"/>
  <c r="B4615" i="3"/>
  <c r="B4616" i="3"/>
  <c r="G5099" i="3" l="1"/>
  <c r="B4356" i="3"/>
  <c r="A4356" i="3"/>
  <c r="B4355" i="3"/>
  <c r="A4355" i="3"/>
  <c r="B4354" i="3"/>
  <c r="A4354" i="3"/>
  <c r="B4353" i="3"/>
  <c r="A4353" i="3"/>
  <c r="B4352" i="3"/>
  <c r="A4352" i="3"/>
  <c r="B4351" i="3"/>
  <c r="A4351" i="3"/>
  <c r="B4350" i="3"/>
  <c r="A4350" i="3"/>
  <c r="B4349" i="3"/>
  <c r="A4349" i="3"/>
  <c r="B4348" i="3"/>
  <c r="A4348" i="3"/>
  <c r="B4347" i="3"/>
  <c r="A4347" i="3"/>
  <c r="B4346" i="3"/>
  <c r="A4346" i="3"/>
  <c r="B4345" i="3"/>
  <c r="A4345" i="3"/>
  <c r="B4344" i="3"/>
  <c r="A4344" i="3"/>
  <c r="B4343" i="3"/>
  <c r="A4343" i="3"/>
  <c r="B4342" i="3"/>
  <c r="A4342" i="3"/>
  <c r="B4341" i="3"/>
  <c r="A4341" i="3"/>
  <c r="B4340" i="3"/>
  <c r="A4340" i="3"/>
  <c r="B4339" i="3"/>
  <c r="A4339" i="3"/>
  <c r="B4338" i="3"/>
  <c r="A4338" i="3"/>
  <c r="B4337" i="3"/>
  <c r="A4337" i="3"/>
  <c r="B4336" i="3"/>
  <c r="A4336" i="3"/>
  <c r="B4335" i="3"/>
  <c r="A4335" i="3"/>
  <c r="B4334" i="3"/>
  <c r="A4334" i="3"/>
  <c r="B4333" i="3"/>
  <c r="A4333" i="3"/>
  <c r="B4332" i="3"/>
  <c r="A4332" i="3"/>
  <c r="B4331" i="3"/>
  <c r="A4331" i="3"/>
  <c r="B4330" i="3"/>
  <c r="A4330" i="3"/>
  <c r="B4329" i="3"/>
  <c r="A4329" i="3"/>
  <c r="B4328" i="3"/>
  <c r="A4328" i="3"/>
  <c r="B4327" i="3"/>
  <c r="A4327" i="3"/>
  <c r="B4326" i="3"/>
  <c r="A4326" i="3"/>
  <c r="B4325" i="3"/>
  <c r="A4325" i="3"/>
  <c r="B4324" i="3"/>
  <c r="A4324" i="3"/>
  <c r="B4323" i="3"/>
  <c r="A4323" i="3"/>
  <c r="B4322" i="3"/>
  <c r="A4322" i="3"/>
  <c r="B4321" i="3"/>
  <c r="A4321" i="3"/>
  <c r="B4320" i="3"/>
  <c r="A4320" i="3"/>
  <c r="B4319" i="3"/>
  <c r="A4319" i="3"/>
  <c r="B4318" i="3"/>
  <c r="A4318" i="3"/>
  <c r="B4317" i="3"/>
  <c r="A4317" i="3"/>
  <c r="B4316" i="3"/>
  <c r="A4316" i="3"/>
  <c r="B4315" i="3"/>
  <c r="A4315" i="3"/>
  <c r="B4314" i="3"/>
  <c r="A4314" i="3"/>
  <c r="B4313" i="3"/>
  <c r="A4313" i="3"/>
  <c r="B4312" i="3"/>
  <c r="A4312" i="3"/>
  <c r="B4311" i="3"/>
  <c r="A4311" i="3"/>
  <c r="B4310" i="3"/>
  <c r="A4310" i="3"/>
  <c r="B4309" i="3"/>
  <c r="A4309" i="3"/>
  <c r="B4308" i="3"/>
  <c r="A4308" i="3"/>
  <c r="B4307" i="3"/>
  <c r="A4307" i="3"/>
  <c r="B4306" i="3"/>
  <c r="A4306" i="3"/>
  <c r="B4305" i="3"/>
  <c r="A4305" i="3"/>
  <c r="B4304" i="3"/>
  <c r="A4304" i="3"/>
  <c r="B4303" i="3"/>
  <c r="A4303" i="3"/>
  <c r="B4302" i="3"/>
  <c r="A4302" i="3"/>
  <c r="B4301" i="3"/>
  <c r="A4301" i="3"/>
  <c r="B4300" i="3"/>
  <c r="A4300" i="3"/>
  <c r="B4299" i="3"/>
  <c r="A4299" i="3"/>
  <c r="B4298" i="3"/>
  <c r="A4298" i="3"/>
  <c r="B4297" i="3"/>
  <c r="A4297" i="3"/>
  <c r="B4296" i="3"/>
  <c r="A4296" i="3"/>
  <c r="B4295" i="3"/>
  <c r="A4295" i="3"/>
  <c r="B4294" i="3"/>
  <c r="A4294" i="3"/>
  <c r="B4293" i="3"/>
  <c r="A4293" i="3"/>
  <c r="B4292" i="3"/>
  <c r="A4292" i="3"/>
  <c r="B4291" i="3"/>
  <c r="A4291" i="3"/>
  <c r="B4290" i="3"/>
  <c r="A4290" i="3"/>
  <c r="B4289" i="3"/>
  <c r="A4289" i="3"/>
  <c r="B4288" i="3"/>
  <c r="A4288" i="3"/>
  <c r="B4287" i="3"/>
  <c r="A4287" i="3"/>
  <c r="B4286" i="3"/>
  <c r="A4286" i="3"/>
  <c r="B4285" i="3"/>
  <c r="A4285" i="3"/>
  <c r="B4284" i="3"/>
  <c r="A4284" i="3"/>
  <c r="B4283" i="3"/>
  <c r="A4283" i="3"/>
  <c r="B4282" i="3"/>
  <c r="A4282" i="3"/>
  <c r="B4281" i="3"/>
  <c r="A4281" i="3"/>
  <c r="B4280" i="3"/>
  <c r="A4280" i="3"/>
  <c r="B4279" i="3"/>
  <c r="A4279" i="3"/>
  <c r="B4278" i="3"/>
  <c r="A4278" i="3"/>
  <c r="B4277" i="3"/>
  <c r="A4277" i="3"/>
  <c r="B4276" i="3"/>
  <c r="A4276" i="3"/>
  <c r="B4275" i="3"/>
  <c r="A4275" i="3"/>
  <c r="B4274" i="3"/>
  <c r="A4274" i="3"/>
  <c r="B4273" i="3"/>
  <c r="A4273" i="3"/>
  <c r="B4272" i="3"/>
  <c r="A4272" i="3"/>
  <c r="B4271" i="3"/>
  <c r="A4271" i="3"/>
  <c r="B4270" i="3"/>
  <c r="A4270" i="3"/>
  <c r="B4269" i="3"/>
  <c r="A4269" i="3"/>
  <c r="B4268" i="3"/>
  <c r="A4268" i="3"/>
  <c r="B4267" i="3"/>
  <c r="A4267" i="3"/>
  <c r="B4266" i="3"/>
  <c r="A4266" i="3"/>
  <c r="B4265" i="3"/>
  <c r="A4265" i="3"/>
  <c r="B4264" i="3"/>
  <c r="A4264" i="3"/>
  <c r="B4263" i="3"/>
  <c r="A4263" i="3"/>
  <c r="B4262" i="3"/>
  <c r="A4262" i="3"/>
  <c r="B4261" i="3"/>
  <c r="A4261" i="3"/>
  <c r="B4260" i="3"/>
  <c r="A4260" i="3"/>
  <c r="B4259" i="3"/>
  <c r="A4259" i="3"/>
  <c r="B4258" i="3"/>
  <c r="A4258" i="3"/>
  <c r="B4257" i="3"/>
  <c r="A4257" i="3"/>
  <c r="B4256" i="3"/>
  <c r="A4256" i="3"/>
  <c r="B4255" i="3"/>
  <c r="A4255" i="3"/>
  <c r="B4254" i="3"/>
  <c r="A4254" i="3"/>
  <c r="B4253" i="3"/>
  <c r="A4253" i="3"/>
  <c r="B4252" i="3"/>
  <c r="A4252" i="3"/>
  <c r="B4251" i="3"/>
  <c r="A4251" i="3"/>
  <c r="B4250" i="3"/>
  <c r="A4250" i="3"/>
  <c r="B4249" i="3"/>
  <c r="A4249" i="3"/>
  <c r="B4248" i="3"/>
  <c r="A4248" i="3"/>
  <c r="B4247" i="3"/>
  <c r="A4247" i="3"/>
  <c r="B4246" i="3"/>
  <c r="A4246" i="3"/>
  <c r="B4245" i="3"/>
  <c r="A4245" i="3"/>
  <c r="B4244" i="3"/>
  <c r="A4244" i="3"/>
  <c r="B4243" i="3"/>
  <c r="A4243" i="3"/>
  <c r="B4242" i="3"/>
  <c r="A4242" i="3"/>
  <c r="B4241" i="3"/>
  <c r="A4241" i="3"/>
  <c r="B4240" i="3"/>
  <c r="A4240" i="3"/>
  <c r="B4239" i="3"/>
  <c r="A4239" i="3"/>
  <c r="B4238" i="3"/>
  <c r="A4238" i="3"/>
  <c r="B4237" i="3"/>
  <c r="A4237" i="3"/>
  <c r="B4236" i="3"/>
  <c r="A4236" i="3"/>
  <c r="B4235" i="3"/>
  <c r="A4235" i="3"/>
  <c r="B4234" i="3"/>
  <c r="A4234" i="3"/>
  <c r="B4233" i="3"/>
  <c r="A4233" i="3"/>
  <c r="B4232" i="3"/>
  <c r="A4232" i="3"/>
  <c r="B4231" i="3"/>
  <c r="A4231" i="3"/>
  <c r="B4230" i="3"/>
  <c r="A4230" i="3"/>
  <c r="B4229" i="3"/>
  <c r="A4229" i="3"/>
  <c r="B4228" i="3"/>
  <c r="A4228" i="3"/>
  <c r="B4227" i="3"/>
  <c r="A4227" i="3"/>
  <c r="B4226" i="3"/>
  <c r="A4226" i="3"/>
  <c r="B4225" i="3"/>
  <c r="A4225" i="3"/>
  <c r="B4224" i="3"/>
  <c r="A4224" i="3"/>
  <c r="B4223" i="3"/>
  <c r="A4223" i="3"/>
  <c r="B4222" i="3"/>
  <c r="A4222" i="3"/>
  <c r="B4221" i="3"/>
  <c r="A4221" i="3"/>
  <c r="B4220" i="3"/>
  <c r="A4220" i="3"/>
  <c r="B4219" i="3"/>
  <c r="A4219" i="3"/>
  <c r="B4218" i="3"/>
  <c r="A4218" i="3"/>
  <c r="B4217" i="3"/>
  <c r="A4217" i="3"/>
  <c r="B4216" i="3"/>
  <c r="A4216" i="3"/>
  <c r="B4215" i="3"/>
  <c r="A4215" i="3"/>
  <c r="B4214" i="3"/>
  <c r="A4214" i="3"/>
  <c r="B4213" i="3"/>
  <c r="A4213" i="3"/>
  <c r="B4212" i="3"/>
  <c r="A4212" i="3"/>
  <c r="B4211" i="3"/>
  <c r="A4211" i="3"/>
  <c r="B4210" i="3"/>
  <c r="A4210" i="3"/>
  <c r="B4209" i="3"/>
  <c r="A4209" i="3"/>
  <c r="B4208" i="3"/>
  <c r="A4208" i="3"/>
  <c r="B4207" i="3"/>
  <c r="A4207" i="3"/>
  <c r="B4206" i="3"/>
  <c r="A4206" i="3"/>
  <c r="B4205" i="3"/>
  <c r="A4205" i="3"/>
  <c r="B4204" i="3"/>
  <c r="A4204" i="3"/>
  <c r="B4203" i="3"/>
  <c r="A4203" i="3"/>
  <c r="B4202" i="3"/>
  <c r="A4202" i="3"/>
  <c r="B4201" i="3"/>
  <c r="A4201" i="3"/>
  <c r="B4200" i="3"/>
  <c r="A4200" i="3"/>
  <c r="B4199" i="3"/>
  <c r="A4199" i="3"/>
  <c r="B4198" i="3"/>
  <c r="A4198" i="3"/>
  <c r="B4197" i="3"/>
  <c r="A4197" i="3"/>
  <c r="B4196" i="3"/>
  <c r="A4196" i="3"/>
  <c r="B4195" i="3"/>
  <c r="A4195" i="3"/>
  <c r="B4194" i="3"/>
  <c r="A4194" i="3"/>
  <c r="B4193" i="3"/>
  <c r="A4193" i="3"/>
  <c r="B4192" i="3"/>
  <c r="A4192" i="3"/>
  <c r="B4191" i="3"/>
  <c r="A4191" i="3"/>
  <c r="B4190" i="3"/>
  <c r="A4190" i="3"/>
  <c r="B4189" i="3"/>
  <c r="A4189" i="3"/>
  <c r="B4188" i="3"/>
  <c r="A4188" i="3"/>
  <c r="B4187" i="3"/>
  <c r="A4187" i="3"/>
  <c r="B4186" i="3"/>
  <c r="A4186" i="3"/>
  <c r="B4185" i="3"/>
  <c r="A4185" i="3"/>
  <c r="B4184" i="3"/>
  <c r="A4184" i="3"/>
  <c r="B4183" i="3"/>
  <c r="A4183" i="3"/>
  <c r="B4182" i="3"/>
  <c r="A4182" i="3"/>
  <c r="B4181" i="3"/>
  <c r="A4181" i="3"/>
  <c r="B4180" i="3"/>
  <c r="A4180" i="3"/>
  <c r="B4179" i="3"/>
  <c r="A4179" i="3"/>
  <c r="B4178" i="3"/>
  <c r="A4178" i="3"/>
  <c r="B4177" i="3"/>
  <c r="A4177" i="3"/>
  <c r="B4176" i="3"/>
  <c r="A4176" i="3"/>
  <c r="B4175" i="3"/>
  <c r="A4175" i="3"/>
  <c r="B4174" i="3"/>
  <c r="A4174" i="3"/>
  <c r="B4173" i="3"/>
  <c r="A4173" i="3"/>
  <c r="B4172" i="3"/>
  <c r="A4172" i="3"/>
  <c r="B4171" i="3"/>
  <c r="A4171" i="3"/>
  <c r="B4170" i="3"/>
  <c r="A4170" i="3"/>
  <c r="B4169" i="3"/>
  <c r="A4169" i="3"/>
  <c r="B4168" i="3"/>
  <c r="A4168" i="3"/>
  <c r="B4167" i="3"/>
  <c r="A4167" i="3"/>
  <c r="B4166" i="3"/>
  <c r="A4166" i="3"/>
  <c r="B4165" i="3"/>
  <c r="A4165" i="3"/>
  <c r="B4164" i="3"/>
  <c r="A4164" i="3"/>
  <c r="B4163" i="3"/>
  <c r="A4163" i="3"/>
  <c r="B4162" i="3"/>
  <c r="A4162" i="3"/>
  <c r="B4161" i="3"/>
  <c r="A4161" i="3"/>
  <c r="B4160" i="3"/>
  <c r="A4160" i="3"/>
  <c r="B4159" i="3"/>
  <c r="A4159" i="3"/>
  <c r="B4158" i="3"/>
  <c r="A4158" i="3"/>
  <c r="B4157" i="3"/>
  <c r="A4157" i="3"/>
  <c r="B4156" i="3"/>
  <c r="A4156" i="3"/>
  <c r="B4155" i="3"/>
  <c r="A4155" i="3"/>
  <c r="B4154" i="3"/>
  <c r="A4154" i="3"/>
  <c r="B4153" i="3"/>
  <c r="A4153" i="3"/>
  <c r="B4152" i="3"/>
  <c r="A4152" i="3"/>
  <c r="B4151" i="3"/>
  <c r="A4151" i="3"/>
  <c r="B4150" i="3"/>
  <c r="A4150" i="3"/>
  <c r="B4149" i="3"/>
  <c r="A4149" i="3"/>
  <c r="B4148" i="3"/>
  <c r="A4148" i="3"/>
  <c r="B4147" i="3"/>
  <c r="A4147" i="3"/>
  <c r="B4146" i="3"/>
  <c r="A4146" i="3"/>
  <c r="B4145" i="3"/>
  <c r="A4145" i="3"/>
  <c r="B4144" i="3"/>
  <c r="A4144" i="3"/>
  <c r="B4143" i="3"/>
  <c r="A4143" i="3"/>
  <c r="B4142" i="3"/>
  <c r="A4142" i="3"/>
  <c r="B4141" i="3"/>
  <c r="A4141" i="3"/>
  <c r="B4140" i="3"/>
  <c r="A4140" i="3"/>
  <c r="B4139" i="3"/>
  <c r="A4139" i="3"/>
  <c r="B4138" i="3"/>
  <c r="A4138" i="3"/>
  <c r="B4137" i="3"/>
  <c r="A4137" i="3"/>
  <c r="B4136" i="3"/>
  <c r="A4136" i="3"/>
  <c r="B4135" i="3"/>
  <c r="A4135" i="3"/>
  <c r="B4134" i="3"/>
  <c r="A4134" i="3"/>
  <c r="B4133" i="3"/>
  <c r="A4133" i="3"/>
  <c r="B4132" i="3"/>
  <c r="A4132" i="3"/>
  <c r="B4131" i="3"/>
  <c r="A4131" i="3"/>
  <c r="B4130" i="3"/>
  <c r="A4130" i="3"/>
  <c r="B4129" i="3"/>
  <c r="A4129" i="3"/>
  <c r="B4128" i="3"/>
  <c r="A4128" i="3"/>
  <c r="B4127" i="3"/>
  <c r="A4127" i="3"/>
  <c r="B4126" i="3"/>
  <c r="A4126" i="3"/>
  <c r="B4125" i="3"/>
  <c r="A4125" i="3"/>
  <c r="B4124" i="3"/>
  <c r="A4124" i="3"/>
  <c r="B4123" i="3"/>
  <c r="A4123" i="3"/>
  <c r="B4122" i="3"/>
  <c r="A4122" i="3"/>
  <c r="B4121" i="3"/>
  <c r="A4121" i="3"/>
  <c r="B4120" i="3"/>
  <c r="A4120" i="3"/>
  <c r="B4119" i="3"/>
  <c r="A4119" i="3"/>
  <c r="B4118" i="3"/>
  <c r="A4118" i="3"/>
  <c r="B4117" i="3"/>
  <c r="A4117" i="3"/>
  <c r="B4116" i="3"/>
  <c r="A4116" i="3"/>
  <c r="B4115" i="3"/>
  <c r="A4115" i="3"/>
  <c r="B4114" i="3"/>
  <c r="A4114" i="3"/>
  <c r="B4113" i="3"/>
  <c r="A4113" i="3"/>
  <c r="B4112" i="3"/>
  <c r="A4112" i="3"/>
  <c r="B4111" i="3"/>
  <c r="A4111" i="3"/>
  <c r="B4110" i="3"/>
  <c r="A4110" i="3"/>
  <c r="B4109" i="3"/>
  <c r="A4109" i="3"/>
  <c r="B4108" i="3"/>
  <c r="A4108" i="3"/>
  <c r="B4107" i="3"/>
  <c r="A4107" i="3"/>
  <c r="B4106" i="3"/>
  <c r="A4106" i="3"/>
  <c r="B4105" i="3"/>
  <c r="A4105" i="3"/>
  <c r="B4104" i="3"/>
  <c r="A4104" i="3"/>
  <c r="B4103" i="3"/>
  <c r="A4103" i="3"/>
  <c r="B4102" i="3"/>
  <c r="A4102" i="3"/>
  <c r="B4101" i="3"/>
  <c r="A4101" i="3"/>
  <c r="B4100" i="3"/>
  <c r="A4100" i="3"/>
  <c r="B4099" i="3"/>
  <c r="A4099" i="3"/>
  <c r="B4098" i="3"/>
  <c r="A4098" i="3"/>
  <c r="B4097" i="3"/>
  <c r="A4097" i="3"/>
  <c r="B4096" i="3"/>
  <c r="A4096" i="3"/>
  <c r="B4095" i="3"/>
  <c r="A4095" i="3"/>
  <c r="B4094" i="3"/>
  <c r="A4094" i="3"/>
  <c r="B4093" i="3"/>
  <c r="A4093" i="3"/>
  <c r="B4092" i="3"/>
  <c r="A4092" i="3"/>
  <c r="B4091" i="3"/>
  <c r="A4091" i="3"/>
  <c r="B4090" i="3"/>
  <c r="A4090" i="3"/>
  <c r="B4089" i="3"/>
  <c r="A4089" i="3"/>
  <c r="B4088" i="3"/>
  <c r="A4088" i="3"/>
  <c r="B4087" i="3"/>
  <c r="A4087" i="3"/>
  <c r="B4086" i="3"/>
  <c r="A4086" i="3"/>
  <c r="B4085" i="3"/>
  <c r="A4085" i="3"/>
  <c r="B4084" i="3"/>
  <c r="A4084" i="3"/>
  <c r="B4083" i="3"/>
  <c r="A4083" i="3"/>
  <c r="B4082" i="3"/>
  <c r="A4082" i="3"/>
  <c r="B4081" i="3"/>
  <c r="A4081" i="3"/>
  <c r="B4080" i="3"/>
  <c r="A4080" i="3"/>
  <c r="B4079" i="3"/>
  <c r="A4079" i="3"/>
  <c r="B4078" i="3"/>
  <c r="A4078" i="3"/>
  <c r="B4077" i="3"/>
  <c r="A4077" i="3"/>
  <c r="B4076" i="3"/>
  <c r="A4076" i="3"/>
  <c r="B4075" i="3"/>
  <c r="A4075" i="3"/>
  <c r="B4074" i="3"/>
  <c r="A4074" i="3"/>
  <c r="B4073" i="3"/>
  <c r="A4073" i="3"/>
  <c r="B4072" i="3"/>
  <c r="A4072" i="3"/>
  <c r="B4071" i="3"/>
  <c r="A4071" i="3"/>
  <c r="B4070" i="3"/>
  <c r="A4070" i="3"/>
  <c r="B4069" i="3"/>
  <c r="A4069" i="3"/>
  <c r="B4068" i="3"/>
  <c r="A4068" i="3"/>
  <c r="B4067" i="3"/>
  <c r="A4067" i="3"/>
  <c r="B4066" i="3"/>
  <c r="A4066" i="3"/>
  <c r="B4065" i="3"/>
  <c r="A4065" i="3"/>
  <c r="B4064" i="3"/>
  <c r="A4064" i="3"/>
  <c r="B4063" i="3"/>
  <c r="A4063" i="3"/>
  <c r="B4062" i="3"/>
  <c r="A4062" i="3"/>
  <c r="B4061" i="3"/>
  <c r="A4061" i="3"/>
  <c r="B4060" i="3"/>
  <c r="A4060" i="3"/>
  <c r="B4059" i="3"/>
  <c r="A4059" i="3"/>
  <c r="B4058" i="3"/>
  <c r="A4058" i="3"/>
  <c r="B4057" i="3"/>
  <c r="A4057" i="3"/>
  <c r="B4056" i="3"/>
  <c r="A4056" i="3"/>
  <c r="B4055" i="3"/>
  <c r="A4055" i="3"/>
  <c r="B4054" i="3"/>
  <c r="A4054" i="3"/>
  <c r="B4053" i="3"/>
  <c r="A4053" i="3"/>
  <c r="B4052" i="3"/>
  <c r="A4052" i="3"/>
  <c r="B4051" i="3"/>
  <c r="A4051" i="3"/>
  <c r="B4050" i="3"/>
  <c r="A4050" i="3"/>
  <c r="B4049" i="3"/>
  <c r="A4049" i="3"/>
  <c r="B4048" i="3"/>
  <c r="A4048" i="3"/>
  <c r="B4047" i="3"/>
  <c r="A4047" i="3"/>
  <c r="B4046" i="3"/>
  <c r="A4046" i="3"/>
  <c r="B4045" i="3"/>
  <c r="A4045" i="3"/>
  <c r="B4044" i="3"/>
  <c r="A4044" i="3"/>
  <c r="B4043" i="3"/>
  <c r="A4043" i="3"/>
  <c r="B4042" i="3"/>
  <c r="A4042" i="3"/>
  <c r="B4041" i="3"/>
  <c r="A4041" i="3"/>
  <c r="B4040" i="3"/>
  <c r="A4040" i="3"/>
  <c r="B4039" i="3"/>
  <c r="A4039" i="3"/>
  <c r="B4038" i="3"/>
  <c r="A4038" i="3"/>
  <c r="B4037" i="3"/>
  <c r="A4037" i="3"/>
  <c r="B4036" i="3"/>
  <c r="A4036" i="3"/>
  <c r="B4035" i="3"/>
  <c r="A4035" i="3"/>
  <c r="B4034" i="3"/>
  <c r="A4034" i="3"/>
  <c r="B4033" i="3"/>
  <c r="A4033" i="3"/>
  <c r="B4032" i="3"/>
  <c r="A4032" i="3"/>
  <c r="B4031" i="3"/>
  <c r="A4031" i="3"/>
  <c r="B4030" i="3"/>
  <c r="A4030" i="3"/>
  <c r="B4029" i="3"/>
  <c r="A4029" i="3"/>
  <c r="B4028" i="3"/>
  <c r="A4028" i="3"/>
  <c r="B4027" i="3"/>
  <c r="A4027" i="3"/>
  <c r="B4026" i="3"/>
  <c r="A4026" i="3"/>
  <c r="B4025" i="3"/>
  <c r="A4025" i="3"/>
  <c r="B4024" i="3"/>
  <c r="A4024" i="3"/>
  <c r="B4023" i="3"/>
  <c r="A4023" i="3"/>
  <c r="B4022" i="3"/>
  <c r="A4022" i="3"/>
  <c r="B4021" i="3"/>
  <c r="A4021" i="3"/>
  <c r="B4020" i="3"/>
  <c r="A4020" i="3"/>
  <c r="B4019" i="3"/>
  <c r="A4019" i="3"/>
  <c r="B4018" i="3"/>
  <c r="A4018" i="3"/>
  <c r="B4017" i="3"/>
  <c r="A4017" i="3"/>
  <c r="B4016" i="3"/>
  <c r="A4016" i="3"/>
  <c r="B4015" i="3"/>
  <c r="A4015" i="3"/>
  <c r="B4014" i="3"/>
  <c r="A4014" i="3"/>
  <c r="B4013" i="3"/>
  <c r="A4013" i="3"/>
  <c r="B4012" i="3"/>
  <c r="A4012" i="3"/>
  <c r="B4011" i="3"/>
  <c r="A4011" i="3"/>
  <c r="B4010" i="3"/>
  <c r="A4010" i="3"/>
  <c r="B4009" i="3"/>
  <c r="A4009" i="3"/>
  <c r="B4008" i="3"/>
  <c r="A4008" i="3"/>
  <c r="B4007" i="3"/>
  <c r="A4007" i="3"/>
  <c r="B4006" i="3"/>
  <c r="A4006" i="3"/>
  <c r="B4005" i="3"/>
  <c r="A4005" i="3"/>
  <c r="B4004" i="3"/>
  <c r="A4004" i="3"/>
  <c r="B4003" i="3"/>
  <c r="A4003" i="3"/>
  <c r="B4002" i="3"/>
  <c r="A4002" i="3"/>
  <c r="B4001" i="3"/>
  <c r="A4001" i="3"/>
  <c r="B4000" i="3"/>
  <c r="A4000" i="3"/>
  <c r="B3999" i="3"/>
  <c r="A3999" i="3"/>
  <c r="B3998" i="3"/>
  <c r="A3998" i="3"/>
  <c r="B3997" i="3"/>
  <c r="A3997" i="3"/>
  <c r="B3996" i="3"/>
  <c r="A3996" i="3"/>
  <c r="B3995" i="3"/>
  <c r="A3995" i="3"/>
  <c r="B3994" i="3"/>
  <c r="A3994" i="3"/>
  <c r="B3993" i="3"/>
  <c r="A3993" i="3"/>
  <c r="B3992" i="3"/>
  <c r="A3992" i="3"/>
  <c r="B3991" i="3"/>
  <c r="A3991" i="3"/>
  <c r="B3990" i="3"/>
  <c r="A3990" i="3"/>
  <c r="B3989" i="3"/>
  <c r="A3989" i="3"/>
  <c r="B3988" i="3"/>
  <c r="A3988" i="3"/>
  <c r="B3987" i="3"/>
  <c r="A3987" i="3"/>
  <c r="B3986" i="3"/>
  <c r="A3986" i="3"/>
  <c r="B3985" i="3"/>
  <c r="A3985" i="3"/>
  <c r="B3984" i="3"/>
  <c r="A3984" i="3"/>
  <c r="B3983" i="3"/>
  <c r="A3983" i="3"/>
  <c r="B3982" i="3"/>
  <c r="A3982" i="3"/>
  <c r="B3981" i="3"/>
  <c r="A3981" i="3"/>
  <c r="B3980" i="3"/>
  <c r="A3980" i="3"/>
  <c r="B3979" i="3"/>
  <c r="A3979" i="3"/>
  <c r="B3978" i="3"/>
  <c r="A3978" i="3"/>
  <c r="B3977" i="3"/>
  <c r="A3977" i="3"/>
  <c r="B3976" i="3"/>
  <c r="A3976" i="3"/>
  <c r="B3975" i="3"/>
  <c r="A3975" i="3"/>
  <c r="B3974" i="3"/>
  <c r="A3974" i="3"/>
  <c r="B3973" i="3"/>
  <c r="A3973" i="3"/>
  <c r="B3972" i="3"/>
  <c r="A3972" i="3"/>
  <c r="B3971" i="3"/>
  <c r="A3971" i="3"/>
  <c r="B3970" i="3"/>
  <c r="A3970" i="3"/>
  <c r="B3969" i="3"/>
  <c r="A3969" i="3"/>
  <c r="B3968" i="3"/>
  <c r="A3968" i="3"/>
  <c r="B3967" i="3"/>
  <c r="A3967" i="3"/>
  <c r="B3966" i="3"/>
  <c r="A3966" i="3"/>
  <c r="B3965" i="3"/>
  <c r="A3965" i="3"/>
  <c r="B3964" i="3"/>
  <c r="A3964" i="3"/>
  <c r="B3963" i="3"/>
  <c r="A3963" i="3"/>
  <c r="B3962" i="3"/>
  <c r="A3962" i="3"/>
  <c r="B3961" i="3"/>
  <c r="A3961" i="3"/>
  <c r="B3960" i="3"/>
  <c r="A3960" i="3"/>
  <c r="B3959" i="3"/>
  <c r="A3959" i="3"/>
  <c r="B3958" i="3"/>
  <c r="A3958" i="3"/>
  <c r="B3957" i="3"/>
  <c r="A3957" i="3"/>
  <c r="B3956" i="3"/>
  <c r="A3956" i="3"/>
  <c r="B3955" i="3"/>
  <c r="A3955" i="3"/>
  <c r="B3954" i="3"/>
  <c r="A3954" i="3"/>
  <c r="B3953" i="3"/>
  <c r="A3953" i="3"/>
  <c r="B3952" i="3"/>
  <c r="A3952" i="3"/>
  <c r="B3951" i="3"/>
  <c r="A3951" i="3"/>
  <c r="B3950" i="3"/>
  <c r="A3950" i="3"/>
  <c r="B3949" i="3"/>
  <c r="A3949" i="3"/>
  <c r="B3948" i="3"/>
  <c r="A3948" i="3"/>
  <c r="B3947" i="3"/>
  <c r="A3947" i="3"/>
  <c r="B3946" i="3"/>
  <c r="A3946" i="3"/>
  <c r="B3945" i="3"/>
  <c r="A3945" i="3"/>
  <c r="B3944" i="3"/>
  <c r="A3944" i="3"/>
  <c r="B3943" i="3"/>
  <c r="A3943" i="3"/>
  <c r="B3942" i="3"/>
  <c r="A3942" i="3"/>
  <c r="B3941" i="3"/>
  <c r="A3941" i="3"/>
  <c r="B3940" i="3"/>
  <c r="A3940" i="3"/>
  <c r="B3939" i="3"/>
  <c r="A3939" i="3"/>
  <c r="B3938" i="3"/>
  <c r="A3938" i="3"/>
  <c r="B3937" i="3"/>
  <c r="A3937" i="3"/>
  <c r="B3936" i="3"/>
  <c r="A3936" i="3"/>
  <c r="B3935" i="3"/>
  <c r="A3935" i="3"/>
  <c r="B3934" i="3"/>
  <c r="A3934" i="3"/>
  <c r="B3933" i="3"/>
  <c r="A3933" i="3"/>
  <c r="B3932" i="3"/>
  <c r="A3932" i="3"/>
  <c r="B3931" i="3"/>
  <c r="A3931" i="3"/>
  <c r="B3930" i="3"/>
  <c r="A3930" i="3"/>
  <c r="B3929" i="3"/>
  <c r="A3929" i="3"/>
  <c r="B3928" i="3"/>
  <c r="A3928" i="3"/>
  <c r="B3927" i="3"/>
  <c r="A3927" i="3"/>
  <c r="B3926" i="3"/>
  <c r="A3926" i="3"/>
  <c r="B3925" i="3"/>
  <c r="A3925" i="3"/>
  <c r="B3924" i="3"/>
  <c r="A3924" i="3"/>
  <c r="B3923" i="3"/>
  <c r="A3923" i="3"/>
  <c r="B3922" i="3"/>
  <c r="A3922" i="3"/>
  <c r="B3921" i="3"/>
  <c r="A3921" i="3"/>
  <c r="B3920" i="3"/>
  <c r="A3920" i="3"/>
  <c r="B3919" i="3"/>
  <c r="A3919" i="3"/>
  <c r="B3918" i="3"/>
  <c r="A3918" i="3"/>
  <c r="B3917" i="3"/>
  <c r="A3917" i="3"/>
  <c r="B3916" i="3"/>
  <c r="A3916" i="3"/>
  <c r="B3915" i="3"/>
  <c r="A3915" i="3"/>
  <c r="B3914" i="3"/>
  <c r="A3914" i="3"/>
  <c r="B3913" i="3"/>
  <c r="A3913" i="3"/>
  <c r="B3912" i="3"/>
  <c r="A3912" i="3"/>
  <c r="B3911" i="3"/>
  <c r="A3911" i="3"/>
  <c r="B3910" i="3"/>
  <c r="A3910" i="3"/>
  <c r="B3909" i="3"/>
  <c r="A3909" i="3"/>
  <c r="B3908" i="3"/>
  <c r="A3908" i="3"/>
  <c r="B3907" i="3"/>
  <c r="A3907" i="3"/>
  <c r="B3906" i="3"/>
  <c r="A3906" i="3"/>
  <c r="B3905" i="3"/>
  <c r="A3905" i="3"/>
  <c r="B3904" i="3"/>
  <c r="A3904" i="3"/>
  <c r="B3903" i="3"/>
  <c r="A3903" i="3"/>
  <c r="B3902" i="3"/>
  <c r="A3902" i="3"/>
  <c r="B3901" i="3"/>
  <c r="A3901" i="3"/>
  <c r="B3900" i="3"/>
  <c r="A3900" i="3"/>
  <c r="B3899" i="3"/>
  <c r="A3899" i="3"/>
  <c r="B3898" i="3"/>
  <c r="A3898" i="3"/>
  <c r="B3897" i="3"/>
  <c r="A3897" i="3"/>
  <c r="B3896" i="3"/>
  <c r="A3896" i="3"/>
  <c r="B3895" i="3"/>
  <c r="A3895" i="3"/>
  <c r="B3894" i="3"/>
  <c r="A3894" i="3"/>
  <c r="B3893" i="3"/>
  <c r="A3893" i="3"/>
  <c r="B3892" i="3"/>
  <c r="A3892" i="3"/>
  <c r="B3891" i="3"/>
  <c r="A3891" i="3"/>
  <c r="B3890" i="3"/>
  <c r="A3890" i="3"/>
  <c r="B3889" i="3"/>
  <c r="A3889" i="3"/>
  <c r="B3888" i="3"/>
  <c r="A3888" i="3"/>
  <c r="B3887" i="3"/>
  <c r="A3887" i="3"/>
  <c r="B3886" i="3"/>
  <c r="A3886" i="3"/>
  <c r="B3885" i="3"/>
  <c r="A3885" i="3"/>
  <c r="B3884" i="3"/>
  <c r="A3884" i="3"/>
  <c r="B3883" i="3"/>
  <c r="A3883" i="3"/>
  <c r="B3882" i="3"/>
  <c r="A3882" i="3"/>
  <c r="B3881" i="3"/>
  <c r="A3881" i="3"/>
  <c r="B3880" i="3"/>
  <c r="A3880" i="3"/>
  <c r="B3879" i="3"/>
  <c r="A3879" i="3"/>
  <c r="B3878" i="3"/>
  <c r="A3878" i="3"/>
  <c r="B3877" i="3"/>
  <c r="A3877" i="3"/>
  <c r="B3876" i="3"/>
  <c r="A3876" i="3"/>
  <c r="B3875" i="3"/>
  <c r="A3875" i="3"/>
  <c r="B3874" i="3"/>
  <c r="A3874" i="3"/>
  <c r="B3873" i="3"/>
  <c r="A3873" i="3"/>
  <c r="B3872" i="3"/>
  <c r="A3872" i="3"/>
  <c r="B3871" i="3"/>
  <c r="A3871" i="3"/>
  <c r="B3870" i="3"/>
  <c r="A3870" i="3"/>
  <c r="B3869" i="3"/>
  <c r="A3869" i="3"/>
  <c r="B3868" i="3"/>
  <c r="A3868" i="3"/>
  <c r="B3867" i="3"/>
  <c r="A3867" i="3"/>
  <c r="B3866" i="3"/>
  <c r="A3866" i="3"/>
  <c r="B3865" i="3"/>
  <c r="A3865" i="3"/>
  <c r="B3864" i="3"/>
  <c r="A3864" i="3"/>
  <c r="B3863" i="3"/>
  <c r="A3863" i="3"/>
  <c r="B3862" i="3"/>
  <c r="A3862" i="3"/>
  <c r="B3861" i="3"/>
  <c r="A3861" i="3"/>
  <c r="B3860" i="3"/>
  <c r="A3860" i="3"/>
  <c r="B3859" i="3"/>
  <c r="A3859" i="3"/>
  <c r="B3858" i="3"/>
  <c r="A3858" i="3"/>
  <c r="B3857" i="3"/>
  <c r="A3857" i="3"/>
  <c r="B3856" i="3"/>
  <c r="A3856" i="3"/>
  <c r="B3855" i="3"/>
  <c r="A3855" i="3"/>
  <c r="B3854" i="3"/>
  <c r="A3854" i="3"/>
  <c r="B3853" i="3"/>
  <c r="A3853" i="3"/>
  <c r="B3852" i="3"/>
  <c r="A3852" i="3"/>
  <c r="B3851" i="3"/>
  <c r="A3851" i="3"/>
  <c r="B3850" i="3"/>
  <c r="A3850" i="3"/>
  <c r="B3849" i="3"/>
  <c r="A3849" i="3"/>
  <c r="B3848" i="3"/>
  <c r="A3848" i="3"/>
  <c r="B3847" i="3"/>
  <c r="A3847" i="3"/>
  <c r="B3846" i="3"/>
  <c r="A3846" i="3"/>
  <c r="B3845" i="3"/>
  <c r="A3845" i="3"/>
  <c r="B3844" i="3"/>
  <c r="A3844" i="3"/>
  <c r="B3843" i="3"/>
  <c r="A3843" i="3"/>
  <c r="B3842" i="3"/>
  <c r="A3842" i="3"/>
  <c r="B3841" i="3"/>
  <c r="A3841" i="3"/>
  <c r="B3840" i="3"/>
  <c r="A3840" i="3"/>
  <c r="B3839" i="3"/>
  <c r="A3839" i="3"/>
  <c r="B3838" i="3"/>
  <c r="A3838" i="3"/>
  <c r="B3837" i="3"/>
  <c r="A3837" i="3"/>
  <c r="B3836" i="3"/>
  <c r="A3836" i="3"/>
  <c r="B3835" i="3"/>
  <c r="A3835" i="3"/>
  <c r="B3834" i="3"/>
  <c r="A3834" i="3"/>
  <c r="B3833" i="3"/>
  <c r="A3833" i="3"/>
  <c r="B3832" i="3"/>
  <c r="A3832" i="3"/>
  <c r="B3831" i="3"/>
  <c r="A3831" i="3"/>
  <c r="B3830" i="3"/>
  <c r="A3830" i="3"/>
  <c r="B3829" i="3"/>
  <c r="A3829" i="3"/>
  <c r="B3828" i="3"/>
  <c r="A3828" i="3"/>
  <c r="B3827" i="3"/>
  <c r="A3827" i="3"/>
  <c r="B3826" i="3"/>
  <c r="A3826" i="3"/>
  <c r="B3825" i="3"/>
  <c r="A3825" i="3"/>
  <c r="B3824" i="3"/>
  <c r="A3824" i="3"/>
  <c r="B3823" i="3"/>
  <c r="A3823" i="3"/>
  <c r="B3822" i="3"/>
  <c r="A3822" i="3"/>
  <c r="B3821" i="3"/>
  <c r="A3821" i="3"/>
  <c r="B3820" i="3"/>
  <c r="A3820" i="3"/>
  <c r="B3819" i="3"/>
  <c r="A3819" i="3"/>
  <c r="B3818" i="3"/>
  <c r="A3818" i="3"/>
  <c r="B3817" i="3"/>
  <c r="A3817" i="3"/>
  <c r="B3816" i="3"/>
  <c r="A3816" i="3"/>
  <c r="B3815" i="3"/>
  <c r="A3815" i="3"/>
  <c r="B3814" i="3"/>
  <c r="A3814" i="3"/>
  <c r="B3813" i="3"/>
  <c r="A3813" i="3"/>
  <c r="B3812" i="3"/>
  <c r="A3812" i="3"/>
  <c r="B3811" i="3"/>
  <c r="A3811" i="3"/>
  <c r="B3810" i="3"/>
  <c r="A3810" i="3"/>
  <c r="B3809" i="3"/>
  <c r="A3809" i="3"/>
  <c r="B3808" i="3"/>
  <c r="A3808" i="3"/>
  <c r="B3807" i="3"/>
  <c r="A3807" i="3"/>
  <c r="B3806" i="3"/>
  <c r="A3806" i="3"/>
  <c r="B3805" i="3"/>
  <c r="A3805" i="3"/>
  <c r="B3804" i="3"/>
  <c r="A3804" i="3"/>
  <c r="B3803" i="3"/>
  <c r="A3803" i="3"/>
  <c r="B3802" i="3"/>
  <c r="A3802" i="3"/>
  <c r="B3801" i="3"/>
  <c r="A3801" i="3"/>
  <c r="B3800" i="3"/>
  <c r="A3800" i="3"/>
  <c r="B3799" i="3"/>
  <c r="A3799" i="3"/>
  <c r="B3798" i="3"/>
  <c r="A3798" i="3"/>
  <c r="B3797" i="3"/>
  <c r="A3797" i="3"/>
  <c r="B3796" i="3"/>
  <c r="A3796" i="3"/>
  <c r="B3795" i="3"/>
  <c r="A3795" i="3"/>
  <c r="B3794" i="3"/>
  <c r="A3794" i="3"/>
  <c r="B3793" i="3"/>
  <c r="A3793" i="3"/>
  <c r="B3792" i="3"/>
  <c r="A3792" i="3"/>
  <c r="B3791" i="3"/>
  <c r="A3791" i="3"/>
  <c r="B3790" i="3"/>
  <c r="A3790" i="3"/>
  <c r="B3789" i="3"/>
  <c r="A3789" i="3"/>
  <c r="B3788" i="3"/>
  <c r="A3788" i="3"/>
  <c r="B3787" i="3"/>
  <c r="A3787" i="3"/>
  <c r="B3786" i="3"/>
  <c r="A3786" i="3"/>
  <c r="B3785" i="3"/>
  <c r="A3785" i="3"/>
  <c r="B3784" i="3"/>
  <c r="A3784" i="3"/>
  <c r="B3783" i="3"/>
  <c r="A3783" i="3"/>
  <c r="B3782" i="3"/>
  <c r="A3782" i="3"/>
  <c r="B3781" i="3"/>
  <c r="A3781" i="3"/>
  <c r="B3780" i="3"/>
  <c r="A3780" i="3"/>
  <c r="B3779" i="3"/>
  <c r="A3779" i="3"/>
  <c r="B3778" i="3"/>
  <c r="A3778" i="3"/>
  <c r="B3777" i="3"/>
  <c r="A3777" i="3"/>
  <c r="B3776" i="3"/>
  <c r="A3776" i="3"/>
  <c r="B3775" i="3"/>
  <c r="A3775" i="3"/>
  <c r="B3774" i="3"/>
  <c r="A3774" i="3"/>
  <c r="B3773" i="3"/>
  <c r="A3773" i="3"/>
  <c r="B3772" i="3"/>
  <c r="A3772" i="3"/>
  <c r="B3771" i="3"/>
  <c r="A3771" i="3"/>
  <c r="B3770" i="3"/>
  <c r="A3770" i="3"/>
  <c r="B3769" i="3"/>
  <c r="A3769" i="3"/>
  <c r="B3768" i="3"/>
  <c r="A3768" i="3"/>
  <c r="B3767" i="3"/>
  <c r="A3767" i="3"/>
  <c r="B3766" i="3"/>
  <c r="A3766" i="3"/>
  <c r="B3765" i="3"/>
  <c r="A3765" i="3"/>
  <c r="B3764" i="3"/>
  <c r="A3764" i="3"/>
  <c r="B3763" i="3"/>
  <c r="A3763" i="3"/>
  <c r="B3762" i="3"/>
  <c r="A3762" i="3"/>
  <c r="B3761" i="3"/>
  <c r="A3761" i="3"/>
  <c r="B3760" i="3"/>
  <c r="A3760" i="3"/>
  <c r="B3759" i="3"/>
  <c r="A3759" i="3"/>
  <c r="B3758" i="3"/>
  <c r="A3758" i="3"/>
  <c r="B3757" i="3"/>
  <c r="A3757" i="3"/>
  <c r="B3756" i="3"/>
  <c r="A3756" i="3"/>
  <c r="B3755" i="3"/>
  <c r="A3755" i="3"/>
  <c r="B3754" i="3"/>
  <c r="A3754" i="3"/>
  <c r="B3753" i="3"/>
  <c r="A3753" i="3"/>
  <c r="B3752" i="3"/>
  <c r="A3752" i="3"/>
  <c r="B3751" i="3"/>
  <c r="A3751" i="3"/>
  <c r="B3750" i="3"/>
  <c r="A3750" i="3"/>
  <c r="B3749" i="3"/>
  <c r="A3749" i="3"/>
  <c r="B3748" i="3"/>
  <c r="A3748" i="3"/>
  <c r="B3747" i="3"/>
  <c r="A3747" i="3"/>
  <c r="B3746" i="3"/>
  <c r="A3746" i="3"/>
  <c r="B3745" i="3"/>
  <c r="A3745" i="3"/>
  <c r="B3744" i="3"/>
  <c r="A3744" i="3"/>
  <c r="B3743" i="3"/>
  <c r="A3743" i="3"/>
  <c r="B3742" i="3"/>
  <c r="A3742" i="3"/>
  <c r="B3741" i="3"/>
  <c r="A3741" i="3"/>
  <c r="B3740" i="3"/>
  <c r="A3740" i="3"/>
  <c r="B3739" i="3"/>
  <c r="A3739" i="3"/>
  <c r="B3738" i="3"/>
  <c r="A3738" i="3"/>
  <c r="B3737" i="3"/>
  <c r="A3737" i="3"/>
  <c r="B3736" i="3"/>
  <c r="A3736" i="3"/>
  <c r="B3735" i="3"/>
  <c r="A3735" i="3"/>
  <c r="B3734" i="3"/>
  <c r="A3734" i="3"/>
  <c r="B3733" i="3"/>
  <c r="A3733" i="3"/>
  <c r="B3732" i="3"/>
  <c r="A3732" i="3"/>
  <c r="B3731" i="3"/>
  <c r="A3731" i="3"/>
  <c r="B3730" i="3"/>
  <c r="A3730" i="3"/>
  <c r="B3729" i="3"/>
  <c r="A3729" i="3"/>
  <c r="B3728" i="3"/>
  <c r="A3728" i="3"/>
  <c r="B3727" i="3"/>
  <c r="A3727" i="3"/>
  <c r="B3726" i="3"/>
  <c r="A3726" i="3"/>
  <c r="B3725" i="3"/>
  <c r="A3725" i="3"/>
  <c r="B3724" i="3"/>
  <c r="A3724" i="3"/>
  <c r="B3723" i="3"/>
  <c r="A3723" i="3"/>
  <c r="B3722" i="3"/>
  <c r="A3722" i="3"/>
  <c r="B3721" i="3"/>
  <c r="A3721" i="3"/>
  <c r="B3720" i="3"/>
  <c r="A3720" i="3"/>
  <c r="B3719" i="3"/>
  <c r="A3719" i="3"/>
  <c r="B3718" i="3"/>
  <c r="A3718" i="3"/>
  <c r="B3717" i="3"/>
  <c r="A3717" i="3"/>
  <c r="B3716" i="3"/>
  <c r="A3716" i="3"/>
  <c r="B3715" i="3"/>
  <c r="A3715" i="3"/>
  <c r="B3714" i="3"/>
  <c r="A3714" i="3"/>
  <c r="B3713" i="3"/>
  <c r="A3713" i="3"/>
  <c r="B3712" i="3"/>
  <c r="A3712" i="3"/>
  <c r="B3711" i="3"/>
  <c r="A3711" i="3"/>
  <c r="B3710" i="3"/>
  <c r="A3710" i="3"/>
  <c r="B3709" i="3"/>
  <c r="A3709" i="3"/>
  <c r="B3708" i="3"/>
  <c r="A3708" i="3"/>
  <c r="B3707" i="3"/>
  <c r="A3707" i="3"/>
  <c r="B3706" i="3"/>
  <c r="A3706" i="3"/>
  <c r="B3705" i="3"/>
  <c r="A3705" i="3"/>
  <c r="B3704" i="3"/>
  <c r="A3704" i="3"/>
  <c r="B3703" i="3"/>
  <c r="A3703" i="3"/>
  <c r="B3702" i="3"/>
  <c r="A3702" i="3"/>
  <c r="B3701" i="3"/>
  <c r="A3701" i="3"/>
  <c r="B3700" i="3"/>
  <c r="A3700" i="3"/>
  <c r="B3699" i="3"/>
  <c r="A3699" i="3"/>
  <c r="B3698" i="3"/>
  <c r="A3698" i="3"/>
  <c r="B3697" i="3"/>
  <c r="A3697" i="3"/>
  <c r="B3696" i="3"/>
  <c r="A3696" i="3"/>
  <c r="B3695" i="3"/>
  <c r="A3695" i="3"/>
  <c r="B3694" i="3"/>
  <c r="A3694" i="3"/>
  <c r="B3693" i="3"/>
  <c r="A3693" i="3"/>
  <c r="B3692" i="3"/>
  <c r="A3692" i="3"/>
  <c r="B3691" i="3"/>
  <c r="A3691" i="3"/>
  <c r="B3690" i="3"/>
  <c r="A3690" i="3"/>
  <c r="B3689" i="3"/>
  <c r="A3689" i="3"/>
  <c r="B3688" i="3"/>
  <c r="A3688" i="3"/>
  <c r="B3687" i="3"/>
  <c r="A3687" i="3"/>
  <c r="B3686" i="3"/>
  <c r="A3686" i="3"/>
  <c r="B3685" i="3"/>
  <c r="A3685" i="3"/>
  <c r="B3684" i="3"/>
  <c r="A3684" i="3"/>
  <c r="B3683" i="3"/>
  <c r="A3683" i="3"/>
  <c r="B3682" i="3"/>
  <c r="A3682" i="3"/>
  <c r="B3681" i="3"/>
  <c r="A3681" i="3"/>
  <c r="B3680" i="3"/>
  <c r="A3680" i="3"/>
  <c r="B3679" i="3"/>
  <c r="A3679" i="3"/>
  <c r="B3678" i="3"/>
  <c r="A3678" i="3"/>
  <c r="B3677" i="3"/>
  <c r="A3677" i="3"/>
  <c r="B3676" i="3"/>
  <c r="A3676" i="3"/>
  <c r="B3675" i="3"/>
  <c r="A3675" i="3"/>
  <c r="B3674" i="3"/>
  <c r="A3674" i="3"/>
  <c r="B3673" i="3"/>
  <c r="A3673" i="3"/>
  <c r="B3672" i="3"/>
  <c r="A3672" i="3"/>
  <c r="B3671" i="3"/>
  <c r="A3671" i="3"/>
  <c r="B3670" i="3"/>
  <c r="A3670" i="3"/>
  <c r="B3669" i="3"/>
  <c r="A3669" i="3"/>
  <c r="B3668" i="3"/>
  <c r="A3668" i="3"/>
  <c r="B3667" i="3"/>
  <c r="A3667" i="3"/>
  <c r="B3666" i="3"/>
  <c r="A3666" i="3"/>
  <c r="B3665" i="3"/>
  <c r="A3665" i="3"/>
  <c r="B3664" i="3"/>
  <c r="A3664" i="3"/>
  <c r="B3663" i="3"/>
  <c r="A3663" i="3"/>
  <c r="B3662" i="3"/>
  <c r="A3662" i="3"/>
  <c r="B3661" i="3"/>
  <c r="A3661" i="3"/>
  <c r="B3660" i="3"/>
  <c r="A3660" i="3"/>
  <c r="B3659" i="3"/>
  <c r="A3659" i="3"/>
  <c r="B3658" i="3"/>
  <c r="A3658" i="3"/>
  <c r="B3657" i="3"/>
  <c r="A3657" i="3"/>
  <c r="B3656" i="3"/>
  <c r="A3656" i="3"/>
  <c r="B3655" i="3"/>
  <c r="A3655" i="3"/>
  <c r="B3654" i="3"/>
  <c r="A3654" i="3"/>
  <c r="B3653" i="3"/>
  <c r="A3653" i="3"/>
  <c r="B3652" i="3"/>
  <c r="A3652" i="3"/>
  <c r="B3651" i="3"/>
  <c r="A3651" i="3"/>
  <c r="B3650" i="3"/>
  <c r="A3650" i="3"/>
  <c r="B3649" i="3"/>
  <c r="A3649" i="3"/>
  <c r="B3648" i="3"/>
  <c r="A3648" i="3"/>
  <c r="B3647" i="3"/>
  <c r="A3647" i="3"/>
  <c r="B3646" i="3"/>
  <c r="A3646" i="3"/>
  <c r="B3645" i="3"/>
  <c r="A3645" i="3"/>
  <c r="B3644" i="3"/>
  <c r="A3644" i="3"/>
  <c r="B3643" i="3"/>
  <c r="A3643" i="3"/>
  <c r="B3642" i="3"/>
  <c r="A3642" i="3"/>
  <c r="B3641" i="3"/>
  <c r="A3641" i="3"/>
  <c r="B3640" i="3"/>
  <c r="A3640" i="3"/>
  <c r="B3639" i="3"/>
  <c r="A3639" i="3"/>
  <c r="B3638" i="3"/>
  <c r="A3638" i="3"/>
  <c r="B3637" i="3"/>
  <c r="A3637" i="3"/>
  <c r="B3636" i="3"/>
  <c r="A3636" i="3"/>
  <c r="B3635" i="3"/>
  <c r="A3635" i="3"/>
  <c r="B3634" i="3"/>
  <c r="A3634" i="3"/>
  <c r="B3633" i="3"/>
  <c r="A3633" i="3"/>
  <c r="B3632" i="3"/>
  <c r="A3632" i="3"/>
  <c r="B3631" i="3"/>
  <c r="A3631" i="3"/>
  <c r="B3630" i="3"/>
  <c r="A3630" i="3"/>
  <c r="B3629" i="3"/>
  <c r="A3629" i="3"/>
  <c r="B3628" i="3"/>
  <c r="A3628" i="3"/>
  <c r="B3627" i="3"/>
  <c r="A3627" i="3"/>
  <c r="B3626" i="3"/>
  <c r="A3626" i="3"/>
  <c r="B3625" i="3"/>
  <c r="A3625" i="3"/>
  <c r="B3624" i="3"/>
  <c r="A3624" i="3"/>
  <c r="B3623" i="3"/>
  <c r="A3623" i="3"/>
  <c r="B3622" i="3"/>
  <c r="A3622" i="3"/>
  <c r="B3621" i="3"/>
  <c r="A3621" i="3"/>
  <c r="B3620" i="3"/>
  <c r="A3620" i="3"/>
  <c r="B3619" i="3"/>
  <c r="A3619" i="3"/>
  <c r="B3618" i="3"/>
  <c r="A3618" i="3"/>
  <c r="B3617" i="3"/>
  <c r="A3617" i="3"/>
  <c r="B3616" i="3"/>
  <c r="A3616" i="3"/>
  <c r="B3615" i="3"/>
  <c r="A3615" i="3"/>
  <c r="B3614" i="3"/>
  <c r="A3614" i="3"/>
  <c r="B3613" i="3"/>
  <c r="A3613" i="3"/>
  <c r="B3612" i="3"/>
  <c r="A3612" i="3"/>
  <c r="B3611" i="3"/>
  <c r="A3611" i="3"/>
  <c r="B3610" i="3"/>
  <c r="A3610" i="3"/>
  <c r="B3609" i="3"/>
  <c r="A3609" i="3"/>
  <c r="B3608" i="3"/>
  <c r="A3608" i="3"/>
  <c r="B3607" i="3"/>
  <c r="A3607" i="3"/>
  <c r="B3606" i="3"/>
  <c r="A3606" i="3"/>
  <c r="B3605" i="3"/>
  <c r="A3605" i="3"/>
  <c r="B3604" i="3"/>
  <c r="A3604" i="3"/>
  <c r="B3603" i="3"/>
  <c r="A3603" i="3"/>
  <c r="B3602" i="3"/>
  <c r="A3602" i="3"/>
  <c r="B3601" i="3"/>
  <c r="A3601" i="3"/>
  <c r="B3600" i="3"/>
  <c r="A3600" i="3"/>
  <c r="B3599" i="3"/>
  <c r="A3599" i="3"/>
  <c r="B3598" i="3"/>
  <c r="A3598" i="3"/>
  <c r="B3597" i="3"/>
  <c r="A3597" i="3"/>
  <c r="B3596" i="3"/>
  <c r="A3596" i="3"/>
  <c r="B3595" i="3"/>
  <c r="A3595" i="3"/>
  <c r="B3594" i="3"/>
  <c r="A3594" i="3"/>
  <c r="B3593" i="3"/>
  <c r="A3593" i="3"/>
  <c r="B3592" i="3"/>
  <c r="A3592" i="3"/>
  <c r="B3591" i="3"/>
  <c r="A3591" i="3"/>
  <c r="B3590" i="3"/>
  <c r="A3590" i="3"/>
  <c r="B3589" i="3"/>
  <c r="A3589" i="3"/>
  <c r="B3588" i="3"/>
  <c r="A3588" i="3"/>
  <c r="B3587" i="3"/>
  <c r="A3587" i="3"/>
  <c r="B3586" i="3"/>
  <c r="A3586" i="3"/>
  <c r="B3585" i="3"/>
  <c r="A3585" i="3"/>
  <c r="B3584" i="3"/>
  <c r="A3584" i="3"/>
  <c r="B3583" i="3"/>
  <c r="A3583" i="3"/>
  <c r="B3582" i="3"/>
  <c r="A3582" i="3"/>
  <c r="B3581" i="3"/>
  <c r="A3581" i="3"/>
  <c r="B3580" i="3"/>
  <c r="A3580" i="3"/>
  <c r="B3579" i="3"/>
  <c r="A3579" i="3"/>
  <c r="B3578" i="3"/>
  <c r="A3578" i="3"/>
  <c r="B3577" i="3"/>
  <c r="A3577" i="3"/>
  <c r="B3576" i="3"/>
  <c r="A3576" i="3"/>
  <c r="B3575" i="3"/>
  <c r="A3575" i="3"/>
  <c r="B3574" i="3"/>
  <c r="A3574" i="3"/>
  <c r="B3573" i="3"/>
  <c r="A3573" i="3"/>
  <c r="B3572" i="3"/>
  <c r="A3572" i="3"/>
  <c r="B3571" i="3"/>
  <c r="A3571" i="3"/>
  <c r="B3570" i="3"/>
  <c r="A3570" i="3"/>
  <c r="B3569" i="3"/>
  <c r="A3569" i="3"/>
  <c r="B3568" i="3"/>
  <c r="A3568" i="3"/>
  <c r="B3567" i="3"/>
  <c r="A3567" i="3"/>
  <c r="B3566" i="3"/>
  <c r="A3566" i="3"/>
  <c r="B3565" i="3"/>
  <c r="A3565" i="3"/>
  <c r="B3564" i="3"/>
  <c r="A3564" i="3"/>
  <c r="B3563" i="3"/>
  <c r="A3563" i="3"/>
  <c r="B3562" i="3"/>
  <c r="A3562" i="3"/>
  <c r="B3561" i="3"/>
  <c r="A3561" i="3"/>
  <c r="B3560" i="3"/>
  <c r="A3560" i="3"/>
  <c r="B3559" i="3"/>
  <c r="A3559" i="3"/>
  <c r="B3558" i="3"/>
  <c r="A3558" i="3"/>
  <c r="B3557" i="3"/>
  <c r="A3557" i="3"/>
  <c r="B3556" i="3"/>
  <c r="A3556" i="3"/>
  <c r="B3555" i="3"/>
  <c r="A3555" i="3"/>
  <c r="B3554" i="3"/>
  <c r="A3554" i="3"/>
  <c r="B3553" i="3"/>
  <c r="A3553" i="3"/>
  <c r="B3552" i="3"/>
  <c r="A3552" i="3"/>
  <c r="B3551" i="3"/>
  <c r="A3551" i="3"/>
  <c r="B3550" i="3"/>
  <c r="A3550" i="3"/>
  <c r="B3549" i="3"/>
  <c r="A3549" i="3"/>
  <c r="B3548" i="3"/>
  <c r="A3548" i="3"/>
  <c r="B3547" i="3"/>
  <c r="A3547" i="3"/>
  <c r="B3546" i="3"/>
  <c r="A3546" i="3"/>
  <c r="B3545" i="3"/>
  <c r="A3545" i="3"/>
  <c r="B3544" i="3"/>
  <c r="A3544" i="3"/>
  <c r="B3543" i="3"/>
  <c r="A3543" i="3"/>
  <c r="B3542" i="3"/>
  <c r="A3542" i="3"/>
  <c r="B3541" i="3"/>
  <c r="A3541" i="3"/>
  <c r="B3540" i="3"/>
  <c r="A3540" i="3"/>
  <c r="B3539" i="3"/>
  <c r="A3539" i="3"/>
  <c r="B3538" i="3"/>
  <c r="A3538" i="3"/>
  <c r="B3537" i="3"/>
  <c r="A3537" i="3"/>
  <c r="B3536" i="3"/>
  <c r="A3536" i="3"/>
  <c r="B3535" i="3"/>
  <c r="A3535" i="3"/>
  <c r="B3534" i="3"/>
  <c r="A3534" i="3"/>
  <c r="B3533" i="3"/>
  <c r="A3533" i="3"/>
  <c r="B3532" i="3"/>
  <c r="A3532" i="3"/>
  <c r="B3531" i="3"/>
  <c r="A3531" i="3"/>
  <c r="B3530" i="3"/>
  <c r="A3530" i="3"/>
  <c r="B3529" i="3"/>
  <c r="A3529" i="3"/>
  <c r="B3528" i="3"/>
  <c r="A3528" i="3"/>
  <c r="B3527" i="3"/>
  <c r="A3527" i="3"/>
  <c r="B3526" i="3"/>
  <c r="A3526" i="3"/>
  <c r="B3525" i="3"/>
  <c r="A3525" i="3"/>
  <c r="B3524" i="3"/>
  <c r="A3524" i="3"/>
  <c r="B3523" i="3"/>
  <c r="A3523" i="3"/>
  <c r="B3522" i="3"/>
  <c r="A3522" i="3"/>
  <c r="B3521" i="3"/>
  <c r="A3521" i="3"/>
  <c r="B3520" i="3"/>
  <c r="A3520" i="3"/>
  <c r="B3519" i="3"/>
  <c r="A3519" i="3"/>
  <c r="B3518" i="3"/>
  <c r="A3518" i="3"/>
  <c r="B3517" i="3"/>
  <c r="A3517" i="3"/>
  <c r="B3516" i="3"/>
  <c r="A3516" i="3"/>
  <c r="B3515" i="3"/>
  <c r="A3515" i="3"/>
  <c r="B3514" i="3"/>
  <c r="A3514" i="3"/>
  <c r="B3513" i="3"/>
  <c r="A3513" i="3"/>
  <c r="B3512" i="3"/>
  <c r="A3512" i="3"/>
  <c r="B3511" i="3"/>
  <c r="A3511" i="3"/>
  <c r="B3510" i="3"/>
  <c r="A3510" i="3"/>
  <c r="B3509" i="3"/>
  <c r="A3509" i="3"/>
  <c r="B3508" i="3"/>
  <c r="A3508" i="3"/>
  <c r="B3507" i="3"/>
  <c r="A3507" i="3"/>
  <c r="B3506" i="3"/>
  <c r="A3506" i="3"/>
  <c r="B3505" i="3"/>
  <c r="A3505" i="3"/>
  <c r="B3504" i="3"/>
  <c r="A3504" i="3"/>
  <c r="B3503" i="3"/>
  <c r="A3503" i="3"/>
  <c r="B3502" i="3"/>
  <c r="A3502" i="3"/>
  <c r="B3501" i="3"/>
  <c r="A3501" i="3"/>
  <c r="B3500" i="3"/>
  <c r="A3500" i="3"/>
  <c r="B3499" i="3"/>
  <c r="A3499" i="3"/>
  <c r="B3498" i="3"/>
  <c r="A3498" i="3"/>
  <c r="B3497" i="3"/>
  <c r="A3497" i="3"/>
  <c r="B3496" i="3"/>
  <c r="A3496" i="3"/>
  <c r="B3495" i="3"/>
  <c r="A3495" i="3"/>
  <c r="B3494" i="3"/>
  <c r="A3494" i="3"/>
  <c r="B3493" i="3"/>
  <c r="A3493" i="3"/>
  <c r="B3492" i="3"/>
  <c r="A3492" i="3"/>
  <c r="B3491" i="3"/>
  <c r="A3491" i="3"/>
  <c r="B3490" i="3"/>
  <c r="A3490" i="3"/>
  <c r="B3489" i="3"/>
  <c r="A3489" i="3"/>
  <c r="B3488" i="3"/>
  <c r="A3488" i="3"/>
  <c r="B3487" i="3"/>
  <c r="A3487" i="3"/>
  <c r="B3486" i="3"/>
  <c r="A3486" i="3"/>
  <c r="B3485" i="3"/>
  <c r="A3485" i="3"/>
  <c r="B3484" i="3"/>
  <c r="A3484" i="3"/>
  <c r="B3483" i="3"/>
  <c r="A3483" i="3"/>
  <c r="B3482" i="3"/>
  <c r="A3482" i="3"/>
  <c r="B3481" i="3"/>
  <c r="A3481" i="3"/>
  <c r="B3480" i="3"/>
  <c r="A3480" i="3"/>
  <c r="B3479" i="3"/>
  <c r="A3479" i="3"/>
  <c r="B3478" i="3"/>
  <c r="A3478" i="3"/>
  <c r="B3477" i="3"/>
  <c r="A3477" i="3"/>
  <c r="B3476" i="3"/>
  <c r="A3476" i="3"/>
  <c r="B3475" i="3"/>
  <c r="A3475" i="3"/>
  <c r="B3474" i="3"/>
  <c r="A3474" i="3"/>
  <c r="B3473" i="3"/>
  <c r="A3473" i="3"/>
  <c r="B3472" i="3"/>
  <c r="A3472" i="3"/>
  <c r="B3471" i="3"/>
  <c r="A3471" i="3"/>
  <c r="B3470" i="3"/>
  <c r="A3470" i="3"/>
  <c r="B3469" i="3"/>
  <c r="A3469" i="3"/>
  <c r="B3468" i="3"/>
  <c r="A3468" i="3"/>
  <c r="B3467" i="3"/>
  <c r="A3467" i="3"/>
  <c r="B3466" i="3"/>
  <c r="A3466" i="3"/>
  <c r="B3465" i="3"/>
  <c r="A3465" i="3"/>
  <c r="B3464" i="3"/>
  <c r="A3464" i="3"/>
  <c r="B3463" i="3"/>
  <c r="A3463" i="3"/>
  <c r="B3462" i="3"/>
  <c r="A3462" i="3"/>
  <c r="B3461" i="3"/>
  <c r="A3461" i="3"/>
  <c r="B3460" i="3"/>
  <c r="A3460" i="3"/>
  <c r="B3459" i="3"/>
  <c r="A3459" i="3"/>
  <c r="B3458" i="3"/>
  <c r="A3458" i="3"/>
  <c r="B3457" i="3"/>
  <c r="A3457" i="3"/>
  <c r="B3456" i="3"/>
  <c r="A3456" i="3"/>
  <c r="B3455" i="3"/>
  <c r="A3455" i="3"/>
  <c r="B3454" i="3"/>
  <c r="A3454" i="3"/>
  <c r="B3453" i="3"/>
  <c r="A3453" i="3"/>
  <c r="B3452" i="3"/>
  <c r="A3452" i="3"/>
  <c r="B3451" i="3"/>
  <c r="A3451" i="3"/>
  <c r="B3450" i="3"/>
  <c r="A3450" i="3"/>
  <c r="B3449" i="3"/>
  <c r="A3449" i="3"/>
  <c r="B3448" i="3"/>
  <c r="A3448" i="3"/>
  <c r="B3447" i="3"/>
  <c r="A3447" i="3"/>
  <c r="B3446" i="3"/>
  <c r="A3446" i="3"/>
  <c r="B3445" i="3"/>
  <c r="A3445" i="3"/>
  <c r="B3444" i="3"/>
  <c r="A3444" i="3"/>
  <c r="B3443" i="3"/>
  <c r="A3443" i="3"/>
  <c r="B3442" i="3"/>
  <c r="A3442" i="3"/>
  <c r="B3441" i="3"/>
  <c r="A3441" i="3"/>
  <c r="B3440" i="3"/>
  <c r="A3440" i="3"/>
  <c r="B3439" i="3"/>
  <c r="A3439" i="3"/>
  <c r="B3438" i="3"/>
  <c r="A3438" i="3"/>
  <c r="B3437" i="3"/>
  <c r="A3437" i="3"/>
  <c r="B3436" i="3"/>
  <c r="A3436" i="3"/>
  <c r="B3435" i="3"/>
  <c r="A3435" i="3"/>
  <c r="B3434" i="3"/>
  <c r="A3434" i="3"/>
  <c r="B3433" i="3"/>
  <c r="A3433" i="3"/>
  <c r="B3432" i="3"/>
  <c r="A3432" i="3"/>
  <c r="B3431" i="3"/>
  <c r="A3431" i="3"/>
  <c r="B3430" i="3"/>
  <c r="A3430" i="3"/>
  <c r="B3429" i="3"/>
  <c r="A3429" i="3"/>
  <c r="B3428" i="3"/>
  <c r="A3428" i="3"/>
  <c r="B3427" i="3"/>
  <c r="A3427" i="3"/>
  <c r="B3426" i="3"/>
  <c r="A3426" i="3"/>
  <c r="B3425" i="3"/>
  <c r="A3425" i="3"/>
  <c r="B3424" i="3"/>
  <c r="A3424" i="3"/>
  <c r="B3423" i="3"/>
  <c r="A3423" i="3"/>
  <c r="B3422" i="3"/>
  <c r="A3422" i="3"/>
  <c r="B3421" i="3"/>
  <c r="A3421" i="3"/>
  <c r="B3420" i="3"/>
  <c r="A3420" i="3"/>
  <c r="B3419" i="3"/>
  <c r="A3419" i="3"/>
  <c r="B3418" i="3"/>
  <c r="A3418" i="3"/>
  <c r="B3417" i="3"/>
  <c r="A3417" i="3"/>
  <c r="B3416" i="3"/>
  <c r="A3416" i="3"/>
  <c r="B3415" i="3"/>
  <c r="A3415" i="3"/>
  <c r="B3414" i="3"/>
  <c r="A3414" i="3"/>
  <c r="B3413" i="3"/>
  <c r="A3413" i="3"/>
  <c r="B3412" i="3"/>
  <c r="A3412" i="3"/>
  <c r="B3411" i="3"/>
  <c r="A3411" i="3"/>
  <c r="B3410" i="3"/>
  <c r="A3410" i="3"/>
  <c r="B3409" i="3"/>
  <c r="A3409" i="3"/>
  <c r="B3408" i="3"/>
  <c r="A3408" i="3"/>
  <c r="B3407" i="3"/>
  <c r="A3407" i="3"/>
  <c r="B3406" i="3"/>
  <c r="A3406" i="3"/>
  <c r="B3405" i="3"/>
  <c r="A3405" i="3"/>
  <c r="B3404" i="3"/>
  <c r="A3404" i="3"/>
  <c r="B3403" i="3"/>
  <c r="A3403" i="3"/>
  <c r="B3402" i="3"/>
  <c r="A3402" i="3"/>
  <c r="B3401" i="3"/>
  <c r="A3401" i="3"/>
  <c r="B3400" i="3"/>
  <c r="A3400" i="3"/>
  <c r="B3399" i="3"/>
  <c r="A3399" i="3"/>
  <c r="B3398" i="3"/>
  <c r="A3398" i="3"/>
  <c r="B3397" i="3"/>
  <c r="A3397" i="3"/>
  <c r="B3396" i="3"/>
  <c r="A3396" i="3"/>
  <c r="B3395" i="3"/>
  <c r="A3395" i="3"/>
  <c r="B3394" i="3"/>
  <c r="A3394" i="3"/>
  <c r="B3393" i="3"/>
  <c r="A3393" i="3"/>
  <c r="B3392" i="3"/>
  <c r="A3392" i="3"/>
  <c r="B3391" i="3"/>
  <c r="A3391" i="3"/>
  <c r="B3390" i="3"/>
  <c r="A3390" i="3"/>
  <c r="B3389" i="3"/>
  <c r="A3389" i="3"/>
  <c r="B3388" i="3"/>
  <c r="A3388" i="3"/>
  <c r="B3387" i="3"/>
  <c r="A3387" i="3"/>
  <c r="B3386" i="3"/>
  <c r="A3386" i="3"/>
  <c r="B3385" i="3"/>
  <c r="A3385" i="3"/>
  <c r="B3384" i="3"/>
  <c r="A3384" i="3"/>
  <c r="B3383" i="3"/>
  <c r="A3383" i="3"/>
  <c r="B3382" i="3"/>
  <c r="A3382" i="3"/>
  <c r="B3381" i="3"/>
  <c r="A3381" i="3"/>
  <c r="B3380" i="3"/>
  <c r="A3380" i="3"/>
  <c r="B3379" i="3"/>
  <c r="A3379" i="3"/>
  <c r="B3378" i="3"/>
  <c r="A3378" i="3"/>
  <c r="B3377" i="3"/>
  <c r="A3377" i="3"/>
  <c r="B3376" i="3"/>
  <c r="A3376" i="3"/>
  <c r="B3375" i="3"/>
  <c r="A3375" i="3"/>
  <c r="B3374" i="3"/>
  <c r="A3374" i="3"/>
  <c r="B3373" i="3"/>
  <c r="A3373" i="3"/>
  <c r="B3372" i="3"/>
  <c r="A3372" i="3"/>
  <c r="B3371" i="3"/>
  <c r="A3371" i="3"/>
  <c r="B3370" i="3"/>
  <c r="A3370" i="3"/>
  <c r="B3369" i="3"/>
  <c r="A3369" i="3"/>
  <c r="B3368" i="3"/>
  <c r="A3368" i="3"/>
  <c r="B3367" i="3"/>
  <c r="A3367" i="3"/>
  <c r="B3366" i="3"/>
  <c r="A3366" i="3"/>
  <c r="B3365" i="3"/>
  <c r="A3365" i="3"/>
  <c r="B3364" i="3"/>
  <c r="A3364" i="3"/>
  <c r="B3363" i="3"/>
  <c r="A3363" i="3"/>
  <c r="B3362" i="3"/>
  <c r="A3362" i="3"/>
  <c r="B3361" i="3"/>
  <c r="A3361" i="3"/>
  <c r="B3360" i="3"/>
  <c r="A3360" i="3"/>
  <c r="B3359" i="3"/>
  <c r="A3359" i="3"/>
  <c r="B3358" i="3"/>
  <c r="A3358" i="3"/>
  <c r="B3357" i="3"/>
  <c r="A3357" i="3"/>
  <c r="B3356" i="3"/>
  <c r="A3356" i="3"/>
  <c r="B3355" i="3"/>
  <c r="A3355" i="3"/>
  <c r="B3354" i="3"/>
  <c r="A3354" i="3"/>
  <c r="B3353" i="3"/>
  <c r="A3353" i="3"/>
  <c r="B3352" i="3"/>
  <c r="A3352" i="3"/>
  <c r="B3351" i="3"/>
  <c r="A3351" i="3"/>
  <c r="B3350" i="3"/>
  <c r="A3350" i="3"/>
  <c r="B3349" i="3"/>
  <c r="A3349" i="3"/>
  <c r="B3348" i="3"/>
  <c r="A3348" i="3"/>
  <c r="B3347" i="3"/>
  <c r="A3347" i="3"/>
  <c r="B3346" i="3"/>
  <c r="A3346" i="3"/>
  <c r="B3345" i="3"/>
  <c r="A3345" i="3"/>
  <c r="B3344" i="3"/>
  <c r="A3344" i="3"/>
  <c r="B3343" i="3"/>
  <c r="A3343" i="3"/>
  <c r="B3342" i="3"/>
  <c r="A3342" i="3"/>
  <c r="B3341" i="3"/>
  <c r="A3341" i="3"/>
  <c r="B3340" i="3"/>
  <c r="A3340" i="3"/>
  <c r="B3339" i="3"/>
  <c r="A3339" i="3"/>
  <c r="B3338" i="3"/>
  <c r="A3338" i="3"/>
  <c r="B3337" i="3"/>
  <c r="A3337" i="3"/>
  <c r="B3336" i="3"/>
  <c r="A3336" i="3"/>
  <c r="B3335" i="3"/>
  <c r="A3335" i="3"/>
  <c r="B3334" i="3"/>
  <c r="A3334" i="3"/>
  <c r="B3333" i="3"/>
  <c r="A3333" i="3"/>
  <c r="B3332" i="3"/>
  <c r="A3332" i="3"/>
  <c r="B3331" i="3"/>
  <c r="A3331" i="3"/>
  <c r="B3330" i="3"/>
  <c r="A3330" i="3"/>
  <c r="B3329" i="3"/>
  <c r="A3329" i="3"/>
  <c r="B3328" i="3"/>
  <c r="A3328" i="3"/>
  <c r="B3327" i="3"/>
  <c r="A3327" i="3"/>
  <c r="B3326" i="3"/>
  <c r="A3326" i="3"/>
  <c r="B3325" i="3"/>
  <c r="A3325" i="3"/>
  <c r="B3324" i="3"/>
  <c r="A3324" i="3"/>
  <c r="B3323" i="3"/>
  <c r="A3323" i="3"/>
  <c r="B3322" i="3"/>
  <c r="A3322" i="3"/>
  <c r="B3321" i="3"/>
  <c r="A3321" i="3"/>
  <c r="B3320" i="3"/>
  <c r="A3320" i="3"/>
  <c r="B3319" i="3"/>
  <c r="A3319" i="3"/>
  <c r="B3318" i="3"/>
  <c r="A3318" i="3"/>
  <c r="B3317" i="3"/>
  <c r="A3317" i="3"/>
  <c r="B3316" i="3"/>
  <c r="A3316" i="3"/>
  <c r="B3315" i="3"/>
  <c r="A3315" i="3"/>
  <c r="B3314" i="3"/>
  <c r="A3314" i="3"/>
  <c r="B3313" i="3"/>
  <c r="A3313" i="3"/>
  <c r="B3312" i="3"/>
  <c r="A3312" i="3"/>
  <c r="B3311" i="3"/>
  <c r="A3311" i="3"/>
  <c r="B3310" i="3"/>
  <c r="A3310" i="3"/>
  <c r="B3309" i="3"/>
  <c r="A3309" i="3"/>
  <c r="B3308" i="3"/>
  <c r="A3308" i="3"/>
  <c r="B3307" i="3"/>
  <c r="A3307" i="3"/>
  <c r="B3306" i="3"/>
  <c r="A3306" i="3"/>
  <c r="B3305" i="3"/>
  <c r="A3305" i="3"/>
  <c r="B3304" i="3"/>
  <c r="A3304" i="3"/>
  <c r="B3303" i="3"/>
  <c r="A3303" i="3"/>
  <c r="B3302" i="3"/>
  <c r="A3302" i="3"/>
  <c r="B3301" i="3"/>
  <c r="A3301" i="3"/>
  <c r="B3300" i="3"/>
  <c r="A3300" i="3"/>
  <c r="B3299" i="3"/>
  <c r="A3299" i="3"/>
  <c r="B3298" i="3"/>
  <c r="A3298" i="3"/>
  <c r="B3297" i="3"/>
  <c r="A3297" i="3"/>
  <c r="B3296" i="3"/>
  <c r="A3296" i="3"/>
  <c r="B3295" i="3"/>
  <c r="A3295" i="3"/>
  <c r="B3294" i="3"/>
  <c r="A3294" i="3"/>
  <c r="B3293" i="3"/>
  <c r="A3293" i="3"/>
  <c r="B3292" i="3"/>
  <c r="A3292" i="3"/>
  <c r="B3291" i="3"/>
  <c r="A3291" i="3"/>
  <c r="B3290" i="3"/>
  <c r="A3290" i="3"/>
  <c r="B3289" i="3"/>
  <c r="A3289" i="3"/>
  <c r="B3288" i="3"/>
  <c r="A3288" i="3"/>
  <c r="B3287" i="3"/>
  <c r="A3287" i="3"/>
  <c r="B3286" i="3"/>
  <c r="A3286" i="3"/>
  <c r="B3285" i="3"/>
  <c r="A3285" i="3"/>
  <c r="B3284" i="3"/>
  <c r="A3284" i="3"/>
  <c r="B3283" i="3"/>
  <c r="A3283" i="3"/>
  <c r="B3282" i="3"/>
  <c r="A3282" i="3"/>
  <c r="B3281" i="3"/>
  <c r="A3281" i="3"/>
  <c r="B3280" i="3"/>
  <c r="A3280" i="3"/>
  <c r="B3279" i="3"/>
  <c r="A3279" i="3"/>
  <c r="B3278" i="3"/>
  <c r="A3278" i="3"/>
  <c r="B3277" i="3"/>
  <c r="A3277" i="3"/>
  <c r="B3276" i="3"/>
  <c r="A3276" i="3"/>
  <c r="B3275" i="3"/>
  <c r="A3275" i="3"/>
  <c r="B3274" i="3"/>
  <c r="A3274" i="3"/>
  <c r="B3273" i="3"/>
  <c r="A3273" i="3"/>
  <c r="B3272" i="3"/>
  <c r="A3272" i="3"/>
  <c r="B3271" i="3"/>
  <c r="A3271" i="3"/>
  <c r="B3270" i="3"/>
  <c r="A3270" i="3"/>
  <c r="B3269" i="3"/>
  <c r="A3269" i="3"/>
  <c r="B3268" i="3"/>
  <c r="A3268" i="3"/>
  <c r="B3267" i="3"/>
  <c r="A3267" i="3"/>
  <c r="B3266" i="3"/>
  <c r="A3266" i="3"/>
  <c r="B3265" i="3"/>
  <c r="A3265" i="3"/>
  <c r="B3264" i="3"/>
  <c r="A3264" i="3"/>
  <c r="B3263" i="3"/>
  <c r="A3263" i="3"/>
  <c r="B3262" i="3"/>
  <c r="A3262" i="3"/>
  <c r="B3261" i="3"/>
  <c r="A3261" i="3"/>
  <c r="B3260" i="3"/>
  <c r="A3260" i="3"/>
  <c r="B3259" i="3"/>
  <c r="A3259" i="3"/>
  <c r="B3258" i="3"/>
  <c r="A3258" i="3"/>
  <c r="B3257" i="3"/>
  <c r="A3257" i="3"/>
  <c r="B3256" i="3"/>
  <c r="A3256" i="3"/>
  <c r="B3255" i="3"/>
  <c r="A3255" i="3"/>
  <c r="B3254" i="3"/>
  <c r="A3254" i="3"/>
  <c r="B3253" i="3"/>
  <c r="A3253" i="3"/>
  <c r="B3252" i="3"/>
  <c r="A3252" i="3"/>
  <c r="B3251" i="3"/>
  <c r="A3251" i="3"/>
  <c r="B3250" i="3"/>
  <c r="A3250" i="3"/>
  <c r="B3249" i="3"/>
  <c r="A3249" i="3"/>
  <c r="B3248" i="3"/>
  <c r="A3248" i="3"/>
  <c r="B3247" i="3"/>
  <c r="A3247" i="3"/>
  <c r="B3246" i="3"/>
  <c r="A3246" i="3"/>
  <c r="B3245" i="3"/>
  <c r="A3245" i="3"/>
  <c r="B3244" i="3"/>
  <c r="A3244" i="3"/>
  <c r="B3243" i="3"/>
  <c r="A3243" i="3"/>
  <c r="B3242" i="3"/>
  <c r="A3242" i="3"/>
  <c r="B3241" i="3"/>
  <c r="A3241" i="3"/>
  <c r="B3240" i="3"/>
  <c r="A3240" i="3"/>
  <c r="B3239" i="3"/>
  <c r="A3239" i="3"/>
  <c r="B3238" i="3"/>
  <c r="A3238" i="3"/>
  <c r="B3237" i="3"/>
  <c r="A3237" i="3"/>
  <c r="B3236" i="3"/>
  <c r="A3236" i="3"/>
  <c r="B3235" i="3"/>
  <c r="A3235" i="3"/>
  <c r="B3234" i="3"/>
  <c r="A3234" i="3"/>
  <c r="B3233" i="3"/>
  <c r="A3233" i="3"/>
  <c r="B3232" i="3"/>
  <c r="A3232" i="3"/>
  <c r="B3231" i="3"/>
  <c r="A3231" i="3"/>
  <c r="B3230" i="3"/>
  <c r="A3230" i="3"/>
  <c r="B3229" i="3"/>
  <c r="A3229" i="3"/>
  <c r="B3228" i="3"/>
  <c r="A3228" i="3"/>
  <c r="B3227" i="3"/>
  <c r="A3227" i="3"/>
  <c r="B3226" i="3"/>
  <c r="A3226" i="3"/>
  <c r="B3225" i="3"/>
  <c r="A3225" i="3"/>
  <c r="B3224" i="3"/>
  <c r="A3224" i="3"/>
  <c r="B3223" i="3"/>
  <c r="A3223" i="3"/>
  <c r="B3222" i="3"/>
  <c r="A3222" i="3"/>
  <c r="B3221" i="3"/>
  <c r="A3221" i="3"/>
  <c r="B3220" i="3"/>
  <c r="A3220" i="3"/>
  <c r="B3219" i="3"/>
  <c r="A3219" i="3"/>
  <c r="B3218" i="3"/>
  <c r="A3218" i="3"/>
  <c r="B3217" i="3"/>
  <c r="A3217" i="3"/>
  <c r="B3216" i="3"/>
  <c r="A3216" i="3"/>
  <c r="B3215" i="3"/>
  <c r="A3215" i="3"/>
  <c r="B3214" i="3"/>
  <c r="A3214" i="3"/>
  <c r="B3213" i="3"/>
  <c r="A3213" i="3"/>
  <c r="B3212" i="3"/>
  <c r="A3212" i="3"/>
  <c r="B3211" i="3"/>
  <c r="A3211" i="3"/>
  <c r="B3210" i="3"/>
  <c r="A3210" i="3"/>
  <c r="B3209" i="3"/>
  <c r="A3209" i="3"/>
  <c r="B3208" i="3"/>
  <c r="A3208" i="3"/>
  <c r="B3207" i="3"/>
  <c r="A3207" i="3"/>
  <c r="B3206" i="3"/>
  <c r="A3206" i="3"/>
  <c r="B3205" i="3"/>
  <c r="A3205" i="3"/>
  <c r="B3204" i="3"/>
  <c r="A3204" i="3"/>
  <c r="B3203" i="3"/>
  <c r="A3203" i="3"/>
  <c r="B3202" i="3"/>
  <c r="A3202" i="3"/>
  <c r="B3201" i="3"/>
  <c r="A3201" i="3"/>
  <c r="B3200" i="3"/>
  <c r="A3200" i="3"/>
  <c r="B3199" i="3"/>
  <c r="A3199" i="3"/>
  <c r="B3198" i="3"/>
  <c r="A3198" i="3"/>
  <c r="B3197" i="3"/>
  <c r="A3197" i="3"/>
  <c r="B3196" i="3"/>
  <c r="A3196" i="3"/>
  <c r="B3195" i="3"/>
  <c r="A3195" i="3"/>
  <c r="B3194" i="3"/>
  <c r="A3194" i="3"/>
  <c r="B3193" i="3"/>
  <c r="A3193" i="3"/>
  <c r="B3192" i="3"/>
  <c r="A3192" i="3"/>
  <c r="B3191" i="3"/>
  <c r="A3191" i="3"/>
  <c r="B3190" i="3"/>
  <c r="A3190" i="3"/>
  <c r="B3189" i="3"/>
  <c r="A3189" i="3"/>
  <c r="B3188" i="3"/>
  <c r="A3188" i="3"/>
  <c r="B3187" i="3"/>
  <c r="A3187" i="3"/>
  <c r="B3186" i="3"/>
  <c r="A3186" i="3"/>
  <c r="B3185" i="3"/>
  <c r="A3185" i="3"/>
  <c r="B3184" i="3"/>
  <c r="A3184" i="3"/>
  <c r="B3183" i="3"/>
  <c r="A3183" i="3"/>
  <c r="B3182" i="3"/>
  <c r="A3182" i="3"/>
  <c r="B3181" i="3"/>
  <c r="A3181" i="3"/>
  <c r="B3180" i="3"/>
  <c r="A3180" i="3"/>
  <c r="B3179" i="3"/>
  <c r="A3179" i="3"/>
  <c r="B3178" i="3"/>
  <c r="A3178" i="3"/>
  <c r="B3177" i="3"/>
  <c r="A3177" i="3"/>
  <c r="B3176" i="3"/>
  <c r="A3176" i="3"/>
  <c r="B3175" i="3"/>
  <c r="A3175" i="3"/>
  <c r="B3174" i="3"/>
  <c r="A3174" i="3"/>
  <c r="B3173" i="3"/>
  <c r="A3173" i="3"/>
  <c r="B3172" i="3"/>
  <c r="A3172" i="3"/>
  <c r="B3171" i="3"/>
  <c r="A3171" i="3"/>
  <c r="B3170" i="3"/>
  <c r="A3170" i="3"/>
  <c r="B3169" i="3"/>
  <c r="A3169" i="3"/>
  <c r="B3168" i="3"/>
  <c r="A3168" i="3"/>
  <c r="B3167" i="3"/>
  <c r="A3167" i="3"/>
  <c r="B3166" i="3"/>
  <c r="A3166" i="3"/>
  <c r="B3165" i="3"/>
  <c r="A3165" i="3"/>
  <c r="B3164" i="3"/>
  <c r="A3164" i="3"/>
  <c r="B3163" i="3"/>
  <c r="A3163" i="3"/>
  <c r="B3162" i="3"/>
  <c r="A3162" i="3"/>
  <c r="B3161" i="3"/>
  <c r="A3161" i="3"/>
  <c r="B3160" i="3"/>
  <c r="A3160" i="3"/>
  <c r="B3159" i="3"/>
  <c r="A3159" i="3"/>
  <c r="B3158" i="3"/>
  <c r="A3158" i="3"/>
  <c r="B3157" i="3"/>
  <c r="A3157" i="3"/>
  <c r="B3156" i="3"/>
  <c r="A3156" i="3"/>
  <c r="B3155" i="3"/>
  <c r="A3155" i="3"/>
  <c r="B3154" i="3"/>
  <c r="A3154" i="3"/>
  <c r="B3153" i="3"/>
  <c r="A3153" i="3"/>
  <c r="B3152" i="3"/>
  <c r="A3152" i="3"/>
  <c r="B3151" i="3"/>
  <c r="A3151" i="3"/>
  <c r="B3150" i="3"/>
  <c r="A3150" i="3"/>
  <c r="B3149" i="3"/>
  <c r="A3149" i="3"/>
  <c r="B3148" i="3"/>
  <c r="A3148" i="3"/>
  <c r="B3147" i="3"/>
  <c r="A3147" i="3"/>
  <c r="B3146" i="3"/>
  <c r="A3146" i="3"/>
  <c r="B3145" i="3"/>
  <c r="A3145" i="3"/>
  <c r="B3144" i="3"/>
  <c r="A3144" i="3"/>
  <c r="B3143" i="3"/>
  <c r="A3143" i="3"/>
  <c r="B3142" i="3"/>
  <c r="A3142" i="3"/>
  <c r="B3141" i="3"/>
  <c r="A3141" i="3"/>
  <c r="B3140" i="3"/>
  <c r="A3140" i="3"/>
  <c r="B3139" i="3"/>
  <c r="A3139" i="3"/>
  <c r="B3138" i="3"/>
  <c r="A3138" i="3"/>
  <c r="B3137" i="3"/>
  <c r="A3137" i="3"/>
  <c r="B3136" i="3"/>
  <c r="A3136" i="3"/>
  <c r="B3135" i="3"/>
  <c r="A3135" i="3"/>
  <c r="B3134" i="3"/>
  <c r="A3134" i="3"/>
  <c r="B3133" i="3"/>
  <c r="A3133" i="3"/>
  <c r="B3132" i="3"/>
  <c r="A3132" i="3"/>
  <c r="B3131" i="3"/>
  <c r="A3131" i="3"/>
  <c r="B3130" i="3"/>
  <c r="A3130" i="3"/>
  <c r="B3129" i="3"/>
  <c r="A3129" i="3"/>
  <c r="B3128" i="3"/>
  <c r="A3128" i="3"/>
  <c r="B3127" i="3"/>
  <c r="A3127" i="3"/>
  <c r="B3126" i="3"/>
  <c r="A3126" i="3"/>
  <c r="B3125" i="3"/>
  <c r="A3125" i="3"/>
  <c r="B3124" i="3"/>
  <c r="A3124" i="3"/>
  <c r="B3123" i="3"/>
  <c r="A3123" i="3"/>
  <c r="B3122" i="3"/>
  <c r="A3122" i="3"/>
  <c r="B3121" i="3"/>
  <c r="A3121" i="3"/>
  <c r="B3120" i="3"/>
  <c r="A3120" i="3"/>
  <c r="B3119" i="3"/>
  <c r="A3119" i="3"/>
  <c r="B3118" i="3"/>
  <c r="A3118" i="3"/>
  <c r="B3117" i="3"/>
  <c r="A3117" i="3"/>
  <c r="B3116" i="3"/>
  <c r="A3116" i="3"/>
  <c r="B3115" i="3"/>
  <c r="A3115" i="3"/>
  <c r="B3114" i="3"/>
  <c r="A3114" i="3"/>
  <c r="B3113" i="3"/>
  <c r="A3113" i="3"/>
  <c r="B3112" i="3"/>
  <c r="A3112" i="3"/>
  <c r="B3111" i="3"/>
  <c r="A3111" i="3"/>
  <c r="B3110" i="3"/>
  <c r="A3110" i="3"/>
  <c r="B3109" i="3"/>
  <c r="A3109" i="3"/>
  <c r="B3108" i="3"/>
  <c r="A3108" i="3"/>
  <c r="B3107" i="3"/>
  <c r="A3107" i="3"/>
  <c r="B3106" i="3"/>
  <c r="A3106" i="3"/>
  <c r="B3105" i="3"/>
  <c r="A3105" i="3"/>
  <c r="B3104" i="3"/>
  <c r="A3104" i="3"/>
  <c r="B3103" i="3"/>
  <c r="A3103" i="3"/>
  <c r="B3102" i="3"/>
  <c r="A3102" i="3"/>
  <c r="B3101" i="3"/>
  <c r="A3101" i="3"/>
  <c r="B3100" i="3"/>
  <c r="A3100" i="3"/>
  <c r="B3099" i="3"/>
  <c r="A3099" i="3"/>
  <c r="B3098" i="3"/>
  <c r="A3098" i="3"/>
  <c r="B3097" i="3"/>
  <c r="A3097" i="3"/>
  <c r="B3096" i="3"/>
  <c r="A3096" i="3"/>
  <c r="B3095" i="3"/>
  <c r="A3095" i="3"/>
  <c r="B3094" i="3"/>
  <c r="A3094" i="3"/>
  <c r="B3093" i="3"/>
  <c r="A3093" i="3"/>
  <c r="B3092" i="3"/>
  <c r="A3092" i="3"/>
  <c r="B3091" i="3"/>
  <c r="A3091" i="3"/>
  <c r="B3090" i="3"/>
  <c r="A3090" i="3"/>
  <c r="B3089" i="3"/>
  <c r="A3089" i="3"/>
  <c r="B3088" i="3"/>
  <c r="A3088" i="3"/>
  <c r="B3087" i="3"/>
  <c r="A3087" i="3"/>
  <c r="B3086" i="3"/>
  <c r="A3086" i="3"/>
  <c r="B3085" i="3"/>
  <c r="A3085" i="3"/>
  <c r="B3084" i="3"/>
  <c r="A3084" i="3"/>
  <c r="B3083" i="3"/>
  <c r="A3083" i="3"/>
  <c r="B3082" i="3"/>
  <c r="A3082" i="3"/>
  <c r="B3081" i="3"/>
  <c r="A3081" i="3"/>
  <c r="B3080" i="3"/>
  <c r="A3080" i="3"/>
  <c r="B3079" i="3"/>
  <c r="A3079" i="3"/>
  <c r="B3078" i="3"/>
  <c r="A3078" i="3"/>
  <c r="B3077" i="3"/>
  <c r="A3077" i="3"/>
  <c r="B3076" i="3"/>
  <c r="A3076" i="3"/>
  <c r="B3075" i="3"/>
  <c r="A3075" i="3"/>
  <c r="B3074" i="3"/>
  <c r="A3074" i="3"/>
  <c r="B3073" i="3"/>
  <c r="A3073" i="3"/>
  <c r="B3072" i="3"/>
  <c r="A3072" i="3"/>
  <c r="B3071" i="3"/>
  <c r="A3071" i="3"/>
  <c r="B3070" i="3"/>
  <c r="A3070" i="3"/>
  <c r="B3069" i="3"/>
  <c r="A3069" i="3"/>
  <c r="B3068" i="3"/>
  <c r="A3068" i="3"/>
  <c r="B3067" i="3"/>
  <c r="A3067" i="3"/>
  <c r="B3066" i="3"/>
  <c r="A3066" i="3"/>
  <c r="B3065" i="3"/>
  <c r="A3065" i="3"/>
  <c r="B3064" i="3"/>
  <c r="A3064" i="3"/>
  <c r="B3063" i="3"/>
  <c r="A3063" i="3"/>
  <c r="B3062" i="3"/>
  <c r="A3062" i="3"/>
  <c r="B3061" i="3"/>
  <c r="A3061" i="3"/>
  <c r="B3060" i="3"/>
  <c r="A3060" i="3"/>
  <c r="B3059" i="3"/>
  <c r="A3059" i="3"/>
  <c r="B3058" i="3"/>
  <c r="A3058" i="3"/>
  <c r="B3057" i="3"/>
  <c r="A3057" i="3"/>
  <c r="B3056" i="3"/>
  <c r="A3056" i="3"/>
  <c r="B3055" i="3"/>
  <c r="A3055" i="3"/>
  <c r="B3054" i="3"/>
  <c r="A3054" i="3"/>
  <c r="B3053" i="3"/>
  <c r="A3053" i="3"/>
  <c r="B3052" i="3"/>
  <c r="A3052" i="3"/>
  <c r="B3051" i="3"/>
  <c r="A3051" i="3"/>
  <c r="B3050" i="3"/>
  <c r="A3050" i="3"/>
  <c r="B3049" i="3"/>
  <c r="A3049" i="3"/>
  <c r="B3048" i="3"/>
  <c r="A3048" i="3"/>
  <c r="B3047" i="3"/>
  <c r="A3047" i="3"/>
  <c r="B3046" i="3"/>
  <c r="A3046" i="3"/>
  <c r="B3045" i="3"/>
  <c r="A3045" i="3"/>
  <c r="B3044" i="3"/>
  <c r="A3044" i="3"/>
  <c r="B3043" i="3"/>
  <c r="A3043" i="3"/>
  <c r="B3042" i="3"/>
  <c r="A3042" i="3"/>
  <c r="B3041" i="3"/>
  <c r="A3041" i="3"/>
  <c r="B3040" i="3"/>
  <c r="A3040" i="3"/>
  <c r="B3039" i="3"/>
  <c r="A3039" i="3"/>
  <c r="B3038" i="3"/>
  <c r="A3038" i="3"/>
  <c r="B3037" i="3"/>
  <c r="A3037" i="3"/>
  <c r="B3036" i="3"/>
  <c r="A3036" i="3"/>
  <c r="B3035" i="3"/>
  <c r="A3035" i="3"/>
  <c r="B3034" i="3"/>
  <c r="A3034" i="3"/>
  <c r="B3033" i="3"/>
  <c r="A3033" i="3"/>
  <c r="B3032" i="3"/>
  <c r="A3032" i="3"/>
  <c r="B3031" i="3"/>
  <c r="A3031" i="3"/>
  <c r="B3030" i="3"/>
  <c r="A3030" i="3"/>
  <c r="B3029" i="3"/>
  <c r="A3029" i="3"/>
  <c r="B3028" i="3"/>
  <c r="A3028" i="3"/>
  <c r="B3027" i="3"/>
  <c r="A3027" i="3"/>
  <c r="B3026" i="3"/>
  <c r="A3026" i="3"/>
  <c r="B3025" i="3"/>
  <c r="A3025" i="3"/>
  <c r="B3024" i="3"/>
  <c r="A3024" i="3"/>
  <c r="B3023" i="3"/>
  <c r="A3023" i="3"/>
  <c r="B3022" i="3"/>
  <c r="A3022" i="3"/>
  <c r="B3021" i="3"/>
  <c r="A3021" i="3"/>
  <c r="B3020" i="3"/>
  <c r="A3020" i="3"/>
  <c r="B3019" i="3"/>
  <c r="A3019" i="3"/>
  <c r="B3018" i="3"/>
  <c r="A3018" i="3"/>
  <c r="B3017" i="3"/>
  <c r="A3017" i="3"/>
  <c r="B3016" i="3"/>
  <c r="A3016" i="3"/>
  <c r="B3015" i="3"/>
  <c r="A3015" i="3"/>
  <c r="B3014" i="3"/>
  <c r="A3014" i="3"/>
  <c r="B3013" i="3"/>
  <c r="A3013" i="3"/>
  <c r="B3012" i="3"/>
  <c r="A3012" i="3"/>
  <c r="B3011" i="3"/>
  <c r="A3011" i="3"/>
  <c r="B3010" i="3"/>
  <c r="A3010" i="3"/>
  <c r="B3009" i="3"/>
  <c r="A3009" i="3"/>
  <c r="B3008" i="3"/>
  <c r="A3008" i="3"/>
  <c r="B3007" i="3"/>
  <c r="A3007" i="3"/>
  <c r="B3006" i="3"/>
  <c r="A3006" i="3"/>
  <c r="B3005" i="3"/>
  <c r="A3005" i="3"/>
  <c r="B3004" i="3"/>
  <c r="A3004" i="3"/>
  <c r="B3003" i="3"/>
  <c r="A3003" i="3"/>
  <c r="B3002" i="3"/>
  <c r="A3002" i="3"/>
  <c r="B3001" i="3"/>
  <c r="A3001" i="3"/>
  <c r="B3000" i="3"/>
  <c r="A3000" i="3"/>
  <c r="B2999" i="3"/>
  <c r="A2999" i="3"/>
  <c r="B2998" i="3"/>
  <c r="A2998" i="3"/>
  <c r="B2997" i="3"/>
  <c r="A2997" i="3"/>
  <c r="B2996" i="3"/>
  <c r="A2996" i="3"/>
  <c r="B2995" i="3"/>
  <c r="A2995" i="3"/>
  <c r="B2994" i="3"/>
  <c r="A2994" i="3"/>
  <c r="B2993" i="3"/>
  <c r="A2993" i="3"/>
  <c r="B2992" i="3"/>
  <c r="A2992" i="3"/>
  <c r="B2991" i="3"/>
  <c r="A2991" i="3"/>
  <c r="B2990" i="3"/>
  <c r="A2990" i="3"/>
  <c r="B2989" i="3"/>
  <c r="A2989" i="3"/>
  <c r="B2988" i="3"/>
  <c r="A2988" i="3"/>
  <c r="B2987" i="3"/>
  <c r="A2987" i="3"/>
  <c r="B2986" i="3"/>
  <c r="A2986" i="3"/>
  <c r="B2985" i="3"/>
  <c r="A2985" i="3"/>
  <c r="B2984" i="3"/>
  <c r="A2984" i="3"/>
  <c r="B2983" i="3"/>
  <c r="A2983" i="3"/>
  <c r="B2982" i="3"/>
  <c r="A2982" i="3"/>
  <c r="B2981" i="3"/>
  <c r="A2981" i="3"/>
  <c r="B2980" i="3"/>
  <c r="A2980" i="3"/>
  <c r="B2979" i="3"/>
  <c r="A2979" i="3"/>
  <c r="B2978" i="3"/>
  <c r="A2978" i="3"/>
  <c r="B2977" i="3"/>
  <c r="A2977" i="3"/>
  <c r="B2976" i="3"/>
  <c r="A2976" i="3"/>
  <c r="B2975" i="3"/>
  <c r="A2975" i="3"/>
  <c r="B2974" i="3"/>
  <c r="A2974" i="3"/>
  <c r="B2973" i="3"/>
  <c r="A2973" i="3"/>
  <c r="B2972" i="3"/>
  <c r="A2972" i="3"/>
  <c r="B2971" i="3"/>
  <c r="A2971" i="3"/>
  <c r="B2970" i="3"/>
  <c r="A2970" i="3"/>
  <c r="B2969" i="3"/>
  <c r="A2969" i="3"/>
  <c r="B2968" i="3"/>
  <c r="A2968" i="3"/>
  <c r="B2967" i="3"/>
  <c r="A2967" i="3"/>
  <c r="B2966" i="3"/>
  <c r="A2966" i="3"/>
  <c r="B2965" i="3"/>
  <c r="A2965" i="3"/>
  <c r="B2964" i="3"/>
  <c r="A2964" i="3"/>
  <c r="B2963" i="3"/>
  <c r="A2963" i="3"/>
  <c r="B2962" i="3"/>
  <c r="A2962" i="3"/>
  <c r="B2961" i="3"/>
  <c r="A2961" i="3"/>
  <c r="B2960" i="3"/>
  <c r="A2960" i="3"/>
  <c r="B2959" i="3"/>
  <c r="A2959" i="3"/>
  <c r="B2958" i="3"/>
  <c r="A2958" i="3"/>
  <c r="B2957" i="3"/>
  <c r="A2957" i="3"/>
  <c r="B2956" i="3"/>
  <c r="A2956" i="3"/>
  <c r="B2955" i="3"/>
  <c r="A2955" i="3"/>
  <c r="B2954" i="3"/>
  <c r="A2954" i="3"/>
  <c r="B2953" i="3"/>
  <c r="A2953" i="3"/>
  <c r="B2952" i="3"/>
  <c r="A2952" i="3"/>
  <c r="B2951" i="3"/>
  <c r="A2951" i="3"/>
  <c r="B2950" i="3"/>
  <c r="A2950" i="3"/>
  <c r="B2949" i="3"/>
  <c r="A2949" i="3"/>
  <c r="B2948" i="3"/>
  <c r="A2948" i="3"/>
  <c r="B2947" i="3"/>
  <c r="A2947" i="3"/>
  <c r="B2946" i="3"/>
  <c r="A2946" i="3"/>
  <c r="B2945" i="3"/>
  <c r="A2945" i="3"/>
  <c r="B2944" i="3"/>
  <c r="A2944" i="3"/>
  <c r="B2943" i="3"/>
  <c r="A2943" i="3"/>
  <c r="B2942" i="3"/>
  <c r="A2942" i="3"/>
  <c r="B2941" i="3"/>
  <c r="A2941" i="3"/>
  <c r="B2940" i="3"/>
  <c r="A2940" i="3"/>
  <c r="B2939" i="3"/>
  <c r="A2939" i="3"/>
  <c r="B2938" i="3"/>
  <c r="A2938" i="3"/>
  <c r="B2937" i="3"/>
  <c r="A2937" i="3"/>
  <c r="B2936" i="3"/>
  <c r="A2936" i="3"/>
  <c r="B2935" i="3"/>
  <c r="A2935" i="3"/>
  <c r="B2934" i="3"/>
  <c r="A2934" i="3"/>
  <c r="B2933" i="3"/>
  <c r="A2933" i="3"/>
  <c r="B2932" i="3"/>
  <c r="A2932" i="3"/>
  <c r="B2931" i="3"/>
  <c r="A2931" i="3"/>
  <c r="B2930" i="3"/>
  <c r="A2930" i="3"/>
  <c r="B2929" i="3"/>
  <c r="A2929" i="3"/>
  <c r="B2928" i="3"/>
  <c r="A2928" i="3"/>
  <c r="B2927" i="3"/>
  <c r="A2927" i="3"/>
  <c r="B2926" i="3"/>
  <c r="A2926" i="3"/>
  <c r="B2925" i="3"/>
  <c r="A2925" i="3"/>
  <c r="B2924" i="3"/>
  <c r="A2924" i="3"/>
  <c r="B2923" i="3"/>
  <c r="A2923" i="3"/>
  <c r="B2922" i="3"/>
  <c r="A2922" i="3"/>
  <c r="B2921" i="3"/>
  <c r="A2921" i="3"/>
  <c r="B2920" i="3"/>
  <c r="A2920" i="3"/>
  <c r="B2919" i="3"/>
  <c r="A2919" i="3"/>
  <c r="B2918" i="3"/>
  <c r="A2918" i="3"/>
  <c r="B2917" i="3"/>
  <c r="A2917" i="3"/>
  <c r="B2916" i="3"/>
  <c r="A2916" i="3"/>
  <c r="B2915" i="3"/>
  <c r="A2915" i="3"/>
  <c r="B2914" i="3"/>
  <c r="A2914" i="3"/>
  <c r="B2913" i="3"/>
  <c r="A2913" i="3"/>
  <c r="B2912" i="3"/>
  <c r="A2912" i="3"/>
  <c r="B2911" i="3"/>
  <c r="A2911" i="3"/>
  <c r="B2910" i="3"/>
  <c r="A2910" i="3"/>
  <c r="B2909" i="3"/>
  <c r="A2909" i="3"/>
  <c r="B2908" i="3"/>
  <c r="A2908" i="3"/>
  <c r="B2907" i="3"/>
  <c r="A2907" i="3"/>
  <c r="B2906" i="3"/>
  <c r="A2906" i="3"/>
  <c r="B2905" i="3"/>
  <c r="A2905" i="3"/>
  <c r="B2904" i="3"/>
  <c r="A2904" i="3"/>
  <c r="B2903" i="3"/>
  <c r="A2903" i="3"/>
  <c r="B2902" i="3"/>
  <c r="A2902" i="3"/>
  <c r="B2901" i="3"/>
  <c r="A2901" i="3"/>
  <c r="B2900" i="3"/>
  <c r="A2900" i="3"/>
  <c r="B2899" i="3"/>
  <c r="A2899" i="3"/>
  <c r="B2898" i="3"/>
  <c r="A2898" i="3"/>
  <c r="B2897" i="3"/>
  <c r="A2897" i="3"/>
  <c r="B2896" i="3"/>
  <c r="A2896" i="3"/>
  <c r="B2895" i="3"/>
  <c r="A2895" i="3"/>
  <c r="B2894" i="3"/>
  <c r="A2894" i="3"/>
  <c r="B2893" i="3"/>
  <c r="A2893" i="3"/>
  <c r="B2892" i="3"/>
  <c r="A2892" i="3"/>
  <c r="B2891" i="3"/>
  <c r="A2891" i="3"/>
  <c r="B2890" i="3"/>
  <c r="A2890" i="3"/>
  <c r="B2889" i="3"/>
  <c r="A2889" i="3"/>
  <c r="B2888" i="3"/>
  <c r="A2888" i="3"/>
  <c r="B2887" i="3"/>
  <c r="A2887" i="3"/>
  <c r="B2886" i="3"/>
  <c r="A2886" i="3"/>
  <c r="B2885" i="3"/>
  <c r="A2885" i="3"/>
  <c r="B2884" i="3"/>
  <c r="A2884" i="3"/>
  <c r="B2883" i="3"/>
  <c r="A2883" i="3"/>
  <c r="B2882" i="3"/>
  <c r="A2882" i="3"/>
  <c r="B2881" i="3"/>
  <c r="A2881" i="3"/>
  <c r="B2880" i="3"/>
  <c r="A2880" i="3"/>
  <c r="B2879" i="3"/>
  <c r="A2879" i="3"/>
  <c r="B2878" i="3"/>
  <c r="A2878" i="3"/>
  <c r="B2877" i="3"/>
  <c r="A2877" i="3"/>
  <c r="B2876" i="3"/>
  <c r="A2876" i="3"/>
  <c r="B2875" i="3"/>
  <c r="A2875" i="3"/>
  <c r="B2874" i="3"/>
  <c r="A2874" i="3"/>
  <c r="B2873" i="3"/>
  <c r="A2873" i="3"/>
  <c r="B2872" i="3"/>
  <c r="A2872" i="3"/>
  <c r="B2871" i="3"/>
  <c r="A2871" i="3"/>
  <c r="B2870" i="3"/>
  <c r="A2870" i="3"/>
  <c r="B2869" i="3"/>
  <c r="A2869" i="3"/>
  <c r="B2868" i="3"/>
  <c r="A2868" i="3"/>
  <c r="B2867" i="3"/>
  <c r="A2867" i="3"/>
  <c r="B2866" i="3"/>
  <c r="A2866" i="3"/>
  <c r="B2865" i="3"/>
  <c r="A2865" i="3"/>
  <c r="B2864" i="3"/>
  <c r="A2864" i="3"/>
  <c r="B2863" i="3"/>
  <c r="A2863" i="3"/>
  <c r="B2862" i="3"/>
  <c r="A2862" i="3"/>
  <c r="B2861" i="3"/>
  <c r="A2861" i="3"/>
  <c r="B2860" i="3"/>
  <c r="A2860" i="3"/>
  <c r="B2859" i="3"/>
  <c r="A2859" i="3"/>
  <c r="B2858" i="3"/>
  <c r="A2858" i="3"/>
  <c r="B2857" i="3"/>
  <c r="A2857" i="3"/>
  <c r="B2856" i="3"/>
  <c r="A2856" i="3"/>
  <c r="B2855" i="3"/>
  <c r="A2855" i="3"/>
  <c r="B2854" i="3"/>
  <c r="A2854" i="3"/>
  <c r="B2853" i="3"/>
  <c r="A2853" i="3"/>
  <c r="B2852" i="3"/>
  <c r="A2852" i="3"/>
  <c r="B2851" i="3"/>
  <c r="A2851" i="3"/>
  <c r="B2850" i="3"/>
  <c r="A2850" i="3"/>
  <c r="B2849" i="3"/>
  <c r="A2849" i="3"/>
  <c r="B2848" i="3"/>
  <c r="A2848" i="3"/>
  <c r="B2847" i="3"/>
  <c r="A2847" i="3"/>
  <c r="B2846" i="3"/>
  <c r="A2846" i="3"/>
  <c r="B2845" i="3"/>
  <c r="A2845" i="3"/>
  <c r="B2844" i="3"/>
  <c r="A2844" i="3"/>
  <c r="B2843" i="3"/>
  <c r="A2843" i="3"/>
  <c r="B2842" i="3"/>
  <c r="A2842" i="3"/>
  <c r="B2841" i="3"/>
  <c r="A2841" i="3"/>
  <c r="B2840" i="3"/>
  <c r="A2840" i="3"/>
  <c r="B2839" i="3"/>
  <c r="A2839" i="3"/>
  <c r="B2838" i="3"/>
  <c r="A2838" i="3"/>
  <c r="B2837" i="3"/>
  <c r="A2837" i="3"/>
  <c r="B2836" i="3"/>
  <c r="A2836" i="3"/>
  <c r="B2835" i="3"/>
  <c r="A2835" i="3"/>
  <c r="B2834" i="3"/>
  <c r="A2834" i="3"/>
  <c r="B2833" i="3"/>
  <c r="A2833" i="3"/>
  <c r="B2832" i="3"/>
  <c r="A2832" i="3"/>
  <c r="B2831" i="3"/>
  <c r="A2831" i="3"/>
  <c r="B2830" i="3"/>
  <c r="A2830" i="3"/>
  <c r="B2829" i="3"/>
  <c r="A2829" i="3"/>
  <c r="B2828" i="3"/>
  <c r="A2828" i="3"/>
  <c r="B2827" i="3"/>
  <c r="A2827" i="3"/>
  <c r="B2826" i="3"/>
  <c r="A2826" i="3"/>
  <c r="B2825" i="3"/>
  <c r="A2825" i="3"/>
  <c r="B2824" i="3"/>
  <c r="A2824" i="3"/>
  <c r="B2823" i="3"/>
  <c r="A2823" i="3"/>
  <c r="B2822" i="3"/>
  <c r="A2822" i="3"/>
  <c r="B2821" i="3"/>
  <c r="A2821" i="3"/>
  <c r="B2820" i="3"/>
  <c r="A2820" i="3"/>
  <c r="B2819" i="3"/>
  <c r="A2819" i="3"/>
  <c r="B2818" i="3"/>
  <c r="A2818" i="3"/>
  <c r="B2817" i="3"/>
  <c r="A2817" i="3"/>
  <c r="B2816" i="3"/>
  <c r="A2816" i="3"/>
  <c r="B2815" i="3"/>
  <c r="A2815" i="3"/>
  <c r="B2814" i="3"/>
  <c r="A2814" i="3"/>
  <c r="B2813" i="3"/>
  <c r="A2813" i="3"/>
  <c r="B2812" i="3"/>
  <c r="A2812" i="3"/>
  <c r="B2811" i="3"/>
  <c r="A2811" i="3"/>
  <c r="B2810" i="3"/>
  <c r="A2810" i="3"/>
  <c r="B2809" i="3"/>
  <c r="A2809" i="3"/>
  <c r="B2808" i="3"/>
  <c r="A2808" i="3"/>
  <c r="B2807" i="3"/>
  <c r="A2807" i="3"/>
  <c r="B2806" i="3"/>
  <c r="A2806" i="3"/>
  <c r="B2805" i="3"/>
  <c r="A2805" i="3"/>
  <c r="B2804" i="3"/>
  <c r="A2804" i="3"/>
  <c r="B2803" i="3"/>
  <c r="A2803" i="3"/>
  <c r="B2802" i="3"/>
  <c r="A2802" i="3"/>
  <c r="B2801" i="3"/>
  <c r="A2801" i="3"/>
  <c r="B2800" i="3"/>
  <c r="A2800" i="3"/>
  <c r="B2799" i="3"/>
  <c r="A2799" i="3"/>
  <c r="B2798" i="3"/>
  <c r="A2798" i="3"/>
  <c r="B2797" i="3"/>
  <c r="A2797" i="3"/>
  <c r="B2796" i="3"/>
  <c r="A2796" i="3"/>
  <c r="B2795" i="3"/>
  <c r="A2795" i="3"/>
  <c r="B2794" i="3"/>
  <c r="A2794" i="3"/>
  <c r="B2793" i="3"/>
  <c r="A2793" i="3"/>
  <c r="B2792" i="3"/>
  <c r="A2792" i="3"/>
  <c r="B2791" i="3"/>
  <c r="A2791" i="3"/>
  <c r="B2790" i="3"/>
  <c r="A2790" i="3"/>
  <c r="B2789" i="3"/>
  <c r="A2789" i="3"/>
  <c r="B2788" i="3"/>
  <c r="A2788" i="3"/>
  <c r="B2787" i="3"/>
  <c r="A2787" i="3"/>
  <c r="B2786" i="3"/>
  <c r="A2786" i="3"/>
  <c r="B2785" i="3"/>
  <c r="A2785" i="3"/>
  <c r="B2784" i="3"/>
  <c r="A2784" i="3"/>
  <c r="B2783" i="3"/>
  <c r="A2783" i="3"/>
  <c r="B2782" i="3"/>
  <c r="A2782" i="3"/>
  <c r="B2781" i="3"/>
  <c r="A2781" i="3"/>
  <c r="B2780" i="3"/>
  <c r="A2780" i="3"/>
  <c r="B2779" i="3"/>
  <c r="A2779" i="3"/>
  <c r="B2778" i="3"/>
  <c r="A2778" i="3"/>
  <c r="B2777" i="3"/>
  <c r="A2777" i="3"/>
  <c r="B2776" i="3"/>
  <c r="A2776" i="3"/>
  <c r="B2775" i="3"/>
  <c r="A2775" i="3"/>
  <c r="B2774" i="3"/>
  <c r="A2774" i="3"/>
  <c r="B2773" i="3"/>
  <c r="A2773" i="3"/>
  <c r="B2772" i="3"/>
  <c r="A2772" i="3"/>
  <c r="B2771" i="3"/>
  <c r="A2771" i="3"/>
  <c r="B2770" i="3"/>
  <c r="A2770" i="3"/>
  <c r="B2769" i="3"/>
  <c r="A2769" i="3"/>
  <c r="B2768" i="3"/>
  <c r="A2768" i="3"/>
  <c r="B2767" i="3"/>
  <c r="A2767" i="3"/>
  <c r="B2766" i="3"/>
  <c r="A2766" i="3"/>
  <c r="B2765" i="3"/>
  <c r="A2765" i="3"/>
  <c r="B2764" i="3"/>
  <c r="A2764" i="3"/>
  <c r="B2763" i="3"/>
  <c r="A2763" i="3"/>
  <c r="B2762" i="3"/>
  <c r="A2762" i="3"/>
  <c r="B2761" i="3"/>
  <c r="A2761" i="3"/>
  <c r="B2760" i="3"/>
  <c r="A2760" i="3"/>
  <c r="B2759" i="3"/>
  <c r="A2759" i="3"/>
  <c r="B2758" i="3"/>
  <c r="A2758" i="3"/>
  <c r="B2757" i="3"/>
  <c r="A2757" i="3"/>
  <c r="B2756" i="3"/>
  <c r="A2756" i="3"/>
  <c r="B2755" i="3"/>
  <c r="A2755" i="3"/>
  <c r="B2754" i="3"/>
  <c r="A2754" i="3"/>
  <c r="B2753" i="3"/>
  <c r="A2753" i="3"/>
  <c r="B2752" i="3"/>
  <c r="A2752" i="3"/>
  <c r="B2751" i="3"/>
  <c r="A2751" i="3"/>
  <c r="B2750" i="3"/>
  <c r="A2750" i="3"/>
  <c r="B2749" i="3"/>
  <c r="A2749" i="3"/>
  <c r="B2748" i="3"/>
  <c r="A2748" i="3"/>
  <c r="B2747" i="3"/>
  <c r="A2747" i="3"/>
  <c r="B2746" i="3"/>
  <c r="A2746" i="3"/>
  <c r="B2745" i="3"/>
  <c r="A2745" i="3"/>
  <c r="B2744" i="3"/>
  <c r="A2744" i="3"/>
  <c r="B2743" i="3"/>
  <c r="A2743" i="3"/>
  <c r="B2742" i="3"/>
  <c r="A2742" i="3"/>
  <c r="B2741" i="3"/>
  <c r="A2741" i="3"/>
  <c r="B2740" i="3"/>
  <c r="A2740" i="3"/>
  <c r="B2739" i="3"/>
  <c r="A2739" i="3"/>
  <c r="B2738" i="3"/>
  <c r="A2738" i="3"/>
  <c r="B2737" i="3"/>
  <c r="A2737" i="3"/>
  <c r="B2736" i="3"/>
  <c r="A2736" i="3"/>
  <c r="B2735" i="3"/>
  <c r="A2735" i="3"/>
  <c r="B2734" i="3"/>
  <c r="A2734" i="3"/>
  <c r="B2733" i="3"/>
  <c r="A2733" i="3"/>
  <c r="B2732" i="3"/>
  <c r="A2732" i="3"/>
  <c r="B2731" i="3"/>
  <c r="A2731" i="3"/>
  <c r="B2730" i="3"/>
  <c r="A2730" i="3"/>
  <c r="B2729" i="3"/>
  <c r="A2729" i="3"/>
  <c r="B2728" i="3"/>
  <c r="A2728" i="3"/>
  <c r="B2727" i="3"/>
  <c r="A2727" i="3"/>
  <c r="B2726" i="3"/>
  <c r="A2726" i="3"/>
  <c r="B2725" i="3"/>
  <c r="A2725" i="3"/>
  <c r="B2724" i="3"/>
  <c r="A2724" i="3"/>
  <c r="B2723" i="3"/>
  <c r="A2723" i="3"/>
  <c r="B2722" i="3"/>
  <c r="A2722" i="3"/>
  <c r="B2721" i="3"/>
  <c r="A2721" i="3"/>
  <c r="B2720" i="3"/>
  <c r="A2720" i="3"/>
  <c r="B2719" i="3"/>
  <c r="A2719" i="3"/>
  <c r="B2718" i="3"/>
  <c r="A2718" i="3"/>
  <c r="B2717" i="3"/>
  <c r="A2717" i="3"/>
  <c r="B2716" i="3"/>
  <c r="A2716" i="3"/>
  <c r="B2715" i="3"/>
  <c r="A2715" i="3"/>
  <c r="B2714" i="3"/>
  <c r="A2714" i="3"/>
  <c r="B2713" i="3"/>
  <c r="A2713" i="3"/>
  <c r="B2712" i="3"/>
  <c r="A2712" i="3"/>
  <c r="B2711" i="3"/>
  <c r="A2711" i="3"/>
  <c r="B2710" i="3"/>
  <c r="A2710" i="3"/>
  <c r="B2709" i="3"/>
  <c r="A2709" i="3"/>
  <c r="B2708" i="3"/>
  <c r="A2708" i="3"/>
  <c r="B2707" i="3"/>
  <c r="A2707" i="3"/>
  <c r="B2706" i="3"/>
  <c r="A2706" i="3"/>
  <c r="B2705" i="3"/>
  <c r="A2705" i="3"/>
  <c r="B2704" i="3"/>
  <c r="A2704" i="3"/>
  <c r="B2703" i="3"/>
  <c r="A2703" i="3"/>
  <c r="B2702" i="3"/>
  <c r="A2702" i="3"/>
  <c r="B2701" i="3"/>
  <c r="A2701" i="3"/>
  <c r="B2700" i="3"/>
  <c r="A2700" i="3"/>
  <c r="B2699" i="3"/>
  <c r="A2699" i="3"/>
  <c r="B2698" i="3"/>
  <c r="A2698" i="3"/>
  <c r="B2697" i="3"/>
  <c r="A2697" i="3"/>
  <c r="B2696" i="3"/>
  <c r="A2696" i="3"/>
  <c r="B2695" i="3"/>
  <c r="A2695" i="3"/>
  <c r="B2694" i="3"/>
  <c r="A2694" i="3"/>
  <c r="B2693" i="3"/>
  <c r="A2693" i="3"/>
  <c r="B2692" i="3"/>
  <c r="A2692" i="3"/>
  <c r="B2691" i="3"/>
  <c r="A2691" i="3"/>
  <c r="B2690" i="3"/>
  <c r="A2690" i="3"/>
  <c r="B2689" i="3"/>
  <c r="A2689" i="3"/>
  <c r="B2688" i="3"/>
  <c r="A2688" i="3"/>
  <c r="B2687" i="3"/>
  <c r="A2687" i="3"/>
  <c r="B2686" i="3"/>
  <c r="A2686" i="3"/>
  <c r="B2685" i="3"/>
  <c r="A2685" i="3"/>
  <c r="B2684" i="3"/>
  <c r="A2684" i="3"/>
  <c r="B2683" i="3"/>
  <c r="A2683" i="3"/>
  <c r="B2682" i="3"/>
  <c r="A2682" i="3"/>
  <c r="B2681" i="3"/>
  <c r="A2681" i="3"/>
  <c r="B2680" i="3"/>
  <c r="A2680" i="3"/>
  <c r="B2679" i="3"/>
  <c r="A2679" i="3"/>
  <c r="B2678" i="3"/>
  <c r="A2678" i="3"/>
  <c r="B2677" i="3"/>
  <c r="A2677" i="3"/>
  <c r="B2676" i="3"/>
  <c r="A2676" i="3"/>
  <c r="B2675" i="3"/>
  <c r="A2675" i="3"/>
  <c r="B2674" i="3"/>
  <c r="A2674" i="3"/>
  <c r="B2673" i="3"/>
  <c r="A2673" i="3"/>
  <c r="B2672" i="3"/>
  <c r="A2672" i="3"/>
  <c r="B2671" i="3"/>
  <c r="A2671" i="3"/>
  <c r="B2670" i="3"/>
  <c r="A2670" i="3"/>
  <c r="B2669" i="3"/>
  <c r="A2669" i="3"/>
  <c r="B2668" i="3"/>
  <c r="A2668" i="3"/>
  <c r="B2667" i="3"/>
  <c r="A2667" i="3"/>
  <c r="B2666" i="3"/>
  <c r="A2666" i="3"/>
  <c r="B2665" i="3"/>
  <c r="A2665" i="3"/>
  <c r="B2664" i="3"/>
  <c r="A2664" i="3"/>
  <c r="B2663" i="3"/>
  <c r="A2663" i="3"/>
  <c r="B2662" i="3"/>
  <c r="A2662" i="3"/>
  <c r="B2661" i="3"/>
  <c r="A2661" i="3"/>
  <c r="B2660" i="3"/>
  <c r="A2660" i="3"/>
  <c r="B2659" i="3"/>
  <c r="A2659" i="3"/>
  <c r="B2658" i="3"/>
  <c r="A2658" i="3"/>
  <c r="B2657" i="3"/>
  <c r="A2657" i="3"/>
  <c r="B2656" i="3"/>
  <c r="A2656" i="3"/>
  <c r="B2655" i="3"/>
  <c r="A2655" i="3"/>
  <c r="B2654" i="3"/>
  <c r="A2654" i="3"/>
  <c r="B2653" i="3"/>
  <c r="A2653" i="3"/>
  <c r="B2652" i="3"/>
  <c r="A2652" i="3"/>
  <c r="B2651" i="3"/>
  <c r="A2651" i="3"/>
  <c r="B2650" i="3"/>
  <c r="A2650" i="3"/>
  <c r="B2649" i="3"/>
  <c r="A2649" i="3"/>
  <c r="B2648" i="3"/>
  <c r="A2648" i="3"/>
  <c r="B2647" i="3"/>
  <c r="A2647" i="3"/>
  <c r="B2646" i="3"/>
  <c r="A2646" i="3"/>
  <c r="B2645" i="3"/>
  <c r="A2645" i="3"/>
  <c r="B2644" i="3"/>
  <c r="A2644" i="3"/>
  <c r="B2643" i="3"/>
  <c r="A2643" i="3"/>
  <c r="B2642" i="3"/>
  <c r="A2642" i="3"/>
  <c r="B2641" i="3"/>
  <c r="A2641" i="3"/>
  <c r="B2640" i="3"/>
  <c r="A2640" i="3"/>
  <c r="B2639" i="3"/>
  <c r="A2639" i="3"/>
  <c r="B2638" i="3"/>
  <c r="A2638" i="3"/>
  <c r="B2637" i="3"/>
  <c r="A2637" i="3"/>
  <c r="B2636" i="3"/>
  <c r="A2636" i="3"/>
  <c r="B2635" i="3"/>
  <c r="A2635" i="3"/>
  <c r="B2634" i="3"/>
  <c r="A2634" i="3"/>
  <c r="B2633" i="3"/>
  <c r="A2633" i="3"/>
  <c r="B2632" i="3"/>
  <c r="A2632" i="3"/>
  <c r="B2631" i="3"/>
  <c r="A2631" i="3"/>
  <c r="B2630" i="3"/>
  <c r="A2630" i="3"/>
  <c r="B2629" i="3"/>
  <c r="A2629" i="3"/>
  <c r="B2628" i="3"/>
  <c r="A2628" i="3"/>
  <c r="B2627" i="3"/>
  <c r="A2627" i="3"/>
  <c r="B2626" i="3"/>
  <c r="A2626" i="3"/>
  <c r="B2625" i="3"/>
  <c r="A2625" i="3"/>
  <c r="B2624" i="3"/>
  <c r="A2624" i="3"/>
  <c r="B2623" i="3"/>
  <c r="A2623" i="3"/>
  <c r="B2622" i="3"/>
  <c r="A2622" i="3"/>
  <c r="B2621" i="3"/>
  <c r="A2621" i="3"/>
  <c r="B2620" i="3"/>
  <c r="A2620" i="3"/>
  <c r="B2619" i="3"/>
  <c r="A2619" i="3"/>
  <c r="B2618" i="3"/>
  <c r="A2618" i="3"/>
  <c r="B2617" i="3"/>
  <c r="A2617" i="3"/>
  <c r="B2616" i="3"/>
  <c r="A2616" i="3"/>
  <c r="B2615" i="3"/>
  <c r="A2615" i="3"/>
  <c r="B2614" i="3"/>
  <c r="A2614" i="3"/>
  <c r="B2613" i="3"/>
  <c r="A2613" i="3"/>
  <c r="B2612" i="3"/>
  <c r="A2612" i="3"/>
  <c r="B2611" i="3"/>
  <c r="A2611" i="3"/>
  <c r="B2610" i="3"/>
  <c r="A2610" i="3"/>
  <c r="B2609" i="3"/>
  <c r="A2609" i="3"/>
  <c r="B2608" i="3"/>
  <c r="A2608" i="3"/>
  <c r="B2607" i="3"/>
  <c r="A2607" i="3"/>
  <c r="B2606" i="3"/>
  <c r="A2606" i="3"/>
  <c r="B2605" i="3"/>
  <c r="A2605" i="3"/>
  <c r="B2604" i="3"/>
  <c r="A2604" i="3"/>
  <c r="B2603" i="3"/>
  <c r="A2603" i="3"/>
  <c r="B2602" i="3"/>
  <c r="A2602" i="3"/>
  <c r="B2601" i="3"/>
  <c r="A2601" i="3"/>
  <c r="B2600" i="3"/>
  <c r="A2600" i="3"/>
  <c r="B2599" i="3"/>
  <c r="A2599" i="3"/>
  <c r="B2598" i="3"/>
  <c r="A2598" i="3"/>
  <c r="B2597" i="3"/>
  <c r="A2597" i="3"/>
  <c r="B2596" i="3"/>
  <c r="A2596" i="3"/>
  <c r="B2595" i="3"/>
  <c r="A2595" i="3"/>
  <c r="B2594" i="3"/>
  <c r="A2594" i="3"/>
  <c r="B2593" i="3"/>
  <c r="A2593" i="3"/>
  <c r="B2592" i="3"/>
  <c r="A2592" i="3"/>
  <c r="B2591" i="3"/>
  <c r="A2591" i="3"/>
  <c r="B2590" i="3"/>
  <c r="A2590" i="3"/>
  <c r="B2589" i="3"/>
  <c r="A2589" i="3"/>
  <c r="B2588" i="3"/>
  <c r="A2588" i="3"/>
  <c r="B2587" i="3"/>
  <c r="A2587" i="3"/>
  <c r="B2586" i="3"/>
  <c r="A2586" i="3"/>
  <c r="B2585" i="3"/>
  <c r="A2585" i="3"/>
  <c r="B2584" i="3"/>
  <c r="A2584" i="3"/>
  <c r="B2583" i="3"/>
  <c r="A2583" i="3"/>
  <c r="B2582" i="3"/>
  <c r="A2582" i="3"/>
  <c r="B2581" i="3"/>
  <c r="A2581" i="3"/>
  <c r="B2580" i="3"/>
  <c r="A2580" i="3"/>
  <c r="B2579" i="3"/>
  <c r="A2579" i="3"/>
  <c r="B2578" i="3"/>
  <c r="A2578" i="3"/>
  <c r="B2577" i="3"/>
  <c r="A2577" i="3"/>
  <c r="B2576" i="3"/>
  <c r="A2576" i="3"/>
  <c r="B2575" i="3"/>
  <c r="A2575" i="3"/>
  <c r="B2574" i="3"/>
  <c r="A2574" i="3"/>
  <c r="B2573" i="3"/>
  <c r="A2573" i="3"/>
  <c r="B2572" i="3"/>
  <c r="A2572" i="3"/>
  <c r="B2571" i="3"/>
  <c r="A2571" i="3"/>
  <c r="B2570" i="3"/>
  <c r="A2570" i="3"/>
  <c r="B2569" i="3"/>
  <c r="A2569" i="3"/>
  <c r="B2568" i="3"/>
  <c r="A2568" i="3"/>
  <c r="B2567" i="3"/>
  <c r="A2567" i="3"/>
  <c r="B2566" i="3"/>
  <c r="A2566" i="3"/>
  <c r="B2565" i="3"/>
  <c r="A2565" i="3"/>
  <c r="B2564" i="3"/>
  <c r="A2564" i="3"/>
  <c r="B2563" i="3"/>
  <c r="A2563" i="3"/>
  <c r="B2562" i="3"/>
  <c r="A2562" i="3"/>
  <c r="B2561" i="3"/>
  <c r="A2561" i="3"/>
  <c r="B2560" i="3"/>
  <c r="A2560" i="3"/>
  <c r="B2559" i="3"/>
  <c r="A2559" i="3"/>
  <c r="B2558" i="3"/>
  <c r="A2558" i="3"/>
  <c r="B2557" i="3"/>
  <c r="A2557" i="3"/>
  <c r="B2556" i="3"/>
  <c r="A2556" i="3"/>
  <c r="B2555" i="3"/>
  <c r="A2555" i="3"/>
  <c r="B2554" i="3"/>
  <c r="A2554" i="3"/>
  <c r="B2553" i="3"/>
  <c r="A2553" i="3"/>
  <c r="B2552" i="3"/>
  <c r="A2552" i="3"/>
  <c r="B2551" i="3"/>
  <c r="A2551" i="3"/>
  <c r="B2550" i="3"/>
  <c r="A2550" i="3"/>
  <c r="B2549" i="3"/>
  <c r="A2549" i="3"/>
  <c r="B2548" i="3"/>
  <c r="A2548" i="3"/>
  <c r="B2547" i="3"/>
  <c r="A2547" i="3"/>
  <c r="B2546" i="3"/>
  <c r="A2546" i="3"/>
  <c r="B2545" i="3"/>
  <c r="A2545" i="3"/>
  <c r="B2544" i="3"/>
  <c r="A2544" i="3"/>
  <c r="B2543" i="3"/>
  <c r="A2543" i="3"/>
  <c r="B2542" i="3"/>
  <c r="A2542" i="3"/>
  <c r="B2541" i="3"/>
  <c r="A2541" i="3"/>
  <c r="B2540" i="3"/>
  <c r="A2540" i="3"/>
  <c r="B2539" i="3"/>
  <c r="A2539" i="3"/>
  <c r="B2538" i="3"/>
  <c r="A2538" i="3"/>
  <c r="B2537" i="3"/>
  <c r="A2537" i="3"/>
  <c r="B2536" i="3"/>
  <c r="A2536" i="3"/>
  <c r="B2535" i="3"/>
  <c r="A2535" i="3"/>
  <c r="B2534" i="3"/>
  <c r="A2534" i="3"/>
  <c r="B2533" i="3"/>
  <c r="A2533" i="3"/>
  <c r="B2532" i="3"/>
  <c r="A2532" i="3"/>
  <c r="B2531" i="3"/>
  <c r="A2531" i="3"/>
  <c r="B2530" i="3"/>
  <c r="A2530" i="3"/>
  <c r="B2529" i="3"/>
  <c r="A2529" i="3"/>
  <c r="B2528" i="3"/>
  <c r="A2528" i="3"/>
  <c r="B2527" i="3"/>
  <c r="A2527" i="3"/>
  <c r="B2526" i="3"/>
  <c r="A2526" i="3"/>
  <c r="B2525" i="3"/>
  <c r="A2525" i="3"/>
  <c r="B2524" i="3"/>
  <c r="A2524" i="3"/>
  <c r="B2523" i="3"/>
  <c r="A2523" i="3"/>
  <c r="B2522" i="3"/>
  <c r="A2522" i="3"/>
  <c r="B2521" i="3"/>
  <c r="A2521" i="3"/>
  <c r="B2520" i="3"/>
  <c r="A2520" i="3"/>
  <c r="B2519" i="3"/>
  <c r="A2519" i="3"/>
  <c r="B2518" i="3"/>
  <c r="A2518" i="3"/>
  <c r="B2517" i="3"/>
  <c r="A2517" i="3"/>
  <c r="B2516" i="3"/>
  <c r="A2516" i="3"/>
  <c r="B2515" i="3"/>
  <c r="A2515" i="3"/>
  <c r="B2514" i="3"/>
  <c r="A2514" i="3"/>
  <c r="B2513" i="3"/>
  <c r="A2513" i="3"/>
  <c r="B2512" i="3"/>
  <c r="A2512" i="3"/>
  <c r="B2511" i="3"/>
  <c r="A2511" i="3"/>
  <c r="B2510" i="3"/>
  <c r="A2510" i="3"/>
  <c r="B2509" i="3"/>
  <c r="A2509" i="3"/>
  <c r="B2508" i="3"/>
  <c r="A2508" i="3"/>
  <c r="B2507" i="3"/>
  <c r="A2507" i="3"/>
  <c r="B2506" i="3"/>
  <c r="A2506" i="3"/>
  <c r="B2505" i="3"/>
  <c r="A2505" i="3"/>
  <c r="B2504" i="3"/>
  <c r="A2504" i="3"/>
  <c r="B2503" i="3"/>
  <c r="A2503" i="3"/>
  <c r="B2502" i="3"/>
  <c r="A2502" i="3"/>
  <c r="B2501" i="3"/>
  <c r="A2501" i="3"/>
  <c r="B2500" i="3"/>
  <c r="A2500" i="3"/>
  <c r="B2499" i="3"/>
  <c r="A2499" i="3"/>
  <c r="B2498" i="3"/>
  <c r="A2498" i="3"/>
  <c r="B2497" i="3"/>
  <c r="A2497" i="3"/>
  <c r="B2496" i="3"/>
  <c r="A2496" i="3"/>
  <c r="B2495" i="3"/>
  <c r="A2495" i="3"/>
  <c r="B2494" i="3"/>
  <c r="A2494" i="3"/>
  <c r="B2493" i="3"/>
  <c r="A2493" i="3"/>
  <c r="B2492" i="3"/>
  <c r="A2492" i="3"/>
  <c r="B2491" i="3"/>
  <c r="A2491" i="3"/>
  <c r="B2490" i="3"/>
  <c r="A2490" i="3"/>
  <c r="B2489" i="3"/>
  <c r="A2489" i="3"/>
  <c r="B2488" i="3"/>
  <c r="A2488" i="3"/>
  <c r="B2487" i="3"/>
  <c r="A2487" i="3"/>
  <c r="B2486" i="3"/>
  <c r="A2486" i="3"/>
  <c r="B2485" i="3"/>
  <c r="A2485" i="3"/>
  <c r="B2484" i="3"/>
  <c r="A2484" i="3"/>
  <c r="B2483" i="3"/>
  <c r="A2483" i="3"/>
  <c r="B2482" i="3"/>
  <c r="A2482" i="3"/>
  <c r="B2481" i="3"/>
  <c r="A2481" i="3"/>
  <c r="B2480" i="3"/>
  <c r="A2480" i="3"/>
  <c r="B2479" i="3"/>
  <c r="A2479" i="3"/>
  <c r="B2478" i="3"/>
  <c r="A2478" i="3"/>
  <c r="B2477" i="3"/>
  <c r="A2477" i="3"/>
  <c r="B2476" i="3"/>
  <c r="A2476" i="3"/>
  <c r="B2475" i="3"/>
  <c r="A2475" i="3"/>
  <c r="B2474" i="3"/>
  <c r="A2474" i="3"/>
  <c r="B2473" i="3"/>
  <c r="A2473" i="3"/>
  <c r="B2472" i="3"/>
  <c r="A2472" i="3"/>
  <c r="B2471" i="3"/>
  <c r="A2471" i="3"/>
  <c r="B2470" i="3"/>
  <c r="A2470" i="3"/>
  <c r="B2469" i="3"/>
  <c r="A2469" i="3"/>
  <c r="B2468" i="3"/>
  <c r="A2468" i="3"/>
  <c r="B2467" i="3"/>
  <c r="A2467" i="3"/>
  <c r="B2466" i="3"/>
  <c r="A2466" i="3"/>
  <c r="B2465" i="3"/>
  <c r="A2465" i="3"/>
  <c r="B2464" i="3"/>
  <c r="A2464" i="3"/>
  <c r="B2463" i="3"/>
  <c r="A2463" i="3"/>
  <c r="B2462" i="3"/>
  <c r="A2462" i="3"/>
  <c r="B2461" i="3"/>
  <c r="A2461" i="3"/>
  <c r="B2460" i="3"/>
  <c r="A2460" i="3"/>
  <c r="B2459" i="3"/>
  <c r="A2459" i="3"/>
  <c r="B2458" i="3"/>
  <c r="A2458" i="3"/>
  <c r="B2457" i="3"/>
  <c r="A2457" i="3"/>
  <c r="B2456" i="3"/>
  <c r="A2456" i="3"/>
  <c r="B2455" i="3"/>
  <c r="A2455" i="3"/>
  <c r="B2454" i="3"/>
  <c r="A2454" i="3"/>
  <c r="B2453" i="3"/>
  <c r="A2453" i="3"/>
  <c r="B2452" i="3"/>
  <c r="A2452" i="3"/>
  <c r="B2451" i="3"/>
  <c r="A2451" i="3"/>
  <c r="B2450" i="3"/>
  <c r="A2450" i="3"/>
  <c r="B2449" i="3"/>
  <c r="A2449" i="3"/>
  <c r="B2448" i="3"/>
  <c r="A2448" i="3"/>
  <c r="B2447" i="3"/>
  <c r="A2447" i="3"/>
  <c r="B2446" i="3"/>
  <c r="A2446" i="3"/>
  <c r="B2445" i="3"/>
  <c r="A2445" i="3"/>
  <c r="B2444" i="3"/>
  <c r="A2444" i="3"/>
  <c r="B2443" i="3"/>
  <c r="A2443" i="3"/>
  <c r="B2442" i="3"/>
  <c r="A2442" i="3"/>
  <c r="B2441" i="3"/>
  <c r="A2441" i="3"/>
  <c r="B2440" i="3"/>
  <c r="A2440" i="3"/>
  <c r="B2439" i="3"/>
  <c r="A2439" i="3"/>
  <c r="B2438" i="3"/>
  <c r="A2438" i="3"/>
  <c r="B2437" i="3"/>
  <c r="A2437" i="3"/>
  <c r="B2436" i="3"/>
  <c r="A2436" i="3"/>
  <c r="B2435" i="3"/>
  <c r="A2435" i="3"/>
  <c r="B2434" i="3"/>
  <c r="A2434" i="3"/>
  <c r="B2433" i="3"/>
  <c r="A2433" i="3"/>
  <c r="B2432" i="3"/>
  <c r="A2432" i="3"/>
  <c r="B2431" i="3"/>
  <c r="A2431" i="3"/>
  <c r="B2430" i="3"/>
  <c r="A2430" i="3"/>
  <c r="B2429" i="3"/>
  <c r="A2429" i="3"/>
  <c r="B2428" i="3"/>
  <c r="A2428" i="3"/>
  <c r="B2427" i="3"/>
  <c r="A2427" i="3"/>
  <c r="B2426" i="3"/>
  <c r="A2426" i="3"/>
  <c r="B2425" i="3"/>
  <c r="A2425" i="3"/>
  <c r="B2424" i="3"/>
  <c r="A2424" i="3"/>
  <c r="B2423" i="3"/>
  <c r="A2423" i="3"/>
  <c r="B2422" i="3"/>
  <c r="A2422" i="3"/>
  <c r="B2421" i="3"/>
  <c r="A2421" i="3"/>
  <c r="B2420" i="3"/>
  <c r="A2420" i="3"/>
  <c r="B2419" i="3"/>
  <c r="A2419" i="3"/>
  <c r="B2418" i="3"/>
  <c r="A2418" i="3"/>
  <c r="B2417" i="3"/>
  <c r="A2417" i="3"/>
  <c r="B2416" i="3"/>
  <c r="A2416" i="3"/>
  <c r="B2415" i="3"/>
  <c r="A2415" i="3"/>
  <c r="B2414" i="3"/>
  <c r="A2414" i="3"/>
  <c r="B2413" i="3"/>
  <c r="A2413" i="3"/>
  <c r="B2412" i="3"/>
  <c r="A2412" i="3"/>
  <c r="B2411" i="3"/>
  <c r="A2411" i="3"/>
  <c r="B2410" i="3"/>
  <c r="A2410" i="3"/>
  <c r="B2409" i="3"/>
  <c r="A2409" i="3"/>
  <c r="B2408" i="3"/>
  <c r="A2408" i="3"/>
  <c r="B2407" i="3"/>
  <c r="A2407" i="3"/>
  <c r="B2406" i="3"/>
  <c r="A2406" i="3"/>
  <c r="B2405" i="3"/>
  <c r="A2405" i="3"/>
  <c r="B2404" i="3"/>
  <c r="A2404" i="3"/>
  <c r="B2403" i="3"/>
  <c r="A2403" i="3"/>
  <c r="B2402" i="3"/>
  <c r="A2402" i="3"/>
  <c r="B2401" i="3"/>
  <c r="A2401" i="3"/>
  <c r="B2400" i="3"/>
  <c r="A2400" i="3"/>
  <c r="B2399" i="3"/>
  <c r="A2399" i="3"/>
  <c r="B2398" i="3"/>
  <c r="A2398" i="3"/>
  <c r="B2397" i="3"/>
  <c r="A2397" i="3"/>
  <c r="B2396" i="3"/>
  <c r="A2396" i="3"/>
  <c r="B2395" i="3"/>
  <c r="A2395" i="3"/>
  <c r="B2394" i="3"/>
  <c r="A2394" i="3"/>
  <c r="B2393" i="3"/>
  <c r="A2393" i="3"/>
  <c r="B2392" i="3"/>
  <c r="A2392" i="3"/>
  <c r="B2391" i="3"/>
  <c r="A2391" i="3"/>
  <c r="B2390" i="3"/>
  <c r="A2390" i="3"/>
  <c r="B2389" i="3"/>
  <c r="A2389" i="3"/>
  <c r="B2388" i="3"/>
  <c r="A2388" i="3"/>
  <c r="B2387" i="3"/>
  <c r="A2387" i="3"/>
  <c r="B2386" i="3"/>
  <c r="A2386" i="3"/>
  <c r="B2385" i="3"/>
  <c r="A2385" i="3"/>
  <c r="B2384" i="3"/>
  <c r="A2384" i="3"/>
  <c r="B2383" i="3"/>
  <c r="A2383" i="3"/>
  <c r="B2382" i="3"/>
  <c r="A2382" i="3"/>
  <c r="B2381" i="3"/>
  <c r="A2381" i="3"/>
  <c r="B2380" i="3"/>
  <c r="A2380" i="3"/>
  <c r="B2379" i="3"/>
  <c r="A2379" i="3"/>
  <c r="B2378" i="3"/>
  <c r="A2378" i="3"/>
  <c r="B2377" i="3"/>
  <c r="A2377" i="3"/>
  <c r="B2376" i="3"/>
  <c r="A2376" i="3"/>
  <c r="B2375" i="3"/>
  <c r="A2375" i="3"/>
  <c r="B2374" i="3"/>
  <c r="A2374" i="3"/>
  <c r="B2373" i="3"/>
  <c r="A2373" i="3"/>
  <c r="B2372" i="3"/>
  <c r="A2372" i="3"/>
  <c r="B2371" i="3"/>
  <c r="A2371" i="3"/>
  <c r="B2370" i="3"/>
  <c r="A2370" i="3"/>
  <c r="B2369" i="3"/>
  <c r="A2369" i="3"/>
  <c r="B2368" i="3"/>
  <c r="A2368" i="3"/>
  <c r="B2367" i="3"/>
  <c r="A2367" i="3"/>
  <c r="B2366" i="3"/>
  <c r="A2366" i="3"/>
  <c r="B2365" i="3"/>
  <c r="A2365" i="3"/>
  <c r="B2364" i="3"/>
  <c r="A2364" i="3"/>
  <c r="B2363" i="3"/>
  <c r="A2363" i="3"/>
  <c r="B2362" i="3"/>
  <c r="A2362" i="3"/>
  <c r="B2361" i="3"/>
  <c r="A2361" i="3"/>
  <c r="B2360" i="3"/>
  <c r="A2360" i="3"/>
  <c r="B2359" i="3"/>
  <c r="A2359" i="3"/>
  <c r="B2358" i="3"/>
  <c r="A2358" i="3"/>
  <c r="B2357" i="3"/>
  <c r="A2357" i="3"/>
  <c r="B2356" i="3"/>
  <c r="A2356" i="3"/>
  <c r="B2355" i="3"/>
  <c r="A2355" i="3"/>
  <c r="B2354" i="3"/>
  <c r="A2354" i="3"/>
  <c r="B2353" i="3"/>
  <c r="A2353" i="3"/>
  <c r="B2352" i="3"/>
  <c r="A2352" i="3"/>
  <c r="B2351" i="3"/>
  <c r="A2351" i="3"/>
  <c r="B2350" i="3"/>
  <c r="A2350" i="3"/>
  <c r="B2349" i="3"/>
  <c r="A2349" i="3"/>
  <c r="B2348" i="3"/>
  <c r="A2348" i="3"/>
  <c r="B2347" i="3"/>
  <c r="A2347" i="3"/>
  <c r="B2346" i="3"/>
  <c r="A2346" i="3"/>
  <c r="B2345" i="3"/>
  <c r="A2345" i="3"/>
  <c r="B2344" i="3"/>
  <c r="A2344" i="3"/>
  <c r="B2343" i="3"/>
  <c r="A2343" i="3"/>
  <c r="B2342" i="3"/>
  <c r="A2342" i="3"/>
  <c r="B2341" i="3"/>
  <c r="A2341" i="3"/>
  <c r="B2340" i="3"/>
  <c r="A2340" i="3"/>
  <c r="B2339" i="3"/>
  <c r="A2339" i="3"/>
  <c r="B2338" i="3"/>
  <c r="A2338" i="3"/>
  <c r="B2337" i="3"/>
  <c r="A2337" i="3"/>
  <c r="B2336" i="3"/>
  <c r="A2336" i="3"/>
  <c r="B2335" i="3"/>
  <c r="A2335" i="3"/>
  <c r="B2334" i="3"/>
  <c r="A2334" i="3"/>
  <c r="B2333" i="3"/>
  <c r="A2333" i="3"/>
  <c r="B2332" i="3"/>
  <c r="A2332" i="3"/>
  <c r="B2331" i="3"/>
  <c r="A2331" i="3"/>
  <c r="B2330" i="3"/>
  <c r="A2330" i="3"/>
  <c r="B2329" i="3"/>
  <c r="A2329" i="3"/>
  <c r="B2328" i="3"/>
  <c r="A2328" i="3"/>
  <c r="B2327" i="3"/>
  <c r="A2327" i="3"/>
  <c r="B2326" i="3"/>
  <c r="A2326" i="3"/>
  <c r="B2325" i="3"/>
  <c r="A2325" i="3"/>
  <c r="B2324" i="3"/>
  <c r="A2324" i="3"/>
  <c r="B2323" i="3"/>
  <c r="A2323" i="3"/>
  <c r="B2322" i="3"/>
  <c r="A2322" i="3"/>
  <c r="B2321" i="3"/>
  <c r="A2321" i="3"/>
  <c r="B2320" i="3"/>
  <c r="A2320" i="3"/>
  <c r="B2319" i="3"/>
  <c r="A2319" i="3"/>
  <c r="B2318" i="3"/>
  <c r="A2318" i="3"/>
  <c r="B2317" i="3"/>
  <c r="A2317" i="3"/>
  <c r="B2316" i="3"/>
  <c r="A2316" i="3"/>
  <c r="B2315" i="3"/>
  <c r="A2315" i="3"/>
  <c r="B2314" i="3"/>
  <c r="A2314" i="3"/>
  <c r="B2313" i="3"/>
  <c r="A2313" i="3"/>
  <c r="B2312" i="3"/>
  <c r="A2312" i="3"/>
  <c r="B2311" i="3"/>
  <c r="A2311" i="3"/>
  <c r="B2310" i="3"/>
  <c r="A2310" i="3"/>
  <c r="B2309" i="3"/>
  <c r="A2309" i="3"/>
  <c r="B2308" i="3"/>
  <c r="A2308" i="3"/>
  <c r="B2307" i="3"/>
  <c r="A2307" i="3"/>
  <c r="B2306" i="3"/>
  <c r="A2306" i="3"/>
  <c r="B2305" i="3"/>
  <c r="A2305" i="3"/>
  <c r="B2304" i="3"/>
  <c r="A2304" i="3"/>
  <c r="B2303" i="3"/>
  <c r="A2303" i="3"/>
  <c r="B2302" i="3"/>
  <c r="A2302" i="3"/>
  <c r="B2301" i="3"/>
  <c r="A2301" i="3"/>
  <c r="B2300" i="3"/>
  <c r="A2300" i="3"/>
  <c r="B2299" i="3"/>
  <c r="A2299" i="3"/>
  <c r="B2298" i="3"/>
  <c r="A2298" i="3"/>
  <c r="B2297" i="3"/>
  <c r="A2297" i="3"/>
  <c r="B2296" i="3"/>
  <c r="A2296" i="3"/>
  <c r="B2295" i="3"/>
  <c r="A2295" i="3"/>
  <c r="B2294" i="3"/>
  <c r="A2294" i="3"/>
  <c r="B2293" i="3"/>
  <c r="A2293" i="3"/>
  <c r="B2292" i="3"/>
  <c r="A2292" i="3"/>
  <c r="B2291" i="3"/>
  <c r="A2291" i="3"/>
  <c r="B2290" i="3"/>
  <c r="A2290" i="3"/>
  <c r="B2289" i="3"/>
  <c r="A2289" i="3"/>
  <c r="B2288" i="3"/>
  <c r="A2288" i="3"/>
  <c r="B2287" i="3"/>
  <c r="A2287" i="3"/>
  <c r="B2286" i="3"/>
  <c r="A2286" i="3"/>
  <c r="B2285" i="3"/>
  <c r="A2285" i="3"/>
  <c r="B2284" i="3"/>
  <c r="A2284" i="3"/>
  <c r="B2283" i="3"/>
  <c r="A2283" i="3"/>
  <c r="B2282" i="3"/>
  <c r="A2282" i="3"/>
  <c r="B2281" i="3"/>
  <c r="A2281" i="3"/>
  <c r="B2280" i="3"/>
  <c r="A2280" i="3"/>
  <c r="B2279" i="3"/>
  <c r="A2279" i="3"/>
  <c r="B2278" i="3"/>
  <c r="A2278" i="3"/>
  <c r="B2277" i="3"/>
  <c r="A2277" i="3"/>
  <c r="B2276" i="3"/>
  <c r="A2276" i="3"/>
  <c r="B2275" i="3"/>
  <c r="A2275" i="3"/>
  <c r="B2274" i="3"/>
  <c r="A2274" i="3"/>
  <c r="B2273" i="3"/>
  <c r="A2273" i="3"/>
  <c r="B2272" i="3"/>
  <c r="A2272" i="3"/>
  <c r="B2271" i="3"/>
  <c r="A2271" i="3"/>
  <c r="B2270" i="3"/>
  <c r="A2270" i="3"/>
  <c r="B2269" i="3"/>
  <c r="A2269" i="3"/>
  <c r="B2268" i="3"/>
  <c r="A2268" i="3"/>
  <c r="B2267" i="3"/>
  <c r="A2267" i="3"/>
  <c r="B2266" i="3"/>
  <c r="A2266" i="3"/>
  <c r="B2265" i="3"/>
  <c r="A2265" i="3"/>
  <c r="B2264" i="3"/>
  <c r="A2264" i="3"/>
  <c r="B2263" i="3"/>
  <c r="A2263" i="3"/>
  <c r="B2262" i="3"/>
  <c r="A2262" i="3"/>
  <c r="B2261" i="3"/>
  <c r="A2261" i="3"/>
  <c r="B2260" i="3"/>
  <c r="A2260" i="3"/>
  <c r="B2259" i="3"/>
  <c r="A2259" i="3"/>
  <c r="B2258" i="3"/>
  <c r="A2258" i="3"/>
  <c r="B2257" i="3"/>
  <c r="A2257" i="3"/>
  <c r="B2256" i="3"/>
  <c r="A2256" i="3"/>
  <c r="B2255" i="3"/>
  <c r="A2255" i="3"/>
  <c r="B2254" i="3"/>
  <c r="A2254" i="3"/>
  <c r="B2253" i="3"/>
  <c r="A2253" i="3"/>
  <c r="B2252" i="3"/>
  <c r="A2252" i="3"/>
  <c r="B2251" i="3"/>
  <c r="A2251" i="3"/>
  <c r="B2250" i="3"/>
  <c r="A2250" i="3"/>
  <c r="B2249" i="3"/>
  <c r="A2249" i="3"/>
  <c r="B2248" i="3"/>
  <c r="A2248" i="3"/>
  <c r="B2247" i="3"/>
  <c r="A2247" i="3"/>
  <c r="B2246" i="3"/>
  <c r="A2246" i="3"/>
  <c r="B2245" i="3"/>
  <c r="A2245" i="3"/>
  <c r="B2244" i="3"/>
  <c r="A2244" i="3"/>
  <c r="B2243" i="3"/>
  <c r="A2243" i="3"/>
  <c r="B2242" i="3"/>
  <c r="A2242" i="3"/>
  <c r="B2241" i="3"/>
  <c r="A2241" i="3"/>
  <c r="B2240" i="3"/>
  <c r="A2240" i="3"/>
  <c r="B2239" i="3"/>
  <c r="A2239" i="3"/>
  <c r="B2238" i="3"/>
  <c r="A2238" i="3"/>
  <c r="B2237" i="3"/>
  <c r="A2237" i="3"/>
  <c r="B2236" i="3"/>
  <c r="A2236" i="3"/>
  <c r="B2235" i="3"/>
  <c r="A2235" i="3"/>
  <c r="B2234" i="3"/>
  <c r="A2234" i="3"/>
  <c r="B2233" i="3"/>
  <c r="A2233" i="3"/>
  <c r="B2232" i="3"/>
  <c r="A2232" i="3"/>
  <c r="B2231" i="3"/>
  <c r="A2231" i="3"/>
  <c r="B2230" i="3"/>
  <c r="A2230" i="3"/>
  <c r="B2229" i="3"/>
  <c r="A2229" i="3"/>
  <c r="B2228" i="3"/>
  <c r="A2228" i="3"/>
  <c r="B2227" i="3"/>
  <c r="A2227" i="3"/>
  <c r="B2226" i="3"/>
  <c r="A2226" i="3"/>
  <c r="B2225" i="3"/>
  <c r="A2225" i="3"/>
  <c r="B2224" i="3"/>
  <c r="A2224" i="3"/>
  <c r="B2223" i="3"/>
  <c r="A2223" i="3"/>
  <c r="B2222" i="3"/>
  <c r="A2222" i="3"/>
  <c r="B2221" i="3"/>
  <c r="A2221" i="3"/>
  <c r="B2220" i="3"/>
  <c r="A2220" i="3"/>
  <c r="B2219" i="3"/>
  <c r="A2219" i="3"/>
  <c r="B2218" i="3"/>
  <c r="A2218" i="3"/>
  <c r="B2217" i="3"/>
  <c r="A2217" i="3"/>
  <c r="B2216" i="3"/>
  <c r="A2216" i="3"/>
  <c r="B2215" i="3"/>
  <c r="A2215" i="3"/>
  <c r="B2214" i="3"/>
  <c r="A2214" i="3"/>
  <c r="B2213" i="3"/>
  <c r="A2213" i="3"/>
  <c r="B2212" i="3"/>
  <c r="A2212" i="3"/>
  <c r="B2211" i="3"/>
  <c r="A2211" i="3"/>
  <c r="B2210" i="3"/>
  <c r="A2210" i="3"/>
  <c r="B2209" i="3"/>
  <c r="A2209" i="3"/>
  <c r="B2208" i="3"/>
  <c r="A2208" i="3"/>
  <c r="B2207" i="3"/>
  <c r="A2207" i="3"/>
  <c r="B2206" i="3"/>
  <c r="A2206" i="3"/>
  <c r="B2205" i="3"/>
  <c r="A2205" i="3"/>
  <c r="B2204" i="3"/>
  <c r="A2204" i="3"/>
  <c r="B2203" i="3"/>
  <c r="A2203" i="3"/>
  <c r="B2202" i="3"/>
  <c r="A2202" i="3"/>
  <c r="B2201" i="3"/>
  <c r="A2201" i="3"/>
  <c r="B2200" i="3"/>
  <c r="A2200" i="3"/>
  <c r="B2199" i="3"/>
  <c r="A2199" i="3"/>
  <c r="B2198" i="3"/>
  <c r="A2198" i="3"/>
  <c r="B2197" i="3"/>
  <c r="A2197" i="3"/>
  <c r="B2196" i="3"/>
  <c r="A2196" i="3"/>
  <c r="B2195" i="3"/>
  <c r="A2195" i="3"/>
  <c r="B2194" i="3"/>
  <c r="A2194" i="3"/>
  <c r="B2193" i="3"/>
  <c r="A2193" i="3"/>
  <c r="B2192" i="3"/>
  <c r="A2192" i="3"/>
  <c r="B2191" i="3"/>
  <c r="A2191" i="3"/>
  <c r="B2190" i="3"/>
  <c r="A2190" i="3"/>
  <c r="B2189" i="3"/>
  <c r="A2189" i="3"/>
  <c r="B2188" i="3"/>
  <c r="A2188" i="3"/>
  <c r="B2187" i="3"/>
  <c r="A2187" i="3"/>
  <c r="B2186" i="3"/>
  <c r="A2186" i="3"/>
  <c r="B2185" i="3"/>
  <c r="A2185" i="3"/>
  <c r="B2184" i="3"/>
  <c r="A2184" i="3"/>
  <c r="B2183" i="3"/>
  <c r="A2183" i="3"/>
  <c r="B2182" i="3"/>
  <c r="A2182" i="3"/>
  <c r="B2181" i="3"/>
  <c r="A2181" i="3"/>
  <c r="B2180" i="3"/>
  <c r="A2180" i="3"/>
  <c r="B2179" i="3"/>
  <c r="A2179" i="3"/>
  <c r="B2178" i="3"/>
  <c r="A2178" i="3"/>
  <c r="B2177" i="3"/>
  <c r="A2177" i="3"/>
  <c r="B2176" i="3"/>
  <c r="A2176" i="3"/>
  <c r="B2175" i="3"/>
  <c r="A2175" i="3"/>
  <c r="B2174" i="3"/>
  <c r="A2174" i="3"/>
  <c r="B2173" i="3"/>
  <c r="A2173" i="3"/>
  <c r="B2172" i="3"/>
  <c r="A2172" i="3"/>
  <c r="B2171" i="3"/>
  <c r="A2171" i="3"/>
  <c r="B2170" i="3"/>
  <c r="A2170" i="3"/>
  <c r="B2169" i="3"/>
  <c r="A2169" i="3"/>
  <c r="B2168" i="3"/>
  <c r="A2168" i="3"/>
  <c r="B2167" i="3"/>
  <c r="A2167" i="3"/>
  <c r="B2166" i="3"/>
  <c r="A2166" i="3"/>
  <c r="B2165" i="3"/>
  <c r="A2165" i="3"/>
  <c r="B2164" i="3"/>
  <c r="A2164" i="3"/>
  <c r="B2163" i="3"/>
  <c r="A2163" i="3"/>
  <c r="B2162" i="3"/>
  <c r="A2162" i="3"/>
  <c r="B2161" i="3"/>
  <c r="A2161" i="3"/>
  <c r="B2160" i="3"/>
  <c r="A2160" i="3"/>
  <c r="B2159" i="3"/>
  <c r="A2159" i="3"/>
  <c r="B2158" i="3"/>
  <c r="A2158" i="3"/>
  <c r="B2157" i="3"/>
  <c r="A2157" i="3"/>
  <c r="B2156" i="3"/>
  <c r="A2156" i="3"/>
  <c r="B2155" i="3"/>
  <c r="A2155" i="3"/>
  <c r="B2154" i="3"/>
  <c r="A2154" i="3"/>
  <c r="B2153" i="3"/>
  <c r="A2153" i="3"/>
  <c r="B2152" i="3"/>
  <c r="A2152" i="3"/>
  <c r="B2151" i="3"/>
  <c r="A2151" i="3"/>
  <c r="B2150" i="3"/>
  <c r="A2150" i="3"/>
  <c r="B2149" i="3"/>
  <c r="A2149" i="3"/>
  <c r="B2148" i="3"/>
  <c r="A2148" i="3"/>
  <c r="B2147" i="3"/>
  <c r="A2147" i="3"/>
  <c r="B2146" i="3"/>
  <c r="A2146" i="3"/>
  <c r="B2145" i="3"/>
  <c r="A2145" i="3"/>
  <c r="B2144" i="3"/>
  <c r="A2144" i="3"/>
  <c r="B2143" i="3"/>
  <c r="A2143" i="3"/>
  <c r="B2142" i="3"/>
  <c r="A2142" i="3"/>
  <c r="B2141" i="3"/>
  <c r="A2141" i="3"/>
  <c r="B2140" i="3"/>
  <c r="A2140" i="3"/>
  <c r="B2139" i="3"/>
  <c r="A2139" i="3"/>
  <c r="B2138" i="3"/>
  <c r="A2138" i="3"/>
  <c r="B2137" i="3"/>
  <c r="A2137" i="3"/>
  <c r="B2136" i="3"/>
  <c r="A2136" i="3"/>
  <c r="B2135" i="3"/>
  <c r="A2135" i="3"/>
  <c r="B2134" i="3"/>
  <c r="A2134" i="3"/>
  <c r="B2133" i="3"/>
  <c r="A2133" i="3"/>
  <c r="B2132" i="3"/>
  <c r="A2132" i="3"/>
  <c r="B2131" i="3"/>
  <c r="A2131" i="3"/>
  <c r="B2130" i="3"/>
  <c r="A2130" i="3"/>
  <c r="B2129" i="3"/>
  <c r="A2129" i="3"/>
  <c r="B2128" i="3"/>
  <c r="A2128" i="3"/>
  <c r="B2127" i="3"/>
  <c r="A2127" i="3"/>
  <c r="B2126" i="3"/>
  <c r="A2126" i="3"/>
  <c r="B2125" i="3"/>
  <c r="A2125" i="3"/>
  <c r="B2124" i="3"/>
  <c r="A2124" i="3"/>
  <c r="B2123" i="3"/>
  <c r="A2123" i="3"/>
  <c r="B2122" i="3"/>
  <c r="A2122" i="3"/>
  <c r="B2121" i="3"/>
  <c r="A2121" i="3"/>
  <c r="B2120" i="3"/>
  <c r="A2120" i="3"/>
  <c r="B2119" i="3"/>
  <c r="A2119" i="3"/>
  <c r="B2118" i="3"/>
  <c r="A2118" i="3"/>
  <c r="B2117" i="3"/>
  <c r="A2117" i="3"/>
  <c r="B2116" i="3"/>
  <c r="A2116" i="3"/>
  <c r="B2115" i="3"/>
  <c r="A2115" i="3"/>
  <c r="B2114" i="3"/>
  <c r="A2114" i="3"/>
  <c r="B2113" i="3"/>
  <c r="A2113" i="3"/>
  <c r="B2112" i="3"/>
  <c r="A2112" i="3"/>
  <c r="B2111" i="3"/>
  <c r="A2111" i="3"/>
  <c r="B2110" i="3"/>
  <c r="A2110" i="3"/>
  <c r="B2109" i="3"/>
  <c r="A2109" i="3"/>
  <c r="B2108" i="3"/>
  <c r="A2108" i="3"/>
  <c r="B2107" i="3"/>
  <c r="A2107" i="3"/>
  <c r="B2106" i="3"/>
  <c r="A2106" i="3"/>
  <c r="B2105" i="3"/>
  <c r="A2105" i="3"/>
  <c r="B2104" i="3"/>
  <c r="A2104" i="3"/>
  <c r="B2103" i="3"/>
  <c r="A2103" i="3"/>
  <c r="B2102" i="3"/>
  <c r="A2102" i="3"/>
  <c r="B2101" i="3"/>
  <c r="A2101" i="3"/>
  <c r="B2100" i="3"/>
  <c r="A2100" i="3"/>
  <c r="B2099" i="3"/>
  <c r="A2099" i="3"/>
  <c r="B2098" i="3"/>
  <c r="A2098" i="3"/>
  <c r="B2097" i="3"/>
  <c r="A2097" i="3"/>
  <c r="B2096" i="3"/>
  <c r="A2096" i="3"/>
  <c r="B2095" i="3"/>
  <c r="A2095" i="3"/>
  <c r="B2094" i="3"/>
  <c r="A2094" i="3"/>
  <c r="B2093" i="3"/>
  <c r="A2093" i="3"/>
  <c r="B2092" i="3"/>
  <c r="A2092" i="3"/>
  <c r="B2091" i="3"/>
  <c r="A2091" i="3"/>
  <c r="B2090" i="3"/>
  <c r="A2090" i="3"/>
  <c r="B2089" i="3"/>
  <c r="A2089" i="3"/>
  <c r="B2088" i="3"/>
  <c r="A2088" i="3"/>
  <c r="B2087" i="3"/>
  <c r="A2087" i="3"/>
  <c r="B2086" i="3"/>
  <c r="A2086" i="3"/>
  <c r="B2085" i="3"/>
  <c r="A2085" i="3"/>
  <c r="B2084" i="3"/>
  <c r="A2084" i="3"/>
  <c r="B2083" i="3"/>
  <c r="A2083" i="3"/>
  <c r="B2082" i="3"/>
  <c r="A2082" i="3"/>
  <c r="B2081" i="3"/>
  <c r="A2081" i="3"/>
  <c r="B2080" i="3"/>
  <c r="A2080" i="3"/>
  <c r="B2079" i="3"/>
  <c r="A2079" i="3"/>
  <c r="B2078" i="3"/>
  <c r="A2078" i="3"/>
  <c r="B2077" i="3"/>
  <c r="A2077" i="3"/>
  <c r="B2076" i="3"/>
  <c r="A2076" i="3"/>
  <c r="B2075" i="3"/>
  <c r="A2075" i="3"/>
  <c r="B2074" i="3"/>
  <c r="A2074" i="3"/>
  <c r="B2073" i="3"/>
  <c r="A2073" i="3"/>
  <c r="B2072" i="3"/>
  <c r="A2072" i="3"/>
  <c r="B2071" i="3"/>
  <c r="A2071" i="3"/>
  <c r="B2070" i="3"/>
  <c r="A2070" i="3"/>
  <c r="B2069" i="3"/>
  <c r="A2069" i="3"/>
  <c r="B2068" i="3"/>
  <c r="A2068" i="3"/>
  <c r="B2067" i="3"/>
  <c r="A2067" i="3"/>
  <c r="B2066" i="3"/>
  <c r="A2066" i="3"/>
  <c r="B2065" i="3"/>
  <c r="A2065" i="3"/>
  <c r="B2064" i="3"/>
  <c r="A2064" i="3"/>
  <c r="B2063" i="3"/>
  <c r="A2063" i="3"/>
  <c r="B2062" i="3"/>
  <c r="A2062" i="3"/>
  <c r="B2061" i="3"/>
  <c r="A2061" i="3"/>
  <c r="B2060" i="3"/>
  <c r="A2060" i="3"/>
  <c r="B2059" i="3"/>
  <c r="A2059" i="3"/>
  <c r="B2058" i="3"/>
  <c r="A2058" i="3"/>
  <c r="B2057" i="3"/>
  <c r="A2057" i="3"/>
  <c r="B2056" i="3"/>
  <c r="A2056" i="3"/>
  <c r="B2055" i="3"/>
  <c r="A2055" i="3"/>
  <c r="B2054" i="3"/>
  <c r="A2054" i="3"/>
  <c r="B2053" i="3"/>
  <c r="A2053" i="3"/>
  <c r="B2052" i="3"/>
  <c r="A2052" i="3"/>
  <c r="B2051" i="3"/>
  <c r="A2051" i="3"/>
  <c r="B2050" i="3"/>
  <c r="A2050" i="3"/>
  <c r="B2049" i="3"/>
  <c r="A2049" i="3"/>
  <c r="B2048" i="3"/>
  <c r="A2048" i="3"/>
  <c r="B2047" i="3"/>
  <c r="A2047" i="3"/>
  <c r="B2046" i="3"/>
  <c r="A2046" i="3"/>
  <c r="B2045" i="3"/>
  <c r="A2045" i="3"/>
  <c r="B2044" i="3"/>
  <c r="A2044" i="3"/>
  <c r="B2043" i="3"/>
  <c r="A2043" i="3"/>
  <c r="B2042" i="3"/>
  <c r="A2042" i="3"/>
  <c r="B2041" i="3"/>
  <c r="A2041" i="3"/>
  <c r="B2040" i="3"/>
  <c r="A2040" i="3"/>
  <c r="B2039" i="3"/>
  <c r="A2039" i="3"/>
  <c r="B2038" i="3"/>
  <c r="A2038" i="3"/>
  <c r="B2037" i="3"/>
  <c r="A2037" i="3"/>
  <c r="B2036" i="3"/>
  <c r="A2036" i="3"/>
  <c r="B2035" i="3"/>
  <c r="A2035" i="3"/>
  <c r="B2034" i="3"/>
  <c r="A2034" i="3"/>
  <c r="B2033" i="3"/>
  <c r="A2033" i="3"/>
  <c r="B2032" i="3"/>
  <c r="A2032" i="3"/>
  <c r="B2031" i="3"/>
  <c r="A2031" i="3"/>
  <c r="B2030" i="3"/>
  <c r="A2030" i="3"/>
  <c r="B2029" i="3"/>
  <c r="A2029" i="3"/>
  <c r="B2028" i="3"/>
  <c r="A2028" i="3"/>
  <c r="B2027" i="3"/>
  <c r="A2027" i="3"/>
  <c r="B2026" i="3"/>
  <c r="A2026" i="3"/>
  <c r="B2025" i="3"/>
  <c r="A2025" i="3"/>
  <c r="B2024" i="3"/>
  <c r="A2024" i="3"/>
  <c r="B2023" i="3"/>
  <c r="A2023" i="3"/>
  <c r="B2022" i="3"/>
  <c r="A2022" i="3"/>
  <c r="B2021" i="3"/>
  <c r="A2021" i="3"/>
  <c r="B2020" i="3"/>
  <c r="A2020" i="3"/>
  <c r="B2019" i="3"/>
  <c r="A2019" i="3"/>
  <c r="B2018" i="3"/>
  <c r="A2018" i="3"/>
  <c r="B2017" i="3"/>
  <c r="A2017" i="3"/>
  <c r="B2016" i="3"/>
  <c r="A2016" i="3"/>
  <c r="B2015" i="3"/>
  <c r="A2015" i="3"/>
  <c r="B2014" i="3"/>
  <c r="A2014" i="3"/>
  <c r="B2013" i="3"/>
  <c r="A2013" i="3"/>
  <c r="B2012" i="3"/>
  <c r="A2012" i="3"/>
  <c r="B2011" i="3"/>
  <c r="A2011" i="3"/>
  <c r="B2010" i="3"/>
  <c r="A2010" i="3"/>
  <c r="B2009" i="3"/>
  <c r="A2009" i="3"/>
  <c r="B2008" i="3"/>
  <c r="A2008" i="3"/>
  <c r="B2007" i="3"/>
  <c r="A2007" i="3"/>
  <c r="B2006" i="3"/>
  <c r="A2006" i="3"/>
  <c r="B2005" i="3"/>
  <c r="A2005" i="3"/>
  <c r="B2004" i="3"/>
  <c r="A2004" i="3"/>
  <c r="B2003" i="3"/>
  <c r="A2003" i="3"/>
  <c r="B2002" i="3"/>
  <c r="A2002" i="3"/>
  <c r="B2001" i="3"/>
  <c r="A2001" i="3"/>
  <c r="B2000" i="3"/>
  <c r="A2000" i="3"/>
  <c r="B1999" i="3"/>
  <c r="A1999" i="3"/>
  <c r="B1998" i="3"/>
  <c r="A1998" i="3"/>
  <c r="B1997" i="3"/>
  <c r="A1997" i="3"/>
  <c r="B1996" i="3"/>
  <c r="A1996" i="3"/>
  <c r="B1995" i="3"/>
  <c r="A1995" i="3"/>
  <c r="B1994" i="3"/>
  <c r="A1994" i="3"/>
  <c r="B1993" i="3"/>
  <c r="A1993" i="3"/>
  <c r="B1992" i="3"/>
  <c r="A1992" i="3"/>
  <c r="B1991" i="3"/>
  <c r="A1991" i="3"/>
  <c r="B1990" i="3"/>
  <c r="A1990" i="3"/>
  <c r="B1989" i="3"/>
  <c r="A1989" i="3"/>
  <c r="B1988" i="3"/>
  <c r="A1988" i="3"/>
  <c r="B1987" i="3"/>
  <c r="A1987" i="3"/>
  <c r="B1986" i="3"/>
  <c r="A1986" i="3"/>
  <c r="B1985" i="3"/>
  <c r="A1985" i="3"/>
  <c r="B1984" i="3"/>
  <c r="A1984" i="3"/>
  <c r="B1983" i="3"/>
  <c r="A1983" i="3"/>
  <c r="B1982" i="3"/>
  <c r="A1982" i="3"/>
  <c r="B1981" i="3"/>
  <c r="A1981" i="3"/>
  <c r="B1980" i="3"/>
  <c r="A1980" i="3"/>
  <c r="B1979" i="3"/>
  <c r="A1979" i="3"/>
  <c r="B1978" i="3"/>
  <c r="A1978" i="3"/>
  <c r="B1977" i="3"/>
  <c r="A1977" i="3"/>
  <c r="B1976" i="3"/>
  <c r="A1976" i="3"/>
  <c r="B1975" i="3"/>
  <c r="A1975" i="3"/>
  <c r="B1974" i="3"/>
  <c r="A1974" i="3"/>
  <c r="B1973" i="3"/>
  <c r="A1973" i="3"/>
  <c r="B1972" i="3"/>
  <c r="A1972" i="3"/>
  <c r="B1971" i="3"/>
  <c r="A1971" i="3"/>
  <c r="B1970" i="3"/>
  <c r="A1970" i="3"/>
  <c r="B1969" i="3"/>
  <c r="A1969" i="3"/>
  <c r="B1968" i="3"/>
  <c r="A1968" i="3"/>
  <c r="B1967" i="3"/>
  <c r="A1967" i="3"/>
  <c r="B1966" i="3"/>
  <c r="A1966" i="3"/>
  <c r="B1965" i="3"/>
  <c r="A1965" i="3"/>
  <c r="B1964" i="3"/>
  <c r="A1964" i="3"/>
  <c r="B1963" i="3"/>
  <c r="A1963" i="3"/>
  <c r="B1962" i="3"/>
  <c r="A1962" i="3"/>
  <c r="B1961" i="3"/>
  <c r="A1961" i="3"/>
  <c r="B1960" i="3"/>
  <c r="A1960" i="3"/>
  <c r="B1959" i="3"/>
  <c r="A1959" i="3"/>
  <c r="B1958" i="3"/>
  <c r="A1958" i="3"/>
  <c r="B1957" i="3"/>
  <c r="A1957" i="3"/>
  <c r="B1956" i="3"/>
  <c r="A1956" i="3"/>
  <c r="B1955" i="3"/>
  <c r="A1955" i="3"/>
  <c r="B1954" i="3"/>
  <c r="A1954" i="3"/>
  <c r="B1953" i="3"/>
  <c r="A1953" i="3"/>
  <c r="B1952" i="3"/>
  <c r="A1952" i="3"/>
  <c r="B1951" i="3"/>
  <c r="A1951" i="3"/>
  <c r="B1950" i="3"/>
  <c r="A1950" i="3"/>
  <c r="B1949" i="3"/>
  <c r="A1949" i="3"/>
  <c r="B1948" i="3"/>
  <c r="A1948" i="3"/>
  <c r="B1947" i="3"/>
  <c r="A1947" i="3"/>
  <c r="B1946" i="3"/>
  <c r="A1946" i="3"/>
  <c r="B1945" i="3"/>
  <c r="A1945" i="3"/>
  <c r="B1944" i="3"/>
  <c r="A1944" i="3"/>
  <c r="B1943" i="3"/>
  <c r="A1943" i="3"/>
  <c r="B1942" i="3"/>
  <c r="A1942" i="3"/>
  <c r="B1941" i="3"/>
  <c r="A1941" i="3"/>
  <c r="B1940" i="3"/>
  <c r="A1940" i="3"/>
  <c r="B1939" i="3"/>
  <c r="A1939" i="3"/>
  <c r="B1938" i="3"/>
  <c r="A1938" i="3"/>
  <c r="B1937" i="3"/>
  <c r="A1937" i="3"/>
  <c r="B1936" i="3"/>
  <c r="A1936" i="3"/>
  <c r="B1935" i="3"/>
  <c r="A1935" i="3"/>
  <c r="B1934" i="3"/>
  <c r="A1934" i="3"/>
  <c r="B1933" i="3"/>
  <c r="A1933" i="3"/>
  <c r="B1932" i="3"/>
  <c r="A1932" i="3"/>
  <c r="B1931" i="3"/>
  <c r="A1931" i="3"/>
  <c r="B1930" i="3"/>
  <c r="A1930" i="3"/>
  <c r="B1929" i="3"/>
  <c r="A1929" i="3"/>
  <c r="B1928" i="3"/>
  <c r="A1928" i="3"/>
  <c r="B1927" i="3"/>
  <c r="A1927" i="3"/>
  <c r="B1926" i="3"/>
  <c r="A1926" i="3"/>
  <c r="B1925" i="3"/>
  <c r="A1925" i="3"/>
  <c r="B1924" i="3"/>
  <c r="A1924" i="3"/>
  <c r="B1923" i="3"/>
  <c r="A1923" i="3"/>
  <c r="B1922" i="3"/>
  <c r="A1922" i="3"/>
  <c r="B1921" i="3"/>
  <c r="A1921" i="3"/>
  <c r="B1920" i="3"/>
  <c r="A1920" i="3"/>
  <c r="B1919" i="3"/>
  <c r="A1919" i="3"/>
  <c r="B1918" i="3"/>
  <c r="A1918" i="3"/>
  <c r="B1917" i="3"/>
  <c r="A1917" i="3"/>
  <c r="B1916" i="3"/>
  <c r="A1916" i="3"/>
  <c r="B1915" i="3"/>
  <c r="A1915" i="3"/>
  <c r="B1914" i="3"/>
  <c r="A1914" i="3"/>
  <c r="B1913" i="3"/>
  <c r="A1913" i="3"/>
  <c r="B1912" i="3"/>
  <c r="A1912" i="3"/>
  <c r="B1911" i="3"/>
  <c r="A1911" i="3"/>
  <c r="B1910" i="3"/>
  <c r="A1910" i="3"/>
  <c r="B1909" i="3"/>
  <c r="A1909" i="3"/>
  <c r="B1908" i="3"/>
  <c r="A1908" i="3"/>
  <c r="B1907" i="3"/>
  <c r="A1907" i="3"/>
  <c r="B1906" i="3"/>
  <c r="A1906" i="3"/>
  <c r="B1905" i="3"/>
  <c r="A1905" i="3"/>
  <c r="B1904" i="3"/>
  <c r="A1904" i="3"/>
  <c r="B1903" i="3"/>
  <c r="A1903" i="3"/>
  <c r="B1902" i="3"/>
  <c r="A1902" i="3"/>
  <c r="B1901" i="3"/>
  <c r="A1901" i="3"/>
  <c r="B1900" i="3"/>
  <c r="A1900" i="3"/>
  <c r="B1899" i="3"/>
  <c r="A1899" i="3"/>
  <c r="B1898" i="3"/>
  <c r="A1898" i="3"/>
  <c r="B1897" i="3"/>
  <c r="A1897" i="3"/>
  <c r="B1896" i="3"/>
  <c r="A1896" i="3"/>
  <c r="B1895" i="3"/>
  <c r="A1895" i="3"/>
  <c r="B1894" i="3"/>
  <c r="A1894" i="3"/>
  <c r="B1893" i="3"/>
  <c r="A1893" i="3"/>
  <c r="B1892" i="3"/>
  <c r="A1892" i="3"/>
  <c r="B1891" i="3"/>
  <c r="A1891" i="3"/>
  <c r="B1890" i="3"/>
  <c r="A1890" i="3"/>
  <c r="B1889" i="3"/>
  <c r="A1889" i="3"/>
  <c r="B1888" i="3"/>
  <c r="A1888" i="3"/>
  <c r="B1887" i="3"/>
  <c r="A1887" i="3"/>
  <c r="B1886" i="3"/>
  <c r="A1886" i="3"/>
  <c r="B1885" i="3"/>
  <c r="A1885" i="3"/>
  <c r="B1884" i="3"/>
  <c r="A1884" i="3"/>
  <c r="B1883" i="3"/>
  <c r="A1883" i="3"/>
  <c r="B1882" i="3"/>
  <c r="A1882" i="3"/>
  <c r="B1881" i="3"/>
  <c r="A1881" i="3"/>
  <c r="B1880" i="3"/>
  <c r="A1880" i="3"/>
  <c r="B1879" i="3"/>
  <c r="A1879" i="3"/>
  <c r="B1878" i="3"/>
  <c r="A1878" i="3"/>
  <c r="B1877" i="3"/>
  <c r="A1877" i="3"/>
  <c r="B1876" i="3"/>
  <c r="A1876" i="3"/>
  <c r="B1875" i="3"/>
  <c r="A1875" i="3"/>
  <c r="B1874" i="3"/>
  <c r="A1874" i="3"/>
  <c r="B1873" i="3"/>
  <c r="A1873" i="3"/>
  <c r="B1872" i="3"/>
  <c r="A1872" i="3"/>
  <c r="B1871" i="3"/>
  <c r="A1871" i="3"/>
  <c r="B1870" i="3"/>
  <c r="A1870" i="3"/>
  <c r="B1869" i="3"/>
  <c r="A1869" i="3"/>
  <c r="B1868" i="3"/>
  <c r="A1868" i="3"/>
  <c r="B1867" i="3"/>
  <c r="A1867" i="3"/>
  <c r="B1866" i="3"/>
  <c r="A1866" i="3"/>
  <c r="B1865" i="3"/>
  <c r="A1865" i="3"/>
  <c r="B1864" i="3"/>
  <c r="A1864" i="3"/>
  <c r="B1863" i="3"/>
  <c r="A1863" i="3"/>
  <c r="B1862" i="3"/>
  <c r="A1862" i="3"/>
  <c r="B1861" i="3"/>
  <c r="A1861" i="3"/>
  <c r="B1860" i="3"/>
  <c r="A1860" i="3"/>
  <c r="B1859" i="3"/>
  <c r="A1859" i="3"/>
  <c r="B1858" i="3"/>
  <c r="A1858" i="3"/>
  <c r="B1857" i="3"/>
  <c r="A1857" i="3"/>
  <c r="B1856" i="3"/>
  <c r="A1856" i="3"/>
  <c r="B1855" i="3"/>
  <c r="A1855" i="3"/>
  <c r="B1854" i="3"/>
  <c r="A1854" i="3"/>
  <c r="B1853" i="3"/>
  <c r="A1853" i="3"/>
  <c r="B1852" i="3"/>
  <c r="A1852" i="3"/>
  <c r="B1851" i="3"/>
  <c r="A1851" i="3"/>
  <c r="B1850" i="3"/>
  <c r="A1850" i="3"/>
  <c r="B1849" i="3"/>
  <c r="A1849" i="3"/>
  <c r="B1848" i="3"/>
  <c r="A1848" i="3"/>
  <c r="B1847" i="3"/>
  <c r="A1847" i="3"/>
  <c r="B1846" i="3"/>
  <c r="A1846" i="3"/>
  <c r="B1845" i="3"/>
  <c r="A1845" i="3"/>
  <c r="B1844" i="3"/>
  <c r="A1844" i="3"/>
  <c r="B1843" i="3"/>
  <c r="A1843" i="3"/>
  <c r="B1842" i="3"/>
  <c r="A1842" i="3"/>
  <c r="B1841" i="3"/>
  <c r="A1841" i="3"/>
  <c r="B1840" i="3"/>
  <c r="A1840" i="3"/>
  <c r="B1839" i="3"/>
  <c r="A1839" i="3"/>
  <c r="B1838" i="3"/>
  <c r="A1838" i="3"/>
  <c r="B1837" i="3"/>
  <c r="A1837" i="3"/>
  <c r="B1836" i="3"/>
  <c r="A1836" i="3"/>
  <c r="B1835" i="3"/>
  <c r="A1835" i="3"/>
  <c r="B1834" i="3"/>
  <c r="A1834" i="3"/>
  <c r="B1833" i="3"/>
  <c r="A1833" i="3"/>
  <c r="B1832" i="3"/>
  <c r="A1832" i="3"/>
  <c r="B1831" i="3"/>
  <c r="A1831" i="3"/>
  <c r="B1830" i="3"/>
  <c r="A1830" i="3"/>
  <c r="B1829" i="3"/>
  <c r="A1829" i="3"/>
  <c r="B1828" i="3"/>
  <c r="A1828" i="3"/>
  <c r="B1827" i="3"/>
  <c r="A1827" i="3"/>
  <c r="B1826" i="3"/>
  <c r="A1826" i="3"/>
  <c r="B1825" i="3"/>
  <c r="A1825" i="3"/>
  <c r="B1824" i="3"/>
  <c r="A1824" i="3"/>
  <c r="B1823" i="3"/>
  <c r="A1823" i="3"/>
  <c r="B1822" i="3"/>
  <c r="A1822" i="3"/>
  <c r="B1821" i="3"/>
  <c r="A1821" i="3"/>
  <c r="B1820" i="3"/>
  <c r="A1820" i="3"/>
  <c r="B1819" i="3"/>
  <c r="A1819" i="3"/>
  <c r="B1818" i="3"/>
  <c r="A1818" i="3"/>
  <c r="B1817" i="3"/>
  <c r="A1817" i="3"/>
  <c r="B1816" i="3"/>
  <c r="A1816" i="3"/>
  <c r="B1815" i="3"/>
  <c r="A1815" i="3"/>
  <c r="B1814" i="3"/>
  <c r="A1814" i="3"/>
  <c r="B1813" i="3"/>
  <c r="A1813" i="3"/>
  <c r="B1812" i="3"/>
  <c r="A1812" i="3"/>
  <c r="B1811" i="3"/>
  <c r="A1811" i="3"/>
  <c r="B1810" i="3"/>
  <c r="A1810" i="3"/>
  <c r="B1809" i="3"/>
  <c r="A1809" i="3"/>
  <c r="B1808" i="3"/>
  <c r="A1808" i="3"/>
  <c r="B1807" i="3"/>
  <c r="A1807" i="3"/>
  <c r="B1806" i="3"/>
  <c r="A1806" i="3"/>
  <c r="B1805" i="3"/>
  <c r="A1805" i="3"/>
  <c r="B1804" i="3"/>
  <c r="A1804" i="3"/>
  <c r="B1803" i="3"/>
  <c r="A1803" i="3"/>
  <c r="B1802" i="3"/>
  <c r="A1802" i="3"/>
  <c r="B1801" i="3"/>
  <c r="A1801" i="3"/>
  <c r="B1800" i="3"/>
  <c r="A1800" i="3"/>
  <c r="B1799" i="3"/>
  <c r="A1799" i="3"/>
  <c r="B1798" i="3"/>
  <c r="A1798" i="3"/>
  <c r="B1797" i="3"/>
  <c r="A1797" i="3"/>
  <c r="B1796" i="3"/>
  <c r="A1796" i="3"/>
  <c r="B1795" i="3"/>
  <c r="A1795" i="3"/>
  <c r="B1794" i="3"/>
  <c r="A1794" i="3"/>
  <c r="B1793" i="3"/>
  <c r="A1793" i="3"/>
  <c r="B1792" i="3"/>
  <c r="A1792" i="3"/>
  <c r="B1791" i="3"/>
  <c r="A1791" i="3"/>
  <c r="B1790" i="3"/>
  <c r="A1790" i="3"/>
  <c r="B1789" i="3"/>
  <c r="A1789" i="3"/>
  <c r="B1788" i="3"/>
  <c r="A1788" i="3"/>
  <c r="B1787" i="3"/>
  <c r="A1787" i="3"/>
  <c r="B1786" i="3"/>
  <c r="A1786" i="3"/>
  <c r="B1785" i="3"/>
  <c r="A1785" i="3"/>
  <c r="B1784" i="3"/>
  <c r="A1784" i="3"/>
  <c r="B1783" i="3"/>
  <c r="A1783" i="3"/>
  <c r="B1782" i="3"/>
  <c r="A1782" i="3"/>
  <c r="B1781" i="3"/>
  <c r="A1781" i="3"/>
  <c r="B1780" i="3"/>
  <c r="A1780" i="3"/>
  <c r="B1779" i="3"/>
  <c r="A1779" i="3"/>
  <c r="B1778" i="3"/>
  <c r="A1778" i="3"/>
  <c r="B1777" i="3"/>
  <c r="A1777" i="3"/>
  <c r="B1776" i="3"/>
  <c r="A1776" i="3"/>
  <c r="B1775" i="3"/>
  <c r="A1775" i="3"/>
  <c r="B1774" i="3"/>
  <c r="A1774" i="3"/>
  <c r="B1773" i="3"/>
  <c r="A1773" i="3"/>
  <c r="B1772" i="3"/>
  <c r="A1772" i="3"/>
  <c r="B1771" i="3"/>
  <c r="A1771" i="3"/>
  <c r="B1770" i="3"/>
  <c r="A1770" i="3"/>
  <c r="B1769" i="3"/>
  <c r="A1769" i="3"/>
  <c r="B1768" i="3"/>
  <c r="A1768" i="3"/>
  <c r="B1767" i="3"/>
  <c r="A1767" i="3"/>
  <c r="B1766" i="3"/>
  <c r="A1766" i="3"/>
  <c r="B1765" i="3"/>
  <c r="A1765" i="3"/>
  <c r="B1764" i="3"/>
  <c r="A1764" i="3"/>
  <c r="B1763" i="3"/>
  <c r="A1763" i="3"/>
  <c r="B1762" i="3"/>
  <c r="A1762" i="3"/>
  <c r="B1761" i="3"/>
  <c r="A1761" i="3"/>
  <c r="B1760" i="3"/>
  <c r="A1760" i="3"/>
  <c r="B1759" i="3"/>
  <c r="A1759" i="3"/>
  <c r="B1758" i="3"/>
  <c r="A1758" i="3"/>
  <c r="B1757" i="3"/>
  <c r="A1757" i="3"/>
  <c r="B1756" i="3"/>
  <c r="A1756" i="3"/>
  <c r="B1755" i="3"/>
  <c r="A1755" i="3"/>
  <c r="B1754" i="3"/>
  <c r="A1754" i="3"/>
  <c r="B1753" i="3"/>
  <c r="A1753" i="3"/>
  <c r="B1752" i="3"/>
  <c r="A1752" i="3"/>
  <c r="B1751" i="3"/>
  <c r="A1751" i="3"/>
  <c r="B1750" i="3"/>
  <c r="A1750" i="3"/>
  <c r="B1749" i="3"/>
  <c r="A1749" i="3"/>
  <c r="B1748" i="3"/>
  <c r="A1748" i="3"/>
  <c r="B1747" i="3"/>
  <c r="A1747" i="3"/>
  <c r="B1746" i="3"/>
  <c r="A1746" i="3"/>
  <c r="B1745" i="3"/>
  <c r="A1745" i="3"/>
  <c r="B1744" i="3"/>
  <c r="A1744" i="3"/>
  <c r="B1743" i="3"/>
  <c r="A1743" i="3"/>
  <c r="B1742" i="3"/>
  <c r="A1742" i="3"/>
  <c r="B1741" i="3"/>
  <c r="A1741" i="3"/>
  <c r="B1740" i="3"/>
  <c r="A1740" i="3"/>
  <c r="B1739" i="3"/>
  <c r="A1739" i="3"/>
  <c r="B1738" i="3"/>
  <c r="A1738" i="3"/>
  <c r="B1737" i="3"/>
  <c r="A1737" i="3"/>
  <c r="B1736" i="3"/>
  <c r="A1736" i="3"/>
  <c r="B1735" i="3"/>
  <c r="A1735" i="3"/>
  <c r="B1734" i="3"/>
  <c r="A1734" i="3"/>
  <c r="B1733" i="3"/>
  <c r="A1733" i="3"/>
  <c r="B1732" i="3"/>
  <c r="A1732" i="3"/>
  <c r="B1731" i="3"/>
  <c r="A1731" i="3"/>
  <c r="B1730" i="3"/>
  <c r="A1730" i="3"/>
  <c r="B1729" i="3"/>
  <c r="A1729" i="3"/>
  <c r="B1728" i="3"/>
  <c r="A1728" i="3"/>
  <c r="B1727" i="3"/>
  <c r="A1727" i="3"/>
  <c r="B1726" i="3"/>
  <c r="A1726" i="3"/>
  <c r="B1725" i="3"/>
  <c r="A1725" i="3"/>
  <c r="B1724" i="3"/>
  <c r="A1724" i="3"/>
  <c r="B1723" i="3"/>
  <c r="A1723" i="3"/>
  <c r="B1722" i="3"/>
  <c r="A1722" i="3"/>
  <c r="B1721" i="3"/>
  <c r="A1721" i="3"/>
  <c r="B1720" i="3"/>
  <c r="A1720" i="3"/>
  <c r="B1719" i="3"/>
  <c r="A1719" i="3"/>
  <c r="B1718" i="3"/>
  <c r="A1718" i="3"/>
  <c r="B1717" i="3"/>
  <c r="A1717" i="3"/>
  <c r="B1716" i="3"/>
  <c r="A1716" i="3"/>
  <c r="B1715" i="3"/>
  <c r="A1715" i="3"/>
  <c r="B1714" i="3"/>
  <c r="A1714" i="3"/>
  <c r="B1713" i="3"/>
  <c r="A1713" i="3"/>
  <c r="B1712" i="3"/>
  <c r="A1712" i="3"/>
  <c r="B1711" i="3"/>
  <c r="A1711" i="3"/>
  <c r="B1710" i="3"/>
  <c r="A1710" i="3"/>
  <c r="B1709" i="3"/>
  <c r="A1709" i="3"/>
  <c r="B1708" i="3"/>
  <c r="A1708" i="3"/>
  <c r="B1707" i="3"/>
  <c r="A1707" i="3"/>
  <c r="B1706" i="3"/>
  <c r="A1706" i="3"/>
  <c r="B1705" i="3"/>
  <c r="A1705" i="3"/>
  <c r="B1704" i="3"/>
  <c r="A1704" i="3"/>
  <c r="B1703" i="3"/>
  <c r="A1703" i="3"/>
  <c r="B1702" i="3"/>
  <c r="A1702" i="3"/>
  <c r="B1701" i="3"/>
  <c r="A1701" i="3"/>
  <c r="B1700" i="3"/>
  <c r="A1700" i="3"/>
  <c r="B1699" i="3"/>
  <c r="A1699" i="3"/>
  <c r="B1698" i="3"/>
  <c r="A1698" i="3"/>
  <c r="B1697" i="3"/>
  <c r="A1697" i="3"/>
  <c r="B1696" i="3"/>
  <c r="A1696" i="3"/>
  <c r="B1695" i="3"/>
  <c r="A1695" i="3"/>
  <c r="B1694" i="3"/>
  <c r="A1694" i="3"/>
  <c r="B1693" i="3"/>
  <c r="A1693" i="3"/>
  <c r="B1692" i="3"/>
  <c r="A1692" i="3"/>
  <c r="B1691" i="3"/>
  <c r="A1691" i="3"/>
  <c r="B1690" i="3"/>
  <c r="A1690" i="3"/>
  <c r="B1689" i="3"/>
  <c r="A1689" i="3"/>
  <c r="B1688" i="3"/>
  <c r="A1688" i="3"/>
  <c r="B1687" i="3"/>
  <c r="A1687" i="3"/>
  <c r="B1686" i="3"/>
  <c r="A1686" i="3"/>
  <c r="B1685" i="3"/>
  <c r="A1685" i="3"/>
  <c r="B1684" i="3"/>
  <c r="A1684" i="3"/>
  <c r="B1683" i="3"/>
  <c r="A1683" i="3"/>
  <c r="B1682" i="3"/>
  <c r="A1682" i="3"/>
  <c r="B1681" i="3"/>
  <c r="A1681" i="3"/>
  <c r="B1680" i="3"/>
  <c r="A1680" i="3"/>
  <c r="B1679" i="3"/>
  <c r="A1679" i="3"/>
  <c r="B1678" i="3"/>
  <c r="A1678" i="3"/>
  <c r="B1677" i="3"/>
  <c r="A1677" i="3"/>
  <c r="B1676" i="3"/>
  <c r="A1676" i="3"/>
  <c r="B1675" i="3"/>
  <c r="A1675" i="3"/>
  <c r="B1674" i="3"/>
  <c r="A1674" i="3"/>
  <c r="B1673" i="3"/>
  <c r="A1673" i="3"/>
  <c r="B1672" i="3"/>
  <c r="A1672" i="3"/>
  <c r="B1671" i="3"/>
  <c r="A1671" i="3"/>
  <c r="B1670" i="3"/>
  <c r="A1670" i="3"/>
  <c r="B1669" i="3"/>
  <c r="A1669" i="3"/>
  <c r="B1668" i="3"/>
  <c r="A1668" i="3"/>
  <c r="B1667" i="3"/>
  <c r="A1667" i="3"/>
  <c r="B1666" i="3"/>
  <c r="A1666" i="3"/>
  <c r="B1665" i="3"/>
  <c r="A1665" i="3"/>
  <c r="B1664" i="3"/>
  <c r="A1664" i="3"/>
  <c r="B1663" i="3"/>
  <c r="A1663" i="3"/>
  <c r="B1662" i="3"/>
  <c r="A1662" i="3"/>
  <c r="B1661" i="3"/>
  <c r="A1661" i="3"/>
  <c r="B1660" i="3"/>
  <c r="A1660" i="3"/>
  <c r="B1659" i="3"/>
  <c r="A1659" i="3"/>
  <c r="B1658" i="3"/>
  <c r="A1658" i="3"/>
  <c r="B1657" i="3"/>
  <c r="A1657" i="3"/>
  <c r="B1656" i="3"/>
  <c r="A1656" i="3"/>
  <c r="B1655" i="3"/>
  <c r="A1655" i="3"/>
  <c r="B1654" i="3"/>
  <c r="A1654" i="3"/>
  <c r="B1653" i="3"/>
  <c r="A1653" i="3"/>
  <c r="B1652" i="3"/>
  <c r="A1652" i="3"/>
  <c r="B1651" i="3"/>
  <c r="A1651" i="3"/>
  <c r="B1650" i="3"/>
  <c r="A1650" i="3"/>
  <c r="B1649" i="3"/>
  <c r="A1649" i="3"/>
  <c r="B1648" i="3"/>
  <c r="A1648" i="3"/>
  <c r="B1647" i="3"/>
  <c r="A1647" i="3"/>
  <c r="B1646" i="3"/>
  <c r="A1646" i="3"/>
  <c r="B1645" i="3"/>
  <c r="A1645" i="3"/>
  <c r="B1644" i="3"/>
  <c r="A1644" i="3"/>
  <c r="B1643" i="3"/>
  <c r="A1643" i="3"/>
  <c r="B1642" i="3"/>
  <c r="A1642" i="3"/>
  <c r="B1641" i="3"/>
  <c r="A1641" i="3"/>
  <c r="B1640" i="3"/>
  <c r="A1640" i="3"/>
  <c r="B1639" i="3"/>
  <c r="A1639" i="3"/>
  <c r="B1638" i="3"/>
  <c r="A1638" i="3"/>
  <c r="B1637" i="3"/>
  <c r="A1637" i="3"/>
  <c r="B1636" i="3"/>
  <c r="A1636" i="3"/>
  <c r="B1635" i="3"/>
  <c r="A1635" i="3"/>
  <c r="B1634" i="3"/>
  <c r="A1634" i="3"/>
  <c r="B1633" i="3"/>
  <c r="A1633" i="3"/>
  <c r="B1632" i="3"/>
  <c r="A1632" i="3"/>
  <c r="B1631" i="3"/>
  <c r="A1631" i="3"/>
  <c r="B1630" i="3"/>
  <c r="A1630" i="3"/>
  <c r="B1629" i="3"/>
  <c r="A1629" i="3"/>
  <c r="B1628" i="3"/>
  <c r="A1628" i="3"/>
  <c r="B1627" i="3"/>
  <c r="A1627" i="3"/>
  <c r="B1626" i="3"/>
  <c r="A1626" i="3"/>
  <c r="B1625" i="3"/>
  <c r="A1625" i="3"/>
  <c r="B1624" i="3"/>
  <c r="A1624" i="3"/>
  <c r="B1623" i="3"/>
  <c r="A1623" i="3"/>
  <c r="B1622" i="3"/>
  <c r="A1622" i="3"/>
  <c r="B1621" i="3"/>
  <c r="A1621" i="3"/>
  <c r="B1620" i="3"/>
  <c r="A1620" i="3"/>
  <c r="B1619" i="3"/>
  <c r="A1619" i="3"/>
  <c r="B1618" i="3"/>
  <c r="A1618" i="3"/>
  <c r="B1617" i="3"/>
  <c r="A1617" i="3"/>
  <c r="B1616" i="3"/>
  <c r="A1616" i="3"/>
  <c r="B1615" i="3"/>
  <c r="A1615" i="3"/>
  <c r="B1614" i="3"/>
  <c r="A1614" i="3"/>
  <c r="B1613" i="3"/>
  <c r="A1613" i="3"/>
  <c r="B1612" i="3"/>
  <c r="A1612" i="3"/>
  <c r="B1611" i="3"/>
  <c r="A1611" i="3"/>
  <c r="B1610" i="3"/>
  <c r="A1610" i="3"/>
  <c r="B1609" i="3"/>
  <c r="A1609" i="3"/>
  <c r="B1608" i="3"/>
  <c r="A1608" i="3"/>
  <c r="B1607" i="3"/>
  <c r="A1607" i="3"/>
  <c r="B1606" i="3"/>
  <c r="A1606" i="3"/>
  <c r="B1605" i="3"/>
  <c r="A1605" i="3"/>
  <c r="B1604" i="3"/>
  <c r="A1604" i="3"/>
  <c r="B1603" i="3"/>
  <c r="A1603" i="3"/>
  <c r="B1602" i="3"/>
  <c r="A1602" i="3"/>
  <c r="B1601" i="3"/>
  <c r="A1601" i="3"/>
  <c r="B1600" i="3"/>
  <c r="A1600" i="3"/>
  <c r="B1599" i="3"/>
  <c r="A1599" i="3"/>
  <c r="B1598" i="3"/>
  <c r="A1598" i="3"/>
  <c r="B1597" i="3"/>
  <c r="A1597" i="3"/>
  <c r="B1596" i="3"/>
  <c r="A1596" i="3"/>
  <c r="B1595" i="3"/>
  <c r="A1595" i="3"/>
  <c r="B1594" i="3"/>
  <c r="A1594" i="3"/>
  <c r="B1593" i="3"/>
  <c r="A1593" i="3"/>
  <c r="B1592" i="3"/>
  <c r="A1592" i="3"/>
  <c r="B1591" i="3"/>
  <c r="A1591" i="3"/>
  <c r="B1590" i="3"/>
  <c r="A1590" i="3"/>
  <c r="B1589" i="3"/>
  <c r="A1589" i="3"/>
  <c r="B1588" i="3"/>
  <c r="A1588" i="3"/>
  <c r="B1587" i="3"/>
  <c r="A1587" i="3"/>
  <c r="B1586" i="3"/>
  <c r="A1586" i="3"/>
  <c r="B1585" i="3"/>
  <c r="A1585" i="3"/>
  <c r="B1584" i="3"/>
  <c r="A1584" i="3"/>
  <c r="B1583" i="3"/>
  <c r="A1583" i="3"/>
  <c r="B1582" i="3"/>
  <c r="A1582" i="3"/>
  <c r="B1581" i="3"/>
  <c r="A1581" i="3"/>
  <c r="B1580" i="3"/>
  <c r="A1580" i="3"/>
  <c r="B1579" i="3"/>
  <c r="A1579" i="3"/>
  <c r="B1578" i="3"/>
  <c r="A1578" i="3"/>
  <c r="B1577" i="3"/>
  <c r="A1577" i="3"/>
  <c r="B1576" i="3"/>
  <c r="A1576" i="3"/>
  <c r="B1575" i="3"/>
  <c r="A1575" i="3"/>
  <c r="B1574" i="3"/>
  <c r="A1574" i="3"/>
  <c r="B1573" i="3"/>
  <c r="A1573" i="3"/>
  <c r="B1572" i="3"/>
  <c r="A1572" i="3"/>
  <c r="B1571" i="3"/>
  <c r="A1571" i="3"/>
  <c r="B1570" i="3"/>
  <c r="A1570" i="3"/>
  <c r="B1569" i="3"/>
  <c r="A1569" i="3"/>
  <c r="B1568" i="3"/>
  <c r="A1568" i="3"/>
  <c r="B1567" i="3"/>
  <c r="A1567" i="3"/>
  <c r="B1566" i="3"/>
  <c r="A1566" i="3"/>
  <c r="B1565" i="3"/>
  <c r="A1565" i="3"/>
  <c r="B1564" i="3"/>
  <c r="A1564" i="3"/>
  <c r="B1563" i="3"/>
  <c r="A1563" i="3"/>
  <c r="B1562" i="3"/>
  <c r="A1562" i="3"/>
  <c r="B1561" i="3"/>
  <c r="A1561" i="3"/>
  <c r="B1560" i="3"/>
  <c r="A1560" i="3"/>
  <c r="B1559" i="3"/>
  <c r="A1559" i="3"/>
  <c r="B1558" i="3"/>
  <c r="A1558" i="3"/>
  <c r="B1557" i="3"/>
  <c r="A1557" i="3"/>
  <c r="B1556" i="3"/>
  <c r="A1556" i="3"/>
  <c r="B1555" i="3"/>
  <c r="A1555" i="3"/>
  <c r="B1554" i="3"/>
  <c r="A1554" i="3"/>
  <c r="B1553" i="3"/>
  <c r="A1553" i="3"/>
  <c r="B1552" i="3"/>
  <c r="A1552" i="3"/>
  <c r="B1551" i="3"/>
  <c r="A1551" i="3"/>
  <c r="B1550" i="3"/>
  <c r="A1550" i="3"/>
  <c r="B1549" i="3"/>
  <c r="A1549" i="3"/>
  <c r="B1548" i="3"/>
  <c r="A1548" i="3"/>
  <c r="B1547" i="3"/>
  <c r="A1547" i="3"/>
  <c r="B1546" i="3"/>
  <c r="A1546" i="3"/>
  <c r="B1545" i="3"/>
  <c r="A1545" i="3"/>
  <c r="B1544" i="3"/>
  <c r="A1544" i="3"/>
  <c r="B1543" i="3"/>
  <c r="A1543" i="3"/>
  <c r="B1542" i="3"/>
  <c r="A1542" i="3"/>
  <c r="B1541" i="3"/>
  <c r="A1541" i="3"/>
  <c r="B1540" i="3"/>
  <c r="A1540" i="3"/>
  <c r="B1539" i="3"/>
  <c r="A1539" i="3"/>
  <c r="B1538" i="3"/>
  <c r="A1538" i="3"/>
  <c r="B1537" i="3"/>
  <c r="A1537" i="3"/>
  <c r="B1536" i="3"/>
  <c r="A1536" i="3"/>
  <c r="B1535" i="3"/>
  <c r="A1535" i="3"/>
  <c r="B1534" i="3"/>
  <c r="A1534" i="3"/>
  <c r="B1533" i="3"/>
  <c r="A1533" i="3"/>
  <c r="B1532" i="3"/>
  <c r="A1532" i="3"/>
  <c r="B1531" i="3"/>
  <c r="A1531" i="3"/>
  <c r="B1530" i="3"/>
  <c r="A1530" i="3"/>
  <c r="B1529" i="3"/>
  <c r="A1529" i="3"/>
  <c r="B1528" i="3"/>
  <c r="A1528" i="3"/>
  <c r="B1527" i="3"/>
  <c r="A1527" i="3"/>
  <c r="B1526" i="3"/>
  <c r="A1526" i="3"/>
  <c r="B1525" i="3"/>
  <c r="A1525" i="3"/>
  <c r="B1524" i="3"/>
  <c r="A1524" i="3"/>
  <c r="B1523" i="3"/>
  <c r="A1523" i="3"/>
  <c r="B1522" i="3"/>
  <c r="A1522" i="3"/>
  <c r="B1521" i="3"/>
  <c r="A1521" i="3"/>
  <c r="B1520" i="3"/>
  <c r="A1520" i="3"/>
  <c r="B1519" i="3"/>
  <c r="A1519" i="3"/>
  <c r="B1518" i="3"/>
  <c r="A1518" i="3"/>
  <c r="B1517" i="3"/>
  <c r="A1517" i="3"/>
  <c r="B1516" i="3"/>
  <c r="A1516" i="3"/>
  <c r="B1515" i="3"/>
  <c r="A1515" i="3"/>
  <c r="B1514" i="3"/>
  <c r="A1514" i="3"/>
  <c r="B1513" i="3"/>
  <c r="A1513" i="3"/>
  <c r="B1512" i="3"/>
  <c r="A1512" i="3"/>
  <c r="B1511" i="3"/>
  <c r="A1511" i="3"/>
  <c r="B1510" i="3"/>
  <c r="A1510" i="3"/>
  <c r="B1509" i="3"/>
  <c r="A1509" i="3"/>
  <c r="B1508" i="3"/>
  <c r="A1508" i="3"/>
  <c r="B1507" i="3"/>
  <c r="A1507" i="3"/>
  <c r="B1506" i="3"/>
  <c r="A1506" i="3"/>
  <c r="B1505" i="3"/>
  <c r="A1505" i="3"/>
  <c r="B1504" i="3"/>
  <c r="A1504" i="3"/>
  <c r="B1503" i="3"/>
  <c r="A1503" i="3"/>
  <c r="B1502" i="3"/>
  <c r="A1502" i="3"/>
  <c r="B1501" i="3"/>
  <c r="A1501" i="3"/>
  <c r="B1500" i="3"/>
  <c r="A1500" i="3"/>
  <c r="B1499" i="3"/>
  <c r="A1499" i="3"/>
  <c r="B1498" i="3"/>
  <c r="A1498" i="3"/>
  <c r="B1497" i="3"/>
  <c r="A1497" i="3"/>
  <c r="B1496" i="3"/>
  <c r="A1496" i="3"/>
  <c r="B1495" i="3"/>
  <c r="A1495" i="3"/>
  <c r="B1494" i="3"/>
  <c r="A1494" i="3"/>
  <c r="B1493" i="3"/>
  <c r="A1493" i="3"/>
  <c r="B1492" i="3"/>
  <c r="A1492" i="3"/>
  <c r="B1491" i="3"/>
  <c r="A1491" i="3"/>
  <c r="B1490" i="3"/>
  <c r="A1490" i="3"/>
  <c r="B1489" i="3"/>
  <c r="A1489" i="3"/>
  <c r="B1488" i="3"/>
  <c r="A1488" i="3"/>
  <c r="B1487" i="3"/>
  <c r="A1487" i="3"/>
  <c r="B1486" i="3"/>
  <c r="A1486" i="3"/>
  <c r="B1485" i="3"/>
  <c r="A1485" i="3"/>
  <c r="B1484" i="3"/>
  <c r="A1484" i="3"/>
  <c r="B1483" i="3"/>
  <c r="A1483" i="3"/>
  <c r="B1482" i="3"/>
  <c r="A1482" i="3"/>
  <c r="B1481" i="3"/>
  <c r="A1481" i="3"/>
  <c r="B1480" i="3"/>
  <c r="A1480" i="3"/>
  <c r="B1479" i="3"/>
  <c r="A1479" i="3"/>
  <c r="B1478" i="3"/>
  <c r="A1478" i="3"/>
  <c r="B1477" i="3"/>
  <c r="A1477" i="3"/>
  <c r="B1476" i="3"/>
  <c r="A1476" i="3"/>
  <c r="B1475" i="3"/>
  <c r="A1475" i="3"/>
  <c r="B1474" i="3"/>
  <c r="A1474" i="3"/>
  <c r="B1473" i="3"/>
  <c r="A1473" i="3"/>
  <c r="B1472" i="3"/>
  <c r="A1472" i="3"/>
  <c r="B1471" i="3"/>
  <c r="A1471" i="3"/>
  <c r="B1470" i="3"/>
  <c r="A1470" i="3"/>
  <c r="B1469" i="3"/>
  <c r="A1469" i="3"/>
  <c r="B1468" i="3"/>
  <c r="A1468" i="3"/>
  <c r="B1467" i="3"/>
  <c r="A1467" i="3"/>
  <c r="B1466" i="3"/>
  <c r="A1466" i="3"/>
  <c r="B1465" i="3"/>
  <c r="A1465" i="3"/>
  <c r="B1464" i="3"/>
  <c r="A1464" i="3"/>
  <c r="B1463" i="3"/>
  <c r="A1463" i="3"/>
  <c r="B1462" i="3"/>
  <c r="A1462" i="3"/>
  <c r="B1461" i="3"/>
  <c r="A1461" i="3"/>
  <c r="B1460" i="3"/>
  <c r="A1460" i="3"/>
  <c r="B1459" i="3"/>
  <c r="A1459" i="3"/>
  <c r="B1458" i="3"/>
  <c r="A1458" i="3"/>
  <c r="B1457" i="3"/>
  <c r="A1457" i="3"/>
  <c r="B1456" i="3"/>
  <c r="A1456" i="3"/>
  <c r="B1455" i="3"/>
  <c r="A1455" i="3"/>
  <c r="B1454" i="3"/>
  <c r="A1454" i="3"/>
  <c r="B1453" i="3"/>
  <c r="A1453" i="3"/>
  <c r="B1452" i="3"/>
  <c r="A1452" i="3"/>
  <c r="B1451" i="3"/>
  <c r="A1451" i="3"/>
  <c r="B1450" i="3"/>
  <c r="A1450" i="3"/>
  <c r="B1449" i="3"/>
  <c r="A1449" i="3"/>
  <c r="B1448" i="3"/>
  <c r="A1448" i="3"/>
  <c r="B1447" i="3"/>
  <c r="A1447" i="3"/>
  <c r="B1446" i="3"/>
  <c r="A1446" i="3"/>
  <c r="B1445" i="3"/>
  <c r="A1445" i="3"/>
  <c r="B1444" i="3"/>
  <c r="A1444" i="3"/>
  <c r="B1443" i="3"/>
  <c r="A1443" i="3"/>
  <c r="B1442" i="3"/>
  <c r="A1442" i="3"/>
  <c r="B1441" i="3"/>
  <c r="A1441" i="3"/>
  <c r="B1440" i="3"/>
  <c r="A1440" i="3"/>
  <c r="B1439" i="3"/>
  <c r="A1439" i="3"/>
  <c r="B1438" i="3"/>
  <c r="A1438" i="3"/>
  <c r="B1437" i="3"/>
  <c r="A1437" i="3"/>
  <c r="B1436" i="3"/>
  <c r="A1436" i="3"/>
  <c r="B1435" i="3"/>
  <c r="A1435" i="3"/>
  <c r="B1434" i="3"/>
  <c r="A1434" i="3"/>
  <c r="B1433" i="3"/>
  <c r="A1433" i="3"/>
  <c r="B1432" i="3"/>
  <c r="A1432" i="3"/>
  <c r="B1431" i="3"/>
  <c r="A1431" i="3"/>
  <c r="B1430" i="3"/>
  <c r="A1430" i="3"/>
  <c r="B1429" i="3"/>
  <c r="A1429" i="3"/>
  <c r="B1428" i="3"/>
  <c r="A1428" i="3"/>
  <c r="B1427" i="3"/>
  <c r="A1427" i="3"/>
  <c r="B1426" i="3"/>
  <c r="A1426" i="3"/>
  <c r="B1425" i="3"/>
  <c r="A1425" i="3"/>
  <c r="B1424" i="3"/>
  <c r="A1424" i="3"/>
  <c r="B1423" i="3"/>
  <c r="A1423" i="3"/>
  <c r="B1422" i="3"/>
  <c r="A1422" i="3"/>
  <c r="B1421" i="3"/>
  <c r="A1421" i="3"/>
  <c r="B1420" i="3"/>
  <c r="A1420" i="3"/>
  <c r="B1419" i="3"/>
  <c r="A1419" i="3"/>
  <c r="B1418" i="3"/>
  <c r="A1418" i="3"/>
  <c r="B1417" i="3"/>
  <c r="A1417" i="3"/>
  <c r="B1416" i="3"/>
  <c r="A1416" i="3"/>
  <c r="B1415" i="3"/>
  <c r="A1415" i="3"/>
  <c r="B1414" i="3"/>
  <c r="A1414" i="3"/>
  <c r="B1413" i="3"/>
  <c r="A1413" i="3"/>
  <c r="B1412" i="3"/>
  <c r="A1412" i="3"/>
  <c r="B1411" i="3"/>
  <c r="A1411" i="3"/>
  <c r="B1410" i="3"/>
  <c r="A1410" i="3"/>
  <c r="B1409" i="3"/>
  <c r="A1409" i="3"/>
  <c r="B1408" i="3"/>
  <c r="A1408" i="3"/>
  <c r="B1407" i="3"/>
  <c r="A1407" i="3"/>
  <c r="B1406" i="3"/>
  <c r="A1406" i="3"/>
  <c r="B1405" i="3"/>
  <c r="A1405" i="3"/>
  <c r="B1404" i="3"/>
  <c r="A1404" i="3"/>
  <c r="B1403" i="3"/>
  <c r="A1403" i="3"/>
  <c r="B1402" i="3"/>
  <c r="A1402" i="3"/>
  <c r="B1401" i="3"/>
  <c r="A1401" i="3"/>
  <c r="B1400" i="3"/>
  <c r="A1400" i="3"/>
  <c r="B1399" i="3"/>
  <c r="A1399" i="3"/>
  <c r="B1398" i="3"/>
  <c r="A1398" i="3"/>
  <c r="B1397" i="3"/>
  <c r="A1397" i="3"/>
  <c r="B1396" i="3"/>
  <c r="A1396" i="3"/>
  <c r="B1395" i="3"/>
  <c r="A1395" i="3"/>
  <c r="B1394" i="3"/>
  <c r="A1394" i="3"/>
  <c r="B1393" i="3"/>
  <c r="A1393" i="3"/>
  <c r="B1392" i="3"/>
  <c r="A1392" i="3"/>
  <c r="B1391" i="3"/>
  <c r="A1391" i="3"/>
  <c r="B1390" i="3"/>
  <c r="A1390" i="3"/>
  <c r="B1389" i="3"/>
  <c r="A1389" i="3"/>
  <c r="B1388" i="3"/>
  <c r="A1388" i="3"/>
  <c r="B1387" i="3"/>
  <c r="A1387" i="3"/>
  <c r="B1386" i="3"/>
  <c r="A1386" i="3"/>
  <c r="B1385" i="3"/>
  <c r="A1385" i="3"/>
  <c r="B1384" i="3"/>
  <c r="A1384" i="3"/>
  <c r="B1383" i="3"/>
  <c r="A1383" i="3"/>
  <c r="B1382" i="3"/>
  <c r="A1382" i="3"/>
  <c r="B1381" i="3"/>
  <c r="A1381" i="3"/>
  <c r="B1380" i="3"/>
  <c r="A1380" i="3"/>
  <c r="B1379" i="3"/>
  <c r="A1379" i="3"/>
  <c r="B1378" i="3"/>
  <c r="A1378" i="3"/>
  <c r="B1377" i="3"/>
  <c r="A1377" i="3"/>
  <c r="B1376" i="3"/>
  <c r="A1376" i="3"/>
  <c r="B1375" i="3"/>
  <c r="A1375" i="3"/>
  <c r="B1374" i="3"/>
  <c r="A1374" i="3"/>
  <c r="B1373" i="3"/>
  <c r="A1373" i="3"/>
  <c r="B1372" i="3"/>
  <c r="A1372" i="3"/>
  <c r="B1371" i="3"/>
  <c r="A1371" i="3"/>
  <c r="B1370" i="3"/>
  <c r="A1370" i="3"/>
  <c r="B1369" i="3"/>
  <c r="A1369" i="3"/>
  <c r="B1368" i="3"/>
  <c r="A1368" i="3"/>
  <c r="B1367" i="3"/>
  <c r="A1367" i="3"/>
  <c r="B1366" i="3"/>
  <c r="A1366" i="3"/>
  <c r="B1365" i="3"/>
  <c r="A1365" i="3"/>
  <c r="B1364" i="3"/>
  <c r="A1364" i="3"/>
  <c r="B1363" i="3"/>
  <c r="A1363" i="3"/>
  <c r="B1362" i="3"/>
  <c r="A1362" i="3"/>
  <c r="B1361" i="3"/>
  <c r="A1361" i="3"/>
  <c r="B1360" i="3"/>
  <c r="A1360" i="3"/>
  <c r="B1359" i="3"/>
  <c r="A1359" i="3"/>
  <c r="B1358" i="3"/>
  <c r="A1358" i="3"/>
  <c r="B1357" i="3"/>
  <c r="A1357" i="3"/>
  <c r="B1356" i="3"/>
  <c r="A1356" i="3"/>
  <c r="B1355" i="3"/>
  <c r="A1355" i="3"/>
  <c r="B1354" i="3"/>
  <c r="A1354" i="3"/>
  <c r="B1353" i="3"/>
  <c r="A1353" i="3"/>
  <c r="B1352" i="3"/>
  <c r="A1352" i="3"/>
  <c r="B1351" i="3"/>
  <c r="A1351" i="3"/>
  <c r="B1350" i="3"/>
  <c r="A1350" i="3"/>
  <c r="B1349" i="3"/>
  <c r="A1349" i="3"/>
  <c r="B1348" i="3"/>
  <c r="A1348" i="3"/>
  <c r="B1347" i="3"/>
  <c r="A1347" i="3"/>
  <c r="B1346" i="3"/>
  <c r="A1346" i="3"/>
  <c r="B1345" i="3"/>
  <c r="A1345" i="3"/>
  <c r="B1344" i="3"/>
  <c r="A1344" i="3"/>
  <c r="B1343" i="3"/>
  <c r="A1343" i="3"/>
  <c r="B1342" i="3"/>
  <c r="A1342" i="3"/>
  <c r="B1341" i="3"/>
  <c r="A1341" i="3"/>
  <c r="B1340" i="3"/>
  <c r="A1340" i="3"/>
  <c r="B1339" i="3"/>
  <c r="A1339" i="3"/>
  <c r="B1338" i="3"/>
  <c r="A1338" i="3"/>
  <c r="B1337" i="3"/>
  <c r="A1337" i="3"/>
  <c r="B1336" i="3"/>
  <c r="A1336" i="3"/>
  <c r="B1335" i="3"/>
  <c r="A1335" i="3"/>
  <c r="B1334" i="3"/>
  <c r="A1334" i="3"/>
  <c r="B1333" i="3"/>
  <c r="A1333" i="3"/>
  <c r="B1332" i="3"/>
  <c r="A1332" i="3"/>
  <c r="B1331" i="3"/>
  <c r="A1331" i="3"/>
  <c r="B1330" i="3"/>
  <c r="A1330" i="3"/>
  <c r="B1329" i="3"/>
  <c r="A1329" i="3"/>
  <c r="B1328" i="3"/>
  <c r="A1328" i="3"/>
  <c r="B1327" i="3"/>
  <c r="A1327" i="3"/>
  <c r="B1326" i="3"/>
  <c r="A1326" i="3"/>
  <c r="B1325" i="3"/>
  <c r="A1325" i="3"/>
  <c r="B1324" i="3"/>
  <c r="A1324" i="3"/>
  <c r="B1323" i="3"/>
  <c r="A1323" i="3"/>
  <c r="B1322" i="3"/>
  <c r="A1322" i="3"/>
  <c r="B1321" i="3"/>
  <c r="A1321" i="3"/>
  <c r="B1320" i="3"/>
  <c r="A1320" i="3"/>
  <c r="B1319" i="3"/>
  <c r="A1319" i="3"/>
  <c r="B1318" i="3"/>
  <c r="A1318" i="3"/>
  <c r="B1317" i="3"/>
  <c r="A1317" i="3"/>
  <c r="B1316" i="3"/>
  <c r="A1316" i="3"/>
  <c r="B1315" i="3"/>
  <c r="A1315" i="3"/>
  <c r="B1314" i="3"/>
  <c r="A1314" i="3"/>
  <c r="B1313" i="3"/>
  <c r="A1313" i="3"/>
  <c r="B1312" i="3"/>
  <c r="A1312" i="3"/>
  <c r="B1311" i="3"/>
  <c r="A1311" i="3"/>
  <c r="B1310" i="3"/>
  <c r="A1310" i="3"/>
  <c r="B1309" i="3"/>
  <c r="A1309" i="3"/>
  <c r="B1308" i="3"/>
  <c r="A1308" i="3"/>
  <c r="B1307" i="3"/>
  <c r="A1307" i="3"/>
  <c r="B1306" i="3"/>
  <c r="A1306" i="3"/>
  <c r="B1305" i="3"/>
  <c r="A1305" i="3"/>
  <c r="B1304" i="3"/>
  <c r="A1304" i="3"/>
  <c r="B1303" i="3"/>
  <c r="A1303" i="3"/>
  <c r="B1302" i="3"/>
  <c r="A1302" i="3"/>
  <c r="B1301" i="3"/>
  <c r="A1301" i="3"/>
  <c r="B1300" i="3"/>
  <c r="A1300" i="3"/>
  <c r="B1299" i="3"/>
  <c r="A1299" i="3"/>
  <c r="B1298" i="3"/>
  <c r="A1298" i="3"/>
  <c r="B1297" i="3"/>
  <c r="A1297" i="3"/>
  <c r="B1296" i="3"/>
  <c r="A1296" i="3"/>
  <c r="B1295" i="3"/>
  <c r="A1295" i="3"/>
  <c r="B1294" i="3"/>
  <c r="A1294" i="3"/>
  <c r="B1293" i="3"/>
  <c r="A1293" i="3"/>
  <c r="B1292" i="3"/>
  <c r="A1292" i="3"/>
  <c r="B1291" i="3"/>
  <c r="A1291" i="3"/>
  <c r="B1290" i="3"/>
  <c r="A1290" i="3"/>
  <c r="B1289" i="3"/>
  <c r="A1289" i="3"/>
  <c r="B1288" i="3"/>
  <c r="A1288" i="3"/>
  <c r="B1287" i="3"/>
  <c r="A1287" i="3"/>
  <c r="B1286" i="3"/>
  <c r="A1286" i="3"/>
  <c r="B1285" i="3"/>
  <c r="A1285" i="3"/>
  <c r="B1284" i="3"/>
  <c r="A1284" i="3"/>
  <c r="B1283" i="3"/>
  <c r="A1283" i="3"/>
  <c r="B1282" i="3"/>
  <c r="A1282" i="3"/>
  <c r="B1281" i="3"/>
  <c r="A1281" i="3"/>
  <c r="B1280" i="3"/>
  <c r="A1280" i="3"/>
  <c r="B1279" i="3"/>
  <c r="A1279" i="3"/>
  <c r="B1278" i="3"/>
  <c r="A1278" i="3"/>
  <c r="B1277" i="3"/>
  <c r="A1277" i="3"/>
  <c r="B1276" i="3"/>
  <c r="A1276" i="3"/>
  <c r="B1275" i="3"/>
  <c r="A1275" i="3"/>
  <c r="B1274" i="3"/>
  <c r="A1274" i="3"/>
  <c r="B1273" i="3"/>
  <c r="A1273" i="3"/>
  <c r="B1272" i="3"/>
  <c r="A1272" i="3"/>
  <c r="B1271" i="3"/>
  <c r="A1271" i="3"/>
  <c r="B1270" i="3"/>
  <c r="A1270" i="3"/>
  <c r="B1269" i="3"/>
  <c r="A1269" i="3"/>
  <c r="B1268" i="3"/>
  <c r="A1268" i="3"/>
  <c r="B1267" i="3"/>
  <c r="A1267" i="3"/>
  <c r="B1266" i="3"/>
  <c r="A1266" i="3"/>
  <c r="B1265" i="3"/>
  <c r="A1265" i="3"/>
  <c r="B1264" i="3"/>
  <c r="A1264" i="3"/>
  <c r="B1263" i="3"/>
  <c r="A1263" i="3"/>
  <c r="B1262" i="3"/>
  <c r="A1262" i="3"/>
  <c r="B1261" i="3"/>
  <c r="A1261" i="3"/>
  <c r="B1260" i="3"/>
  <c r="A1260" i="3"/>
  <c r="B1259" i="3"/>
  <c r="A1259" i="3"/>
  <c r="B1258" i="3"/>
  <c r="A1258" i="3"/>
  <c r="B1257" i="3"/>
  <c r="A1257" i="3"/>
  <c r="B1256" i="3"/>
  <c r="A1256" i="3"/>
  <c r="B1255" i="3"/>
  <c r="A1255" i="3"/>
  <c r="B1254" i="3"/>
  <c r="A1254" i="3"/>
  <c r="B1253" i="3"/>
  <c r="A1253" i="3"/>
  <c r="B1252" i="3"/>
  <c r="A1252" i="3"/>
  <c r="B1251" i="3"/>
  <c r="A1251" i="3"/>
  <c r="B1250" i="3"/>
  <c r="A1250" i="3"/>
  <c r="B1249" i="3"/>
  <c r="A1249" i="3"/>
  <c r="B1248" i="3"/>
  <c r="A1248" i="3"/>
  <c r="B1247" i="3"/>
  <c r="A1247" i="3"/>
  <c r="B1246" i="3"/>
  <c r="A1246" i="3"/>
  <c r="B1245" i="3"/>
  <c r="A1245" i="3"/>
  <c r="B1244" i="3"/>
  <c r="A1244" i="3"/>
  <c r="B1243" i="3"/>
  <c r="A1243" i="3"/>
  <c r="B1242" i="3"/>
  <c r="A1242" i="3"/>
  <c r="B1241" i="3"/>
  <c r="A1241" i="3"/>
  <c r="B1240" i="3"/>
  <c r="A1240" i="3"/>
  <c r="B1239" i="3"/>
  <c r="A1239" i="3"/>
  <c r="B1238" i="3"/>
  <c r="A1238" i="3"/>
  <c r="B1237" i="3"/>
  <c r="A1237" i="3"/>
  <c r="B1236" i="3"/>
  <c r="A1236" i="3"/>
  <c r="B1235" i="3"/>
  <c r="A1235" i="3"/>
  <c r="B1234" i="3"/>
  <c r="A1234" i="3"/>
  <c r="B1233" i="3"/>
  <c r="A1233" i="3"/>
  <c r="B1232" i="3"/>
  <c r="A1232" i="3"/>
  <c r="B1231" i="3"/>
  <c r="A1231" i="3"/>
  <c r="B1230" i="3"/>
  <c r="A1230" i="3"/>
  <c r="B1229" i="3"/>
  <c r="A1229" i="3"/>
  <c r="B1228" i="3"/>
  <c r="A1228" i="3"/>
  <c r="B1227" i="3"/>
  <c r="A1227" i="3"/>
  <c r="B1226" i="3"/>
  <c r="A1226" i="3"/>
  <c r="B1225" i="3"/>
  <c r="A1225" i="3"/>
  <c r="B1224" i="3"/>
  <c r="A1224" i="3"/>
  <c r="B1223" i="3"/>
  <c r="A1223" i="3"/>
  <c r="B1222" i="3"/>
  <c r="A1222" i="3"/>
  <c r="B1221" i="3"/>
  <c r="A1221" i="3"/>
  <c r="B1220" i="3"/>
  <c r="A1220" i="3"/>
  <c r="B1219" i="3"/>
  <c r="A1219" i="3"/>
  <c r="B1218" i="3"/>
  <c r="A1218" i="3"/>
  <c r="B1217" i="3"/>
  <c r="A1217" i="3"/>
  <c r="B1216" i="3"/>
  <c r="A1216" i="3"/>
  <c r="B1215" i="3"/>
  <c r="A1215" i="3"/>
  <c r="B1214" i="3"/>
  <c r="A1214" i="3"/>
  <c r="B1213" i="3"/>
  <c r="A1213" i="3"/>
  <c r="B1212" i="3"/>
  <c r="A1212" i="3"/>
  <c r="B1211" i="3"/>
  <c r="A1211" i="3"/>
  <c r="B1210" i="3"/>
  <c r="A1210" i="3"/>
  <c r="B1209" i="3"/>
  <c r="A1209" i="3"/>
  <c r="B1208" i="3"/>
  <c r="A1208" i="3"/>
  <c r="B1207" i="3"/>
  <c r="A1207" i="3"/>
  <c r="B1206" i="3"/>
  <c r="A1206" i="3"/>
  <c r="B1205" i="3"/>
  <c r="A1205" i="3"/>
  <c r="B1204" i="3"/>
  <c r="A1204" i="3"/>
  <c r="B1203" i="3"/>
  <c r="A1203" i="3"/>
  <c r="B1202" i="3"/>
  <c r="A1202" i="3"/>
  <c r="B1201" i="3"/>
  <c r="A1201" i="3"/>
  <c r="B1200" i="3"/>
  <c r="A1200" i="3"/>
  <c r="B1199" i="3"/>
  <c r="A1199" i="3"/>
  <c r="B1198" i="3"/>
  <c r="A1198" i="3"/>
  <c r="B1197" i="3"/>
  <c r="A1197" i="3"/>
  <c r="B1196" i="3"/>
  <c r="A1196" i="3"/>
  <c r="B1195" i="3"/>
  <c r="A1195" i="3"/>
  <c r="B1194" i="3"/>
  <c r="A1194" i="3"/>
  <c r="B1193" i="3"/>
  <c r="A1193" i="3"/>
  <c r="B1192" i="3"/>
  <c r="A1192" i="3"/>
  <c r="B1191" i="3"/>
  <c r="A1191" i="3"/>
  <c r="B1190" i="3"/>
  <c r="A1190" i="3"/>
  <c r="B1189" i="3"/>
  <c r="A1189" i="3"/>
  <c r="B1188" i="3"/>
  <c r="A1188" i="3"/>
  <c r="B1187" i="3"/>
  <c r="A1187" i="3"/>
  <c r="B1186" i="3"/>
  <c r="A1186" i="3"/>
  <c r="B1185" i="3"/>
  <c r="A1185" i="3"/>
  <c r="B1184" i="3"/>
  <c r="A1184" i="3"/>
  <c r="B1183" i="3"/>
  <c r="A1183" i="3"/>
  <c r="B1182" i="3"/>
  <c r="A1182" i="3"/>
  <c r="B1181" i="3"/>
  <c r="A1181" i="3"/>
  <c r="B1180" i="3"/>
  <c r="A1180" i="3"/>
  <c r="B1179" i="3"/>
  <c r="A1179" i="3"/>
  <c r="B1178" i="3"/>
  <c r="A1178" i="3"/>
  <c r="B1177" i="3"/>
  <c r="A1177" i="3"/>
  <c r="B1176" i="3"/>
  <c r="A1176" i="3"/>
  <c r="B1175" i="3"/>
  <c r="A1175" i="3"/>
  <c r="B1174" i="3"/>
  <c r="A1174" i="3"/>
  <c r="B1173" i="3"/>
  <c r="A1173" i="3"/>
  <c r="B1172" i="3"/>
  <c r="A1172" i="3"/>
  <c r="B1171" i="3"/>
  <c r="A1171" i="3"/>
  <c r="B1170" i="3"/>
  <c r="A1170" i="3"/>
  <c r="B1169" i="3"/>
  <c r="A1169" i="3"/>
  <c r="B1168" i="3"/>
  <c r="A1168" i="3"/>
  <c r="B1167" i="3"/>
  <c r="A1167" i="3"/>
  <c r="B1166" i="3"/>
  <c r="A1166" i="3"/>
  <c r="B1165" i="3"/>
  <c r="A1165" i="3"/>
  <c r="B1164" i="3"/>
  <c r="A1164" i="3"/>
  <c r="B1163" i="3"/>
  <c r="A1163" i="3"/>
  <c r="B1162" i="3"/>
  <c r="A1162" i="3"/>
  <c r="B1161" i="3"/>
  <c r="A1161" i="3"/>
  <c r="B1160" i="3"/>
  <c r="A1160" i="3"/>
  <c r="B1159" i="3"/>
  <c r="A1159" i="3"/>
  <c r="B1158" i="3"/>
  <c r="A1158" i="3"/>
  <c r="B1157" i="3"/>
  <c r="A1157" i="3"/>
  <c r="B1156" i="3"/>
  <c r="A1156" i="3"/>
  <c r="B1155" i="3"/>
  <c r="A1155" i="3"/>
  <c r="B1154" i="3"/>
  <c r="A1154" i="3"/>
  <c r="B1153" i="3"/>
  <c r="A1153" i="3"/>
  <c r="B1152" i="3"/>
  <c r="A1152" i="3"/>
  <c r="B1151" i="3"/>
  <c r="A1151" i="3"/>
  <c r="B1150" i="3"/>
  <c r="A1150" i="3"/>
  <c r="B1149" i="3"/>
  <c r="A1149" i="3"/>
  <c r="B1148" i="3"/>
  <c r="A1148" i="3"/>
  <c r="B1147" i="3"/>
  <c r="A1147" i="3"/>
  <c r="B1146" i="3"/>
  <c r="A1146" i="3"/>
  <c r="B1145" i="3"/>
  <c r="A1145" i="3"/>
  <c r="B1144" i="3"/>
  <c r="A1144" i="3"/>
  <c r="B1143" i="3"/>
  <c r="A1143" i="3"/>
  <c r="B1142" i="3"/>
  <c r="A1142" i="3"/>
  <c r="B1141" i="3"/>
  <c r="A1141" i="3"/>
  <c r="B1140" i="3"/>
  <c r="A1140" i="3"/>
  <c r="B1139" i="3"/>
  <c r="A1139" i="3"/>
  <c r="B1138" i="3"/>
  <c r="A1138" i="3"/>
  <c r="B1137" i="3"/>
  <c r="A1137" i="3"/>
  <c r="B1136" i="3"/>
  <c r="A1136" i="3"/>
  <c r="B1135" i="3"/>
  <c r="A1135" i="3"/>
  <c r="B1134" i="3"/>
  <c r="A1134" i="3"/>
  <c r="B1133" i="3"/>
  <c r="A1133" i="3"/>
  <c r="B1132" i="3"/>
  <c r="A1132" i="3"/>
  <c r="B1131" i="3"/>
  <c r="A1131" i="3"/>
  <c r="B1130" i="3"/>
  <c r="A1130" i="3"/>
  <c r="B1129" i="3"/>
  <c r="A1129" i="3"/>
  <c r="B1128" i="3"/>
  <c r="A1128" i="3"/>
  <c r="B1127" i="3"/>
  <c r="A1127" i="3"/>
  <c r="B1126" i="3"/>
  <c r="A1126" i="3"/>
  <c r="B1125" i="3"/>
  <c r="A1125" i="3"/>
  <c r="B1124" i="3"/>
  <c r="A1124" i="3"/>
  <c r="B1123" i="3"/>
  <c r="A1123" i="3"/>
  <c r="B1122" i="3"/>
  <c r="A1122" i="3"/>
  <c r="B1121" i="3"/>
  <c r="A1121" i="3"/>
  <c r="B1120" i="3"/>
  <c r="A1120" i="3"/>
  <c r="B1119" i="3"/>
  <c r="A1119" i="3"/>
  <c r="B1118" i="3"/>
  <c r="A1118" i="3"/>
  <c r="B1117" i="3"/>
  <c r="A1117" i="3"/>
  <c r="B1116" i="3"/>
  <c r="A1116" i="3"/>
  <c r="B1115" i="3"/>
  <c r="A1115" i="3"/>
  <c r="B1114" i="3"/>
  <c r="A1114" i="3"/>
  <c r="B1113" i="3"/>
  <c r="A1113" i="3"/>
  <c r="B1112" i="3"/>
  <c r="A1112" i="3"/>
  <c r="B1111" i="3"/>
  <c r="A1111" i="3"/>
  <c r="B1110" i="3"/>
  <c r="A1110" i="3"/>
  <c r="B1109" i="3"/>
  <c r="A1109" i="3"/>
  <c r="B1108" i="3"/>
  <c r="A1108" i="3"/>
  <c r="B1107" i="3"/>
  <c r="A1107" i="3"/>
  <c r="B1106" i="3"/>
  <c r="A1106" i="3"/>
  <c r="B1105" i="3"/>
  <c r="A1105" i="3"/>
  <c r="B1104" i="3"/>
  <c r="A1104" i="3"/>
  <c r="B1103" i="3"/>
  <c r="A1103" i="3"/>
  <c r="B1102" i="3"/>
  <c r="A1102" i="3"/>
  <c r="B1101" i="3"/>
  <c r="A1101" i="3"/>
  <c r="B1100" i="3"/>
  <c r="A1100" i="3"/>
  <c r="B1099" i="3"/>
  <c r="A1099" i="3"/>
  <c r="B1098" i="3"/>
  <c r="A1098" i="3"/>
  <c r="B1097" i="3"/>
  <c r="A1097" i="3"/>
  <c r="B1096" i="3"/>
  <c r="A1096" i="3"/>
  <c r="B1095" i="3"/>
  <c r="A1095" i="3"/>
  <c r="B1094" i="3"/>
  <c r="A1094" i="3"/>
  <c r="B1093" i="3"/>
  <c r="A1093" i="3"/>
  <c r="B1092" i="3"/>
  <c r="A1092" i="3"/>
  <c r="B1091" i="3"/>
  <c r="A1091" i="3"/>
  <c r="B1090" i="3"/>
  <c r="A1090" i="3"/>
  <c r="B1089" i="3"/>
  <c r="A1089" i="3"/>
  <c r="B1088" i="3"/>
  <c r="A1088" i="3"/>
  <c r="B1087" i="3"/>
  <c r="A1087" i="3"/>
  <c r="B1086" i="3"/>
  <c r="A1086" i="3"/>
  <c r="B1085" i="3"/>
  <c r="A1085" i="3"/>
  <c r="B1084" i="3"/>
  <c r="A1084" i="3"/>
  <c r="B1083" i="3"/>
  <c r="A1083" i="3"/>
  <c r="B1082" i="3"/>
  <c r="A1082" i="3"/>
  <c r="B1081" i="3"/>
  <c r="A1081" i="3"/>
  <c r="B1080" i="3"/>
  <c r="A1080" i="3"/>
  <c r="B1079" i="3"/>
  <c r="A1079" i="3"/>
  <c r="B1078" i="3"/>
  <c r="A1078" i="3"/>
  <c r="B1077" i="3"/>
  <c r="A1077" i="3"/>
  <c r="B1076" i="3"/>
  <c r="A1076" i="3"/>
  <c r="B1075" i="3"/>
  <c r="A1075" i="3"/>
  <c r="B1074" i="3"/>
  <c r="A1074" i="3"/>
  <c r="B1073" i="3"/>
  <c r="A1073" i="3"/>
  <c r="B1072" i="3"/>
  <c r="A1072" i="3"/>
  <c r="B1071" i="3"/>
  <c r="A1071" i="3"/>
  <c r="B1070" i="3"/>
  <c r="A1070" i="3"/>
  <c r="B1069" i="3"/>
  <c r="A1069" i="3"/>
  <c r="B1068" i="3"/>
  <c r="A1068" i="3"/>
  <c r="B1067" i="3"/>
  <c r="A1067" i="3"/>
  <c r="B1066" i="3"/>
  <c r="A1066" i="3"/>
  <c r="B1065" i="3"/>
  <c r="A1065" i="3"/>
  <c r="B1064" i="3"/>
  <c r="A1064" i="3"/>
  <c r="B1063" i="3"/>
  <c r="A1063" i="3"/>
  <c r="B1062" i="3"/>
  <c r="A1062" i="3"/>
  <c r="B1061" i="3"/>
  <c r="A1061" i="3"/>
  <c r="B1060" i="3"/>
  <c r="A1060" i="3"/>
  <c r="B1059" i="3"/>
  <c r="A1059" i="3"/>
  <c r="B1058" i="3"/>
  <c r="A1058" i="3"/>
  <c r="B1057" i="3"/>
  <c r="A1057" i="3"/>
  <c r="B1056" i="3"/>
  <c r="A1056" i="3"/>
  <c r="B1055" i="3"/>
  <c r="A1055" i="3"/>
  <c r="B1054" i="3"/>
  <c r="A1054" i="3"/>
  <c r="B1053" i="3"/>
  <c r="A1053" i="3"/>
  <c r="B1052" i="3"/>
  <c r="A1052" i="3"/>
  <c r="B1051" i="3"/>
  <c r="A1051" i="3"/>
  <c r="B1050" i="3"/>
  <c r="A1050" i="3"/>
  <c r="B1049" i="3"/>
  <c r="A1049" i="3"/>
  <c r="B1048" i="3"/>
  <c r="A1048" i="3"/>
  <c r="B1047" i="3"/>
  <c r="A1047" i="3"/>
  <c r="B1046" i="3"/>
  <c r="A1046" i="3"/>
  <c r="B1045" i="3"/>
  <c r="A1045" i="3"/>
  <c r="B1044" i="3"/>
  <c r="A1044" i="3"/>
  <c r="B1043" i="3"/>
  <c r="A1043" i="3"/>
  <c r="B1042" i="3"/>
  <c r="A1042" i="3"/>
  <c r="B1041" i="3"/>
  <c r="A1041" i="3"/>
  <c r="B1040" i="3"/>
  <c r="A1040" i="3"/>
  <c r="B1039" i="3"/>
  <c r="A1039" i="3"/>
  <c r="B1038" i="3"/>
  <c r="A1038" i="3"/>
  <c r="B1037" i="3"/>
  <c r="A1037" i="3"/>
  <c r="B1036" i="3"/>
  <c r="A1036" i="3"/>
  <c r="B1035" i="3"/>
  <c r="A1035" i="3"/>
  <c r="B1034" i="3"/>
  <c r="A1034" i="3"/>
  <c r="B1033" i="3"/>
  <c r="A1033" i="3"/>
  <c r="B1032" i="3"/>
  <c r="A1032" i="3"/>
  <c r="B1031" i="3"/>
  <c r="A1031" i="3"/>
  <c r="B1030" i="3"/>
  <c r="A1030" i="3"/>
  <c r="B1029" i="3"/>
  <c r="A1029" i="3"/>
  <c r="B1028" i="3"/>
  <c r="A1028" i="3"/>
  <c r="B1027" i="3"/>
  <c r="A1027" i="3"/>
  <c r="B1026" i="3"/>
  <c r="A1026" i="3"/>
  <c r="B1025" i="3"/>
  <c r="A1025" i="3"/>
  <c r="B1024" i="3"/>
  <c r="A1024" i="3"/>
  <c r="B1023" i="3"/>
  <c r="A1023" i="3"/>
  <c r="B1022" i="3"/>
  <c r="A1022" i="3"/>
  <c r="B1021" i="3"/>
  <c r="A1021" i="3"/>
  <c r="B1020" i="3"/>
  <c r="A1020" i="3"/>
  <c r="B1019" i="3"/>
  <c r="A1019" i="3"/>
  <c r="B1018" i="3"/>
  <c r="A1018" i="3"/>
  <c r="B1017" i="3"/>
  <c r="A1017" i="3"/>
  <c r="B1016" i="3"/>
  <c r="A1016" i="3"/>
  <c r="B1015" i="3"/>
  <c r="A1015" i="3"/>
  <c r="B1014" i="3"/>
  <c r="A1014" i="3"/>
  <c r="B1013" i="3"/>
  <c r="A1013" i="3"/>
  <c r="B1012" i="3"/>
  <c r="A1012" i="3"/>
  <c r="B1011" i="3"/>
  <c r="A1011" i="3"/>
  <c r="B1010" i="3"/>
  <c r="A1010" i="3"/>
  <c r="B1009" i="3"/>
  <c r="A1009" i="3"/>
  <c r="B1008" i="3"/>
  <c r="A1008" i="3"/>
  <c r="B1007" i="3"/>
  <c r="A1007" i="3"/>
  <c r="B1006" i="3"/>
  <c r="A1006" i="3"/>
  <c r="B1005" i="3"/>
  <c r="A1005" i="3"/>
  <c r="B1004" i="3"/>
  <c r="A1004" i="3"/>
  <c r="B1003" i="3"/>
  <c r="A1003" i="3"/>
  <c r="B1002" i="3"/>
  <c r="A1002" i="3"/>
  <c r="B1001" i="3"/>
  <c r="A1001" i="3"/>
  <c r="B1000" i="3"/>
  <c r="A1000" i="3"/>
  <c r="B999" i="3"/>
  <c r="A999" i="3"/>
  <c r="B998" i="3"/>
  <c r="A998" i="3"/>
  <c r="B997" i="3"/>
  <c r="A997" i="3"/>
  <c r="B996" i="3"/>
  <c r="A996" i="3"/>
  <c r="B995" i="3"/>
  <c r="A995" i="3"/>
  <c r="B994" i="3"/>
  <c r="A994" i="3"/>
  <c r="B993" i="3"/>
  <c r="A993" i="3"/>
  <c r="B992" i="3"/>
  <c r="A992" i="3"/>
  <c r="B991" i="3"/>
  <c r="A991" i="3"/>
  <c r="B990" i="3"/>
  <c r="A990" i="3"/>
  <c r="B989" i="3"/>
  <c r="A989" i="3"/>
  <c r="B988" i="3"/>
  <c r="A988" i="3"/>
  <c r="B987" i="3"/>
  <c r="A987" i="3"/>
  <c r="B986" i="3"/>
  <c r="A986" i="3"/>
  <c r="B985" i="3"/>
  <c r="A985" i="3"/>
  <c r="B984" i="3"/>
  <c r="A984" i="3"/>
  <c r="B983" i="3"/>
  <c r="A983" i="3"/>
  <c r="B982" i="3"/>
  <c r="A982" i="3"/>
  <c r="B981" i="3"/>
  <c r="A981" i="3"/>
  <c r="B980" i="3"/>
  <c r="A980" i="3"/>
  <c r="B979" i="3"/>
  <c r="A979" i="3"/>
  <c r="B978" i="3"/>
  <c r="A978" i="3"/>
  <c r="B977" i="3"/>
  <c r="A977" i="3"/>
  <c r="B976" i="3"/>
  <c r="A976" i="3"/>
  <c r="B975" i="3"/>
  <c r="A975" i="3"/>
  <c r="B974" i="3"/>
  <c r="A974" i="3"/>
  <c r="B973" i="3"/>
  <c r="A973" i="3"/>
  <c r="B972" i="3"/>
  <c r="A972" i="3"/>
  <c r="B971" i="3"/>
  <c r="A971" i="3"/>
  <c r="B970" i="3"/>
  <c r="A970" i="3"/>
  <c r="B969" i="3"/>
  <c r="A969" i="3"/>
  <c r="B968" i="3"/>
  <c r="A968" i="3"/>
  <c r="B967" i="3"/>
  <c r="A967" i="3"/>
  <c r="B966" i="3"/>
  <c r="A966" i="3"/>
  <c r="B965" i="3"/>
  <c r="A965" i="3"/>
  <c r="B964" i="3"/>
  <c r="A964" i="3"/>
  <c r="B963" i="3"/>
  <c r="A963" i="3"/>
  <c r="B962" i="3"/>
  <c r="A962" i="3"/>
  <c r="B961" i="3"/>
  <c r="A961" i="3"/>
  <c r="B960" i="3"/>
  <c r="A960" i="3"/>
  <c r="B959" i="3"/>
  <c r="A959" i="3"/>
  <c r="B958" i="3"/>
  <c r="A958" i="3"/>
  <c r="B957" i="3"/>
  <c r="A957" i="3"/>
  <c r="B956" i="3"/>
  <c r="A956" i="3"/>
  <c r="B955" i="3"/>
  <c r="A955" i="3"/>
  <c r="B954" i="3"/>
  <c r="A954" i="3"/>
  <c r="B953" i="3"/>
  <c r="A953" i="3"/>
  <c r="B952" i="3"/>
  <c r="A952" i="3"/>
  <c r="B951" i="3"/>
  <c r="A951" i="3"/>
  <c r="B950" i="3"/>
  <c r="A950" i="3"/>
  <c r="B949" i="3"/>
  <c r="A949" i="3"/>
  <c r="B948" i="3"/>
  <c r="A948" i="3"/>
  <c r="B947" i="3"/>
  <c r="A947" i="3"/>
  <c r="B946" i="3"/>
  <c r="A946" i="3"/>
  <c r="B945" i="3"/>
  <c r="A945" i="3"/>
  <c r="B944" i="3"/>
  <c r="A944" i="3"/>
  <c r="B943" i="3"/>
  <c r="A943" i="3"/>
  <c r="B942" i="3"/>
  <c r="A942" i="3"/>
  <c r="B941" i="3"/>
  <c r="A941" i="3"/>
  <c r="B940" i="3"/>
  <c r="A940" i="3"/>
  <c r="B939" i="3"/>
  <c r="A939" i="3"/>
  <c r="B938" i="3"/>
  <c r="A938" i="3"/>
  <c r="B937" i="3"/>
  <c r="A937" i="3"/>
  <c r="B936" i="3"/>
  <c r="A936" i="3"/>
  <c r="B935" i="3"/>
  <c r="A935" i="3"/>
  <c r="B934" i="3"/>
  <c r="A934" i="3"/>
  <c r="B933" i="3"/>
  <c r="A933" i="3"/>
  <c r="B932" i="3"/>
  <c r="A932" i="3"/>
  <c r="B931" i="3"/>
  <c r="A931" i="3"/>
  <c r="B930" i="3"/>
  <c r="A930" i="3"/>
  <c r="B929" i="3"/>
  <c r="A929" i="3"/>
  <c r="B928" i="3"/>
  <c r="A928" i="3"/>
  <c r="B927" i="3"/>
  <c r="A927" i="3"/>
  <c r="B926" i="3"/>
  <c r="A926" i="3"/>
  <c r="B925" i="3"/>
  <c r="A925" i="3"/>
  <c r="B924" i="3"/>
  <c r="A924" i="3"/>
  <c r="B923" i="3"/>
  <c r="A923" i="3"/>
  <c r="B922" i="3"/>
  <c r="A922" i="3"/>
  <c r="B921" i="3"/>
  <c r="A921" i="3"/>
  <c r="B920" i="3"/>
  <c r="A920" i="3"/>
  <c r="B919" i="3"/>
  <c r="A919" i="3"/>
  <c r="B918" i="3"/>
  <c r="A918" i="3"/>
  <c r="B917" i="3"/>
  <c r="A917" i="3"/>
  <c r="B916" i="3"/>
  <c r="A916" i="3"/>
  <c r="B915" i="3"/>
  <c r="A915" i="3"/>
  <c r="B914" i="3"/>
  <c r="A914" i="3"/>
  <c r="B913" i="3"/>
  <c r="A913" i="3"/>
  <c r="B912" i="3"/>
  <c r="A912" i="3"/>
  <c r="B911" i="3"/>
  <c r="A911" i="3"/>
  <c r="B910" i="3"/>
  <c r="A910" i="3"/>
  <c r="B909" i="3"/>
  <c r="A909" i="3"/>
  <c r="B908" i="3"/>
  <c r="A908" i="3"/>
  <c r="B907" i="3"/>
  <c r="A907" i="3"/>
  <c r="B906" i="3"/>
  <c r="A906" i="3"/>
  <c r="B905" i="3"/>
  <c r="A905" i="3"/>
  <c r="B904" i="3"/>
  <c r="A904" i="3"/>
  <c r="B903" i="3"/>
  <c r="A903" i="3"/>
  <c r="B902" i="3"/>
  <c r="A902" i="3"/>
  <c r="B901" i="3"/>
  <c r="A901" i="3"/>
  <c r="B900" i="3"/>
  <c r="A900" i="3"/>
  <c r="B899" i="3"/>
  <c r="A899" i="3"/>
  <c r="B898" i="3"/>
  <c r="A898" i="3"/>
  <c r="B897" i="3"/>
  <c r="A897" i="3"/>
  <c r="B896" i="3"/>
  <c r="A896" i="3"/>
  <c r="B895" i="3"/>
  <c r="A895" i="3"/>
  <c r="B894" i="3"/>
  <c r="A894" i="3"/>
  <c r="B893" i="3"/>
  <c r="A893" i="3"/>
  <c r="B892" i="3"/>
  <c r="A892" i="3"/>
  <c r="B891" i="3"/>
  <c r="A891" i="3"/>
  <c r="B890" i="3"/>
  <c r="A890" i="3"/>
  <c r="B889" i="3"/>
  <c r="A889" i="3"/>
  <c r="B888" i="3"/>
  <c r="A888" i="3"/>
  <c r="B887" i="3"/>
  <c r="A887" i="3"/>
  <c r="B886" i="3"/>
  <c r="A886" i="3"/>
  <c r="B885" i="3"/>
  <c r="A885" i="3"/>
  <c r="B884" i="3"/>
  <c r="A884" i="3"/>
  <c r="B883" i="3"/>
  <c r="A883" i="3"/>
  <c r="B882" i="3"/>
  <c r="A882" i="3"/>
  <c r="B881" i="3"/>
  <c r="A881" i="3"/>
  <c r="B880" i="3"/>
  <c r="A880" i="3"/>
  <c r="B879" i="3"/>
  <c r="A879" i="3"/>
  <c r="B878" i="3"/>
  <c r="A878" i="3"/>
  <c r="B877" i="3"/>
  <c r="A877" i="3"/>
  <c r="B876" i="3"/>
  <c r="A876" i="3"/>
  <c r="B875" i="3"/>
  <c r="A875" i="3"/>
  <c r="B874" i="3"/>
  <c r="A874" i="3"/>
  <c r="B873" i="3"/>
  <c r="A873" i="3"/>
  <c r="B872" i="3"/>
  <c r="A872" i="3"/>
  <c r="B871" i="3"/>
  <c r="A871" i="3"/>
  <c r="B870" i="3"/>
  <c r="A870" i="3"/>
  <c r="B869" i="3"/>
  <c r="A869" i="3"/>
  <c r="B868" i="3"/>
  <c r="A868" i="3"/>
  <c r="B867" i="3"/>
  <c r="A867" i="3"/>
  <c r="B866" i="3"/>
  <c r="A866" i="3"/>
  <c r="B865" i="3"/>
  <c r="A865" i="3"/>
  <c r="B864" i="3"/>
  <c r="A864" i="3"/>
  <c r="B863" i="3"/>
  <c r="A863" i="3"/>
  <c r="B862" i="3"/>
  <c r="A862" i="3"/>
  <c r="B861" i="3"/>
  <c r="A861" i="3"/>
  <c r="B860" i="3"/>
  <c r="A860" i="3"/>
  <c r="B859" i="3"/>
  <c r="A859" i="3"/>
  <c r="B858" i="3"/>
  <c r="A858" i="3"/>
  <c r="B857" i="3"/>
  <c r="A857" i="3"/>
  <c r="B856" i="3"/>
  <c r="A856" i="3"/>
  <c r="B855" i="3"/>
  <c r="A855" i="3"/>
  <c r="B854" i="3"/>
  <c r="A854" i="3"/>
  <c r="B853" i="3"/>
  <c r="A853" i="3"/>
  <c r="B852" i="3"/>
  <c r="A852" i="3"/>
  <c r="B851" i="3"/>
  <c r="A851" i="3"/>
  <c r="B850" i="3"/>
  <c r="A850" i="3"/>
  <c r="B849" i="3"/>
  <c r="A849" i="3"/>
  <c r="B848" i="3"/>
  <c r="A848" i="3"/>
  <c r="B847" i="3"/>
  <c r="A847" i="3"/>
  <c r="B846" i="3"/>
  <c r="A846" i="3"/>
  <c r="B845" i="3"/>
  <c r="A845" i="3"/>
  <c r="B844" i="3"/>
  <c r="A844" i="3"/>
  <c r="B843" i="3"/>
  <c r="A843" i="3"/>
  <c r="B842" i="3"/>
  <c r="A842" i="3"/>
  <c r="B841" i="3"/>
  <c r="A841" i="3"/>
  <c r="B840" i="3"/>
  <c r="A840" i="3"/>
  <c r="B839" i="3"/>
  <c r="A839" i="3"/>
  <c r="B838" i="3"/>
  <c r="A838" i="3"/>
  <c r="B837" i="3"/>
  <c r="A837" i="3"/>
  <c r="B836" i="3"/>
  <c r="A836" i="3"/>
  <c r="B835" i="3"/>
  <c r="A835" i="3"/>
  <c r="B834" i="3"/>
  <c r="A834" i="3"/>
  <c r="B833" i="3"/>
  <c r="A833" i="3"/>
  <c r="B832" i="3"/>
  <c r="A832" i="3"/>
  <c r="B831" i="3"/>
  <c r="A831" i="3"/>
  <c r="B830" i="3"/>
  <c r="A830" i="3"/>
  <c r="B829" i="3"/>
  <c r="A829" i="3"/>
  <c r="B828" i="3"/>
  <c r="A828" i="3"/>
  <c r="B827" i="3"/>
  <c r="A827" i="3"/>
  <c r="B826" i="3"/>
  <c r="A826" i="3"/>
  <c r="B825" i="3"/>
  <c r="A825" i="3"/>
  <c r="B824" i="3"/>
  <c r="A824" i="3"/>
  <c r="B823" i="3"/>
  <c r="A823" i="3"/>
  <c r="B822" i="3"/>
  <c r="A822" i="3"/>
  <c r="B821" i="3"/>
  <c r="A821" i="3"/>
  <c r="B820" i="3"/>
  <c r="A820" i="3"/>
  <c r="B819" i="3"/>
  <c r="A819" i="3"/>
  <c r="B818" i="3"/>
  <c r="A818" i="3"/>
  <c r="B817" i="3"/>
  <c r="A817" i="3"/>
  <c r="B816" i="3"/>
  <c r="A816" i="3"/>
  <c r="B815" i="3"/>
  <c r="A815" i="3"/>
  <c r="B814" i="3"/>
  <c r="A814" i="3"/>
  <c r="B813" i="3"/>
  <c r="A813" i="3"/>
  <c r="B812" i="3"/>
  <c r="A812" i="3"/>
  <c r="B811" i="3"/>
  <c r="A811" i="3"/>
  <c r="B810" i="3"/>
  <c r="A810" i="3"/>
  <c r="B809" i="3"/>
  <c r="A809" i="3"/>
  <c r="B808" i="3"/>
  <c r="A808" i="3"/>
  <c r="B807" i="3"/>
  <c r="A807" i="3"/>
  <c r="B806" i="3"/>
  <c r="A806" i="3"/>
  <c r="B805" i="3"/>
  <c r="A805" i="3"/>
  <c r="B804" i="3"/>
  <c r="A804" i="3"/>
  <c r="B803" i="3"/>
  <c r="A803" i="3"/>
  <c r="B802" i="3"/>
  <c r="A802" i="3"/>
  <c r="B801" i="3"/>
  <c r="A801" i="3"/>
  <c r="B800" i="3"/>
  <c r="A800" i="3"/>
  <c r="B799" i="3"/>
  <c r="A799" i="3"/>
  <c r="B798" i="3"/>
  <c r="A798" i="3"/>
  <c r="B797" i="3"/>
  <c r="A797" i="3"/>
  <c r="B796" i="3"/>
  <c r="A796" i="3"/>
  <c r="B795" i="3"/>
  <c r="A795" i="3"/>
  <c r="B794" i="3"/>
  <c r="A794" i="3"/>
  <c r="B793" i="3"/>
  <c r="A793" i="3"/>
  <c r="B792" i="3"/>
  <c r="A792" i="3"/>
  <c r="B791" i="3"/>
  <c r="A791" i="3"/>
  <c r="B790" i="3"/>
  <c r="A790" i="3"/>
  <c r="B789" i="3"/>
  <c r="A789" i="3"/>
  <c r="B788" i="3"/>
  <c r="A788" i="3"/>
  <c r="B787" i="3"/>
  <c r="A787" i="3"/>
  <c r="B786" i="3"/>
  <c r="A786" i="3"/>
  <c r="B785" i="3"/>
  <c r="A785" i="3"/>
  <c r="B784" i="3"/>
  <c r="A784" i="3"/>
  <c r="B783" i="3"/>
  <c r="A783" i="3"/>
  <c r="B782" i="3"/>
  <c r="A782" i="3"/>
  <c r="B781" i="3"/>
  <c r="A781" i="3"/>
  <c r="B780" i="3"/>
  <c r="A780" i="3"/>
  <c r="B779" i="3"/>
  <c r="A779" i="3"/>
  <c r="B778" i="3"/>
  <c r="A778" i="3"/>
  <c r="B777" i="3"/>
  <c r="A777" i="3"/>
  <c r="B776" i="3"/>
  <c r="A776" i="3"/>
  <c r="B775" i="3"/>
  <c r="A775" i="3"/>
  <c r="B774" i="3"/>
  <c r="A774" i="3"/>
  <c r="B773" i="3"/>
  <c r="A773" i="3"/>
  <c r="B772" i="3"/>
  <c r="A772" i="3"/>
  <c r="B771" i="3"/>
  <c r="A771" i="3"/>
  <c r="B770" i="3"/>
  <c r="A770" i="3"/>
  <c r="B769" i="3"/>
  <c r="A769" i="3"/>
  <c r="B768" i="3"/>
  <c r="A768" i="3"/>
  <c r="B767" i="3"/>
  <c r="A767" i="3"/>
  <c r="B766" i="3"/>
  <c r="A766" i="3"/>
  <c r="B765" i="3"/>
  <c r="A765" i="3"/>
  <c r="B764" i="3"/>
  <c r="A764" i="3"/>
  <c r="B763" i="3"/>
  <c r="A763" i="3"/>
  <c r="B762" i="3"/>
  <c r="A762" i="3"/>
  <c r="B761" i="3"/>
  <c r="A761" i="3"/>
  <c r="B760" i="3"/>
  <c r="A760" i="3"/>
  <c r="B759" i="3"/>
  <c r="A759" i="3"/>
  <c r="B758" i="3"/>
  <c r="A758" i="3"/>
  <c r="B757" i="3"/>
  <c r="A757" i="3"/>
  <c r="B756" i="3"/>
  <c r="A756" i="3"/>
  <c r="B755" i="3"/>
  <c r="A755" i="3"/>
  <c r="B754" i="3"/>
  <c r="A754" i="3"/>
  <c r="B753" i="3"/>
  <c r="A753" i="3"/>
  <c r="B752" i="3"/>
  <c r="A752" i="3"/>
  <c r="B751" i="3"/>
  <c r="A751" i="3"/>
  <c r="B750" i="3"/>
  <c r="A750" i="3"/>
  <c r="B749" i="3"/>
  <c r="A749" i="3"/>
  <c r="B748" i="3"/>
  <c r="A748" i="3"/>
  <c r="B747" i="3"/>
  <c r="A747" i="3"/>
  <c r="B746" i="3"/>
  <c r="A746" i="3"/>
  <c r="B745" i="3"/>
  <c r="A745" i="3"/>
  <c r="B744" i="3"/>
  <c r="A744" i="3"/>
  <c r="B743" i="3"/>
  <c r="A743" i="3"/>
  <c r="B742" i="3"/>
  <c r="A742" i="3"/>
  <c r="B741" i="3"/>
  <c r="A741" i="3"/>
  <c r="B740" i="3"/>
  <c r="A740" i="3"/>
  <c r="B739" i="3"/>
  <c r="A739" i="3"/>
  <c r="B738" i="3"/>
  <c r="A738" i="3"/>
  <c r="B737" i="3"/>
  <c r="A737" i="3"/>
  <c r="B736" i="3"/>
  <c r="A736" i="3"/>
  <c r="B735" i="3"/>
  <c r="A735" i="3"/>
  <c r="B734" i="3"/>
  <c r="A734" i="3"/>
  <c r="B733" i="3"/>
  <c r="A733" i="3"/>
  <c r="B732" i="3"/>
  <c r="A732" i="3"/>
  <c r="B731" i="3"/>
  <c r="A731" i="3"/>
  <c r="B730" i="3"/>
  <c r="A730" i="3"/>
  <c r="B729" i="3"/>
  <c r="A729" i="3"/>
  <c r="B728" i="3"/>
  <c r="A728" i="3"/>
  <c r="B727" i="3"/>
  <c r="A727" i="3"/>
  <c r="B726" i="3"/>
  <c r="A726" i="3"/>
  <c r="B725" i="3"/>
  <c r="A725" i="3"/>
  <c r="B724" i="3"/>
  <c r="A724" i="3"/>
  <c r="B723" i="3"/>
  <c r="A723" i="3"/>
  <c r="B722" i="3"/>
  <c r="A722" i="3"/>
  <c r="B721" i="3"/>
  <c r="A721" i="3"/>
  <c r="B720" i="3"/>
  <c r="A720" i="3"/>
  <c r="B719" i="3"/>
  <c r="A719" i="3"/>
  <c r="B718" i="3"/>
  <c r="A718" i="3"/>
  <c r="B717" i="3"/>
  <c r="A717" i="3"/>
  <c r="B716" i="3"/>
  <c r="A716" i="3"/>
  <c r="B715" i="3"/>
  <c r="A715" i="3"/>
  <c r="B714" i="3"/>
  <c r="A714" i="3"/>
  <c r="B713" i="3"/>
  <c r="A713" i="3"/>
  <c r="B712" i="3"/>
  <c r="A712" i="3"/>
  <c r="B711" i="3"/>
  <c r="A711" i="3"/>
  <c r="B710" i="3"/>
  <c r="A710" i="3"/>
  <c r="B709" i="3"/>
  <c r="A709" i="3"/>
  <c r="B708" i="3"/>
  <c r="A708" i="3"/>
  <c r="B707" i="3"/>
  <c r="A707" i="3"/>
  <c r="B706" i="3"/>
  <c r="A706" i="3"/>
  <c r="B705" i="3"/>
  <c r="A705" i="3"/>
  <c r="B704" i="3"/>
  <c r="A704" i="3"/>
  <c r="B703" i="3"/>
  <c r="A703" i="3"/>
  <c r="B702" i="3"/>
  <c r="A702" i="3"/>
  <c r="B701" i="3"/>
  <c r="A701" i="3"/>
  <c r="B700" i="3"/>
  <c r="A700" i="3"/>
  <c r="B699" i="3"/>
  <c r="A699" i="3"/>
  <c r="B698" i="3"/>
  <c r="A698" i="3"/>
  <c r="B697" i="3"/>
  <c r="A697" i="3"/>
  <c r="B696" i="3"/>
  <c r="A696" i="3"/>
  <c r="B695" i="3"/>
  <c r="A695" i="3"/>
  <c r="B694" i="3"/>
  <c r="A694" i="3"/>
  <c r="B693" i="3"/>
  <c r="A693" i="3"/>
  <c r="B692" i="3"/>
  <c r="A692" i="3"/>
  <c r="B691" i="3"/>
  <c r="A691" i="3"/>
  <c r="B690" i="3"/>
  <c r="A690" i="3"/>
  <c r="B689" i="3"/>
  <c r="A689" i="3"/>
  <c r="B688" i="3"/>
  <c r="A688" i="3"/>
  <c r="B687" i="3"/>
  <c r="A687" i="3"/>
  <c r="B686" i="3"/>
  <c r="A686" i="3"/>
  <c r="B685" i="3"/>
  <c r="A685" i="3"/>
  <c r="B684" i="3"/>
  <c r="A684" i="3"/>
  <c r="B683" i="3"/>
  <c r="A683" i="3"/>
  <c r="B682" i="3"/>
  <c r="A682" i="3"/>
  <c r="B681" i="3"/>
  <c r="A681" i="3"/>
  <c r="B680" i="3"/>
  <c r="A680" i="3"/>
  <c r="B679" i="3"/>
  <c r="A679" i="3"/>
  <c r="B678" i="3"/>
  <c r="A678" i="3"/>
  <c r="B677" i="3"/>
  <c r="A677" i="3"/>
  <c r="B676" i="3"/>
  <c r="A676" i="3"/>
  <c r="B675" i="3"/>
  <c r="A675" i="3"/>
  <c r="B674" i="3"/>
  <c r="A674" i="3"/>
  <c r="B673" i="3"/>
  <c r="A673" i="3"/>
  <c r="B672" i="3"/>
  <c r="A672" i="3"/>
  <c r="B671" i="3"/>
  <c r="A671" i="3"/>
  <c r="B670" i="3"/>
  <c r="A670" i="3"/>
  <c r="B669" i="3"/>
  <c r="A669" i="3"/>
  <c r="B668" i="3"/>
  <c r="A668" i="3"/>
  <c r="B667" i="3"/>
  <c r="A667" i="3"/>
  <c r="B666" i="3"/>
  <c r="A666" i="3"/>
  <c r="B665" i="3"/>
  <c r="A665" i="3"/>
  <c r="B664" i="3"/>
  <c r="A664" i="3"/>
  <c r="B663" i="3"/>
  <c r="A663" i="3"/>
  <c r="B662" i="3"/>
  <c r="A662" i="3"/>
  <c r="B661" i="3"/>
  <c r="A661" i="3"/>
  <c r="B660" i="3"/>
  <c r="A660" i="3"/>
  <c r="B659" i="3"/>
  <c r="A659" i="3"/>
  <c r="B658" i="3"/>
  <c r="A658" i="3"/>
  <c r="B657" i="3"/>
  <c r="A657" i="3"/>
  <c r="B656" i="3"/>
  <c r="A656" i="3"/>
  <c r="B655" i="3"/>
  <c r="A655" i="3"/>
  <c r="B654" i="3"/>
  <c r="A654" i="3"/>
  <c r="B653" i="3"/>
  <c r="A653" i="3"/>
  <c r="B652" i="3"/>
  <c r="A652" i="3"/>
  <c r="B651" i="3"/>
  <c r="A651" i="3"/>
  <c r="B650" i="3"/>
  <c r="A650" i="3"/>
  <c r="B649" i="3"/>
  <c r="A649" i="3"/>
  <c r="B648" i="3"/>
  <c r="A648" i="3"/>
  <c r="B647" i="3"/>
  <c r="A647" i="3"/>
  <c r="B646" i="3"/>
  <c r="A646" i="3"/>
  <c r="B645" i="3"/>
  <c r="A645" i="3"/>
  <c r="B644" i="3"/>
  <c r="A644" i="3"/>
  <c r="B643" i="3"/>
  <c r="A643" i="3"/>
  <c r="B642" i="3"/>
  <c r="A642" i="3"/>
  <c r="B641" i="3"/>
  <c r="A641" i="3"/>
  <c r="B640" i="3"/>
  <c r="A640" i="3"/>
  <c r="B639" i="3"/>
  <c r="A639" i="3"/>
  <c r="B638" i="3"/>
  <c r="A638" i="3"/>
  <c r="B637" i="3"/>
  <c r="A637" i="3"/>
  <c r="B636" i="3"/>
  <c r="A636" i="3"/>
  <c r="B635" i="3"/>
  <c r="A635" i="3"/>
  <c r="B634" i="3"/>
  <c r="A634" i="3"/>
  <c r="B633" i="3"/>
  <c r="A633" i="3"/>
  <c r="B632" i="3"/>
  <c r="A632" i="3"/>
  <c r="B631" i="3"/>
  <c r="A631" i="3"/>
  <c r="B630" i="3"/>
  <c r="A630" i="3"/>
  <c r="B629" i="3"/>
  <c r="A629" i="3"/>
  <c r="B628" i="3"/>
  <c r="A628" i="3"/>
  <c r="B627" i="3"/>
  <c r="A627" i="3"/>
  <c r="B626" i="3"/>
  <c r="A626" i="3"/>
  <c r="B625" i="3"/>
  <c r="A625" i="3"/>
  <c r="B624" i="3"/>
  <c r="A624" i="3"/>
  <c r="B623" i="3"/>
  <c r="A623" i="3"/>
  <c r="B622" i="3"/>
  <c r="A622" i="3"/>
  <c r="B621" i="3"/>
  <c r="A621" i="3"/>
  <c r="B620" i="3"/>
  <c r="A620" i="3"/>
  <c r="B619" i="3"/>
  <c r="A619" i="3"/>
  <c r="B618" i="3"/>
  <c r="A618" i="3"/>
  <c r="B617" i="3"/>
  <c r="A617" i="3"/>
  <c r="B616" i="3"/>
  <c r="A616" i="3"/>
  <c r="B615" i="3"/>
  <c r="A615" i="3"/>
  <c r="B614" i="3"/>
  <c r="A614" i="3"/>
  <c r="B613" i="3"/>
  <c r="A613" i="3"/>
  <c r="B612" i="3"/>
  <c r="A612" i="3"/>
  <c r="B611" i="3"/>
  <c r="A611" i="3"/>
  <c r="B610" i="3"/>
  <c r="A610" i="3"/>
  <c r="B609" i="3"/>
  <c r="A609" i="3"/>
  <c r="B608" i="3"/>
  <c r="A608" i="3"/>
  <c r="B607" i="3"/>
  <c r="A607" i="3"/>
  <c r="B606" i="3"/>
  <c r="A606" i="3"/>
  <c r="B605" i="3"/>
  <c r="A605" i="3"/>
  <c r="B604" i="3"/>
  <c r="A604" i="3"/>
  <c r="B603" i="3"/>
  <c r="A603" i="3"/>
  <c r="B602" i="3"/>
  <c r="A602" i="3"/>
  <c r="B601" i="3"/>
  <c r="A601" i="3"/>
  <c r="B600" i="3"/>
  <c r="A600" i="3"/>
  <c r="B599" i="3"/>
  <c r="A599" i="3"/>
  <c r="B598" i="3"/>
  <c r="A598" i="3"/>
  <c r="B597" i="3"/>
  <c r="A597" i="3"/>
  <c r="B596" i="3"/>
  <c r="A596" i="3"/>
  <c r="B595" i="3"/>
  <c r="A595" i="3"/>
  <c r="B594" i="3"/>
  <c r="A594" i="3"/>
  <c r="B593" i="3"/>
  <c r="A593" i="3"/>
  <c r="B592" i="3"/>
  <c r="A592" i="3"/>
  <c r="B591" i="3"/>
  <c r="A591" i="3"/>
  <c r="B590" i="3"/>
  <c r="A590" i="3"/>
  <c r="B589" i="3"/>
  <c r="A589" i="3"/>
  <c r="B588" i="3"/>
  <c r="A588" i="3"/>
  <c r="B587" i="3"/>
  <c r="A587" i="3"/>
  <c r="B586" i="3"/>
  <c r="A586" i="3"/>
  <c r="B585" i="3"/>
  <c r="A585" i="3"/>
  <c r="B584" i="3"/>
  <c r="A584" i="3"/>
  <c r="B583" i="3"/>
  <c r="A583" i="3"/>
  <c r="B582" i="3"/>
  <c r="A582" i="3"/>
  <c r="B581" i="3"/>
  <c r="A581" i="3"/>
  <c r="B580" i="3"/>
  <c r="A580" i="3"/>
  <c r="B579" i="3"/>
  <c r="A579" i="3"/>
  <c r="B578" i="3"/>
  <c r="A578" i="3"/>
  <c r="B577" i="3"/>
  <c r="A577" i="3"/>
  <c r="B576" i="3"/>
  <c r="A576" i="3"/>
  <c r="B575" i="3"/>
  <c r="A575" i="3"/>
  <c r="B574" i="3"/>
  <c r="A574" i="3"/>
  <c r="B573" i="3"/>
  <c r="A573" i="3"/>
  <c r="B572" i="3"/>
  <c r="A572" i="3"/>
  <c r="B571" i="3"/>
  <c r="A571" i="3"/>
  <c r="B570" i="3"/>
  <c r="A570" i="3"/>
  <c r="B569" i="3"/>
  <c r="A569" i="3"/>
  <c r="B568" i="3"/>
  <c r="A568" i="3"/>
  <c r="B567" i="3"/>
  <c r="A567" i="3"/>
  <c r="B566" i="3"/>
  <c r="A566" i="3"/>
  <c r="B565" i="3"/>
  <c r="A565" i="3"/>
  <c r="B564" i="3"/>
  <c r="A564" i="3"/>
  <c r="B563" i="3"/>
  <c r="A563" i="3"/>
  <c r="B562" i="3"/>
  <c r="A562" i="3"/>
  <c r="B561" i="3"/>
  <c r="A561" i="3"/>
  <c r="B560" i="3"/>
  <c r="A560" i="3"/>
  <c r="B559" i="3"/>
  <c r="A559" i="3"/>
  <c r="B558" i="3"/>
  <c r="A558" i="3"/>
  <c r="B557" i="3"/>
  <c r="A557" i="3"/>
  <c r="B556" i="3"/>
  <c r="A556" i="3"/>
  <c r="B555" i="3"/>
  <c r="A555" i="3"/>
  <c r="B554" i="3"/>
  <c r="A554" i="3"/>
  <c r="B553" i="3"/>
  <c r="A553" i="3"/>
  <c r="B552" i="3"/>
  <c r="A552" i="3"/>
  <c r="B551" i="3"/>
  <c r="A551" i="3"/>
  <c r="B550" i="3"/>
  <c r="A550" i="3"/>
  <c r="B549" i="3"/>
  <c r="A549" i="3"/>
  <c r="B548" i="3"/>
  <c r="A548" i="3"/>
  <c r="B547" i="3"/>
  <c r="A547" i="3"/>
  <c r="B546" i="3"/>
  <c r="A546" i="3"/>
  <c r="B545" i="3"/>
  <c r="A545" i="3"/>
  <c r="B544" i="3"/>
  <c r="A544" i="3"/>
  <c r="B543" i="3"/>
  <c r="A543" i="3"/>
  <c r="B542" i="3"/>
  <c r="A542" i="3"/>
  <c r="B541" i="3"/>
  <c r="A541" i="3"/>
  <c r="B540" i="3"/>
  <c r="A540" i="3"/>
  <c r="B539" i="3"/>
  <c r="A539" i="3"/>
  <c r="B538" i="3"/>
  <c r="A538" i="3"/>
  <c r="B537" i="3"/>
  <c r="A537" i="3"/>
  <c r="B536" i="3"/>
  <c r="A536" i="3"/>
  <c r="B535" i="3"/>
  <c r="A535" i="3"/>
  <c r="B534" i="3"/>
  <c r="A534" i="3"/>
  <c r="B533" i="3"/>
  <c r="A533" i="3"/>
  <c r="B532" i="3"/>
  <c r="A532" i="3"/>
  <c r="B531" i="3"/>
  <c r="A531" i="3"/>
  <c r="B530" i="3"/>
  <c r="A530" i="3"/>
  <c r="B529" i="3"/>
  <c r="A529" i="3"/>
  <c r="B528" i="3"/>
  <c r="A528" i="3"/>
  <c r="B527" i="3"/>
  <c r="A527" i="3"/>
  <c r="B526" i="3"/>
  <c r="A526" i="3"/>
  <c r="B525" i="3"/>
  <c r="A525" i="3"/>
  <c r="B524" i="3"/>
  <c r="A524" i="3"/>
  <c r="B523" i="3"/>
  <c r="A523" i="3"/>
  <c r="B522" i="3"/>
  <c r="A522" i="3"/>
  <c r="B521" i="3"/>
  <c r="A521" i="3"/>
  <c r="B520" i="3"/>
  <c r="A520" i="3"/>
  <c r="B519" i="3"/>
  <c r="A519" i="3"/>
  <c r="B518" i="3"/>
  <c r="A518" i="3"/>
  <c r="B517" i="3"/>
  <c r="A517" i="3"/>
  <c r="B516" i="3"/>
  <c r="A516" i="3"/>
  <c r="B515" i="3"/>
  <c r="A515" i="3"/>
  <c r="B514" i="3"/>
  <c r="A514" i="3"/>
  <c r="B513" i="3"/>
  <c r="A513" i="3"/>
  <c r="B512" i="3"/>
  <c r="A512" i="3"/>
  <c r="B511" i="3"/>
  <c r="A511" i="3"/>
  <c r="B510" i="3"/>
  <c r="A510" i="3"/>
  <c r="B509" i="3"/>
  <c r="A509" i="3"/>
  <c r="B508" i="3"/>
  <c r="A508" i="3"/>
  <c r="B507" i="3"/>
  <c r="A507" i="3"/>
  <c r="B506" i="3"/>
  <c r="A506" i="3"/>
  <c r="B505" i="3"/>
  <c r="A505" i="3"/>
  <c r="B504" i="3"/>
  <c r="A504" i="3"/>
  <c r="B503" i="3"/>
  <c r="A503" i="3"/>
  <c r="B502" i="3"/>
  <c r="A502" i="3"/>
  <c r="B501" i="3"/>
  <c r="A501" i="3"/>
  <c r="B500" i="3"/>
  <c r="A500" i="3"/>
  <c r="B499" i="3"/>
  <c r="A499" i="3"/>
  <c r="B498" i="3"/>
  <c r="A498" i="3"/>
  <c r="B497" i="3"/>
  <c r="A497" i="3"/>
  <c r="B496" i="3"/>
  <c r="A496" i="3"/>
  <c r="B495" i="3"/>
  <c r="A495" i="3"/>
  <c r="B494" i="3"/>
  <c r="A494" i="3"/>
  <c r="B493" i="3"/>
  <c r="A493" i="3"/>
  <c r="B492" i="3"/>
  <c r="A492" i="3"/>
  <c r="B491" i="3"/>
  <c r="A491" i="3"/>
  <c r="B490" i="3"/>
  <c r="A490" i="3"/>
  <c r="B489" i="3"/>
  <c r="A489" i="3"/>
  <c r="B488" i="3"/>
  <c r="A488" i="3"/>
  <c r="B487" i="3"/>
  <c r="A487" i="3"/>
  <c r="B486" i="3"/>
  <c r="A486" i="3"/>
  <c r="B485" i="3"/>
  <c r="A485" i="3"/>
  <c r="B484" i="3"/>
  <c r="A484" i="3"/>
  <c r="B483" i="3"/>
  <c r="A483" i="3"/>
  <c r="B482" i="3"/>
  <c r="A482" i="3"/>
  <c r="B481" i="3"/>
  <c r="A481" i="3"/>
  <c r="B480" i="3"/>
  <c r="A480" i="3"/>
  <c r="B479" i="3"/>
  <c r="A479" i="3"/>
  <c r="B478" i="3"/>
  <c r="A478" i="3"/>
  <c r="B477" i="3"/>
  <c r="A477" i="3"/>
  <c r="B476" i="3"/>
  <c r="A476" i="3"/>
  <c r="B475" i="3"/>
  <c r="A475" i="3"/>
  <c r="B474" i="3"/>
  <c r="A474" i="3"/>
  <c r="B473" i="3"/>
  <c r="A473" i="3"/>
  <c r="B472" i="3"/>
  <c r="A472" i="3"/>
  <c r="B471" i="3"/>
  <c r="A471" i="3"/>
  <c r="B470" i="3"/>
  <c r="A470" i="3"/>
  <c r="B469" i="3"/>
  <c r="A469" i="3"/>
  <c r="B468" i="3"/>
  <c r="A468" i="3"/>
  <c r="B467" i="3"/>
  <c r="A467" i="3"/>
  <c r="B466" i="3"/>
  <c r="A466" i="3"/>
  <c r="B465" i="3"/>
  <c r="A465" i="3"/>
  <c r="B464" i="3"/>
  <c r="A464" i="3"/>
  <c r="B463" i="3"/>
  <c r="A463" i="3"/>
  <c r="B462" i="3"/>
  <c r="A462" i="3"/>
  <c r="B461" i="3"/>
  <c r="A461" i="3"/>
  <c r="B460" i="3"/>
  <c r="A460" i="3"/>
  <c r="B459" i="3"/>
  <c r="A459" i="3"/>
  <c r="B458" i="3"/>
  <c r="A458" i="3"/>
  <c r="B457" i="3"/>
  <c r="A457" i="3"/>
  <c r="B456" i="3"/>
  <c r="A456" i="3"/>
  <c r="B455" i="3"/>
  <c r="A455" i="3"/>
  <c r="B454" i="3"/>
  <c r="A454" i="3"/>
  <c r="B453" i="3"/>
  <c r="A453" i="3"/>
  <c r="B452" i="3"/>
  <c r="A452" i="3"/>
  <c r="B451" i="3"/>
  <c r="A451" i="3"/>
  <c r="B450" i="3"/>
  <c r="A450" i="3"/>
  <c r="B449" i="3"/>
  <c r="A449" i="3"/>
  <c r="B448" i="3"/>
  <c r="A448" i="3"/>
  <c r="B447" i="3"/>
  <c r="A447" i="3"/>
  <c r="B446" i="3"/>
  <c r="A446" i="3"/>
  <c r="B445" i="3"/>
  <c r="A445" i="3"/>
  <c r="B444" i="3"/>
  <c r="A444" i="3"/>
  <c r="B443" i="3"/>
  <c r="A443" i="3"/>
  <c r="B442" i="3"/>
  <c r="A442" i="3"/>
  <c r="B441" i="3"/>
  <c r="A441" i="3"/>
  <c r="B440" i="3"/>
  <c r="A440" i="3"/>
  <c r="B439" i="3"/>
  <c r="A439" i="3"/>
  <c r="B438" i="3"/>
  <c r="A438" i="3"/>
  <c r="B437" i="3"/>
  <c r="A437" i="3"/>
  <c r="B436" i="3"/>
  <c r="A436" i="3"/>
  <c r="B435" i="3"/>
  <c r="A435" i="3"/>
  <c r="B434" i="3"/>
  <c r="A434" i="3"/>
  <c r="B433" i="3"/>
  <c r="A433" i="3"/>
  <c r="B432" i="3"/>
  <c r="A432" i="3"/>
  <c r="B431" i="3"/>
  <c r="A431" i="3"/>
  <c r="B430" i="3"/>
  <c r="A430" i="3"/>
  <c r="B429" i="3"/>
  <c r="A429" i="3"/>
  <c r="B428" i="3"/>
  <c r="A428" i="3"/>
  <c r="B427" i="3"/>
  <c r="A427" i="3"/>
  <c r="B426" i="3"/>
  <c r="A426" i="3"/>
  <c r="B425" i="3"/>
  <c r="A425" i="3"/>
  <c r="B424" i="3"/>
  <c r="A424" i="3"/>
  <c r="B423" i="3"/>
  <c r="A423" i="3"/>
  <c r="B422" i="3"/>
  <c r="A422" i="3"/>
  <c r="B421" i="3"/>
  <c r="A421" i="3"/>
  <c r="B420" i="3"/>
  <c r="A420" i="3"/>
  <c r="B419" i="3"/>
  <c r="A419" i="3"/>
  <c r="B418" i="3"/>
  <c r="A418" i="3"/>
  <c r="B417" i="3"/>
  <c r="A417" i="3"/>
  <c r="B416" i="3"/>
  <c r="A416" i="3"/>
  <c r="B415" i="3"/>
  <c r="A415" i="3"/>
  <c r="B414" i="3"/>
  <c r="A414" i="3"/>
  <c r="B413" i="3"/>
  <c r="A413" i="3"/>
  <c r="B412" i="3"/>
  <c r="A412" i="3"/>
  <c r="B411" i="3"/>
  <c r="A411" i="3"/>
  <c r="B410" i="3"/>
  <c r="A410" i="3"/>
  <c r="B409" i="3"/>
  <c r="A409" i="3"/>
  <c r="B408" i="3"/>
  <c r="A408" i="3"/>
  <c r="B407" i="3"/>
  <c r="A407" i="3"/>
  <c r="B406" i="3"/>
  <c r="A406" i="3"/>
  <c r="B405" i="3"/>
  <c r="A405" i="3"/>
  <c r="B404" i="3"/>
  <c r="A404" i="3"/>
  <c r="B403" i="3"/>
  <c r="A403" i="3"/>
  <c r="B402" i="3"/>
  <c r="A402" i="3"/>
  <c r="B401" i="3"/>
  <c r="A401" i="3"/>
  <c r="B400" i="3"/>
  <c r="A400" i="3"/>
  <c r="B399" i="3"/>
  <c r="A399" i="3"/>
  <c r="B398" i="3"/>
  <c r="A398" i="3"/>
  <c r="B397" i="3"/>
  <c r="A397" i="3"/>
  <c r="B396" i="3"/>
  <c r="A396" i="3"/>
  <c r="B395" i="3"/>
  <c r="A395" i="3"/>
  <c r="B394" i="3"/>
  <c r="A394" i="3"/>
  <c r="B393" i="3"/>
  <c r="A393" i="3"/>
  <c r="B392" i="3"/>
  <c r="A392" i="3"/>
  <c r="B391" i="3"/>
  <c r="A391" i="3"/>
  <c r="B390" i="3"/>
  <c r="A390" i="3"/>
  <c r="B389" i="3"/>
  <c r="A389" i="3"/>
  <c r="B388" i="3"/>
  <c r="A388" i="3"/>
  <c r="B387" i="3"/>
  <c r="A387" i="3"/>
  <c r="B386" i="3"/>
  <c r="A386" i="3"/>
  <c r="B385" i="3"/>
  <c r="A385" i="3"/>
  <c r="B384" i="3"/>
  <c r="A384" i="3"/>
  <c r="B383" i="3"/>
  <c r="A383" i="3"/>
  <c r="B382" i="3"/>
  <c r="A382" i="3"/>
  <c r="B381" i="3"/>
  <c r="A381" i="3"/>
  <c r="B380" i="3"/>
  <c r="A380" i="3"/>
  <c r="B379" i="3"/>
  <c r="A379" i="3"/>
  <c r="B378" i="3"/>
  <c r="A378" i="3"/>
  <c r="B377" i="3"/>
  <c r="A377" i="3"/>
  <c r="B376" i="3"/>
  <c r="A376" i="3"/>
  <c r="B375" i="3"/>
  <c r="A375" i="3"/>
  <c r="B374" i="3"/>
  <c r="A374" i="3"/>
  <c r="B373" i="3"/>
  <c r="A373" i="3"/>
  <c r="B372" i="3"/>
  <c r="A372" i="3"/>
  <c r="B371" i="3"/>
  <c r="A371" i="3"/>
  <c r="B370" i="3"/>
  <c r="A370" i="3"/>
  <c r="B369" i="3"/>
  <c r="A369" i="3"/>
  <c r="B368" i="3"/>
  <c r="A368" i="3"/>
  <c r="B367" i="3"/>
  <c r="A367" i="3"/>
  <c r="B366" i="3"/>
  <c r="A366" i="3"/>
  <c r="B365" i="3"/>
  <c r="A365" i="3"/>
  <c r="B364" i="3"/>
  <c r="A364" i="3"/>
  <c r="B363" i="3"/>
  <c r="A363" i="3"/>
  <c r="B362" i="3"/>
  <c r="A362" i="3"/>
  <c r="B361" i="3"/>
  <c r="A361" i="3"/>
  <c r="B360" i="3"/>
  <c r="A360" i="3"/>
  <c r="B359" i="3"/>
  <c r="A359" i="3"/>
  <c r="B358" i="3"/>
  <c r="A358" i="3"/>
  <c r="B357" i="3"/>
  <c r="A357" i="3"/>
  <c r="B356" i="3"/>
  <c r="A356" i="3"/>
  <c r="B355" i="3"/>
  <c r="A355" i="3"/>
  <c r="B354" i="3"/>
  <c r="A354" i="3"/>
  <c r="B353" i="3"/>
  <c r="A353" i="3"/>
  <c r="B352" i="3"/>
  <c r="A352" i="3"/>
  <c r="B351" i="3"/>
  <c r="A351" i="3"/>
  <c r="B350" i="3"/>
  <c r="A350" i="3"/>
  <c r="B349" i="3"/>
  <c r="A349" i="3"/>
  <c r="B348" i="3"/>
  <c r="A348" i="3"/>
  <c r="B347" i="3"/>
  <c r="A347" i="3"/>
  <c r="B346" i="3"/>
  <c r="A346" i="3"/>
  <c r="B345" i="3"/>
  <c r="A345" i="3"/>
  <c r="B344" i="3"/>
  <c r="A344" i="3"/>
  <c r="B343" i="3"/>
  <c r="A343" i="3"/>
  <c r="B342" i="3"/>
  <c r="A342" i="3"/>
  <c r="B341" i="3"/>
  <c r="A341" i="3"/>
  <c r="B340" i="3"/>
  <c r="A340" i="3"/>
  <c r="B339" i="3"/>
  <c r="A339" i="3"/>
  <c r="B338" i="3"/>
  <c r="A338" i="3"/>
  <c r="B337" i="3"/>
  <c r="A337" i="3"/>
  <c r="B336" i="3"/>
  <c r="A336" i="3"/>
  <c r="B335" i="3"/>
  <c r="A335" i="3"/>
  <c r="B334" i="3"/>
  <c r="A334" i="3"/>
  <c r="B333" i="3"/>
  <c r="A333" i="3"/>
  <c r="B332" i="3"/>
  <c r="A332" i="3"/>
  <c r="B331" i="3"/>
  <c r="A331" i="3"/>
  <c r="B330" i="3"/>
  <c r="A330" i="3"/>
  <c r="B329" i="3"/>
  <c r="A329" i="3"/>
  <c r="B328" i="3"/>
  <c r="A328" i="3"/>
  <c r="B327" i="3"/>
  <c r="A327" i="3"/>
  <c r="B326" i="3"/>
  <c r="A326" i="3"/>
  <c r="B325" i="3"/>
  <c r="A325" i="3"/>
  <c r="B324" i="3"/>
  <c r="A324" i="3"/>
  <c r="B323" i="3"/>
  <c r="A323" i="3"/>
  <c r="B322" i="3"/>
  <c r="A322" i="3"/>
  <c r="B321" i="3"/>
  <c r="A321" i="3"/>
  <c r="B320" i="3"/>
  <c r="A320" i="3"/>
  <c r="B319" i="3"/>
  <c r="A319" i="3"/>
  <c r="B318" i="3"/>
  <c r="A318" i="3"/>
  <c r="B317" i="3"/>
  <c r="A317" i="3"/>
  <c r="B316" i="3"/>
  <c r="A316" i="3"/>
  <c r="B315" i="3"/>
  <c r="A315" i="3"/>
  <c r="B314" i="3"/>
  <c r="A314" i="3"/>
  <c r="B313" i="3"/>
  <c r="A313" i="3"/>
  <c r="B312" i="3"/>
  <c r="A312" i="3"/>
  <c r="B311" i="3"/>
  <c r="A311" i="3"/>
  <c r="B310" i="3"/>
  <c r="A310" i="3"/>
  <c r="B309" i="3"/>
  <c r="A309" i="3"/>
  <c r="B308" i="3"/>
  <c r="A308" i="3"/>
  <c r="B307" i="3"/>
  <c r="A307" i="3"/>
  <c r="B306" i="3"/>
  <c r="A306" i="3"/>
  <c r="B305" i="3"/>
  <c r="A305" i="3"/>
  <c r="B304" i="3"/>
  <c r="A304" i="3"/>
  <c r="B303" i="3"/>
  <c r="A303" i="3"/>
  <c r="B302" i="3"/>
  <c r="A302" i="3"/>
  <c r="B301" i="3"/>
  <c r="A301" i="3"/>
  <c r="B300" i="3"/>
  <c r="A300" i="3"/>
  <c r="B299" i="3"/>
  <c r="A299" i="3"/>
  <c r="B298" i="3"/>
  <c r="A298" i="3"/>
  <c r="B297" i="3"/>
  <c r="A297" i="3"/>
  <c r="B296" i="3"/>
  <c r="A296" i="3"/>
  <c r="B295" i="3"/>
  <c r="A295" i="3"/>
  <c r="B294" i="3"/>
  <c r="A294" i="3"/>
  <c r="B293" i="3"/>
  <c r="A293" i="3"/>
  <c r="B292" i="3"/>
  <c r="A292" i="3"/>
  <c r="B291" i="3"/>
  <c r="A291" i="3"/>
  <c r="B290" i="3"/>
  <c r="A290" i="3"/>
  <c r="B289" i="3"/>
  <c r="A289" i="3"/>
  <c r="B288" i="3"/>
  <c r="A288" i="3"/>
  <c r="B287" i="3"/>
  <c r="A287" i="3"/>
  <c r="B286" i="3"/>
  <c r="A286" i="3"/>
  <c r="B285" i="3"/>
  <c r="A285" i="3"/>
  <c r="B284" i="3"/>
  <c r="A284" i="3"/>
  <c r="B283" i="3"/>
  <c r="A283" i="3"/>
  <c r="B282" i="3"/>
  <c r="A282" i="3"/>
  <c r="B281" i="3"/>
  <c r="A281" i="3"/>
  <c r="B280" i="3"/>
  <c r="A280" i="3"/>
  <c r="B279" i="3"/>
  <c r="A279" i="3"/>
  <c r="B278" i="3"/>
  <c r="A278" i="3"/>
  <c r="B277" i="3"/>
  <c r="A277" i="3"/>
  <c r="B276" i="3"/>
  <c r="A276" i="3"/>
  <c r="B275" i="3"/>
  <c r="A275" i="3"/>
  <c r="B274" i="3"/>
  <c r="A274" i="3"/>
  <c r="B273" i="3"/>
  <c r="A273" i="3"/>
  <c r="B272" i="3"/>
  <c r="A272" i="3"/>
  <c r="B271" i="3"/>
  <c r="A271" i="3"/>
  <c r="B270" i="3"/>
  <c r="A270" i="3"/>
  <c r="B269" i="3"/>
  <c r="A269" i="3"/>
  <c r="B268" i="3"/>
  <c r="A268" i="3"/>
  <c r="B267" i="3"/>
  <c r="A267" i="3"/>
  <c r="B266" i="3"/>
  <c r="A266" i="3"/>
  <c r="B265" i="3"/>
  <c r="A265" i="3"/>
  <c r="B264" i="3"/>
  <c r="A264" i="3"/>
  <c r="B263" i="3"/>
  <c r="A263" i="3"/>
  <c r="B262" i="3"/>
  <c r="A262" i="3"/>
  <c r="B261" i="3"/>
  <c r="A261" i="3"/>
  <c r="B260" i="3"/>
  <c r="A260" i="3"/>
  <c r="B259" i="3"/>
  <c r="A259" i="3"/>
  <c r="B258" i="3"/>
  <c r="A258" i="3"/>
  <c r="B257" i="3"/>
  <c r="A257" i="3"/>
  <c r="B256" i="3"/>
  <c r="A256" i="3"/>
  <c r="B255" i="3"/>
  <c r="A255" i="3"/>
  <c r="B254" i="3"/>
  <c r="A254" i="3"/>
  <c r="B253" i="3"/>
  <c r="A253" i="3"/>
  <c r="B252" i="3"/>
  <c r="A252" i="3"/>
  <c r="B251" i="3"/>
  <c r="A251" i="3"/>
  <c r="B250" i="3"/>
  <c r="A250" i="3"/>
  <c r="B249" i="3"/>
  <c r="A249" i="3"/>
  <c r="B248" i="3"/>
  <c r="A248" i="3"/>
  <c r="B247" i="3"/>
  <c r="A247" i="3"/>
  <c r="B246" i="3"/>
  <c r="A246" i="3"/>
  <c r="B245" i="3"/>
  <c r="A245" i="3"/>
  <c r="B244" i="3"/>
  <c r="A244" i="3"/>
  <c r="B243" i="3"/>
  <c r="A243" i="3"/>
  <c r="B242" i="3"/>
  <c r="A242" i="3"/>
  <c r="B241" i="3"/>
  <c r="A241" i="3"/>
  <c r="B240" i="3"/>
  <c r="A240" i="3"/>
  <c r="B239" i="3"/>
  <c r="A239" i="3"/>
  <c r="B238" i="3"/>
  <c r="A238" i="3"/>
  <c r="B237" i="3"/>
  <c r="A237" i="3"/>
  <c r="B236" i="3"/>
  <c r="A236" i="3"/>
  <c r="B235" i="3"/>
  <c r="A235" i="3"/>
  <c r="B234" i="3"/>
  <c r="A234" i="3"/>
  <c r="B233" i="3"/>
  <c r="A233" i="3"/>
  <c r="B232" i="3"/>
  <c r="A232" i="3"/>
  <c r="B231" i="3"/>
  <c r="A231" i="3"/>
  <c r="B230" i="3"/>
  <c r="A230" i="3"/>
  <c r="B229" i="3"/>
  <c r="A229" i="3"/>
  <c r="B228" i="3"/>
  <c r="A228" i="3"/>
  <c r="B227" i="3"/>
  <c r="A227" i="3"/>
  <c r="B226" i="3"/>
  <c r="A226" i="3"/>
  <c r="B225" i="3"/>
  <c r="A225" i="3"/>
  <c r="B224" i="3"/>
  <c r="A224" i="3"/>
  <c r="B223" i="3"/>
  <c r="A223" i="3"/>
  <c r="B222" i="3"/>
  <c r="A222" i="3"/>
  <c r="B221" i="3"/>
  <c r="A221" i="3"/>
  <c r="B220" i="3"/>
  <c r="A220" i="3"/>
  <c r="B219" i="3"/>
  <c r="A219" i="3"/>
  <c r="B218" i="3"/>
  <c r="A218" i="3"/>
  <c r="B217" i="3"/>
  <c r="A217" i="3"/>
  <c r="B216" i="3"/>
  <c r="A216" i="3"/>
  <c r="B215" i="3"/>
  <c r="A215" i="3"/>
  <c r="B214" i="3"/>
  <c r="A214" i="3"/>
  <c r="B213" i="3"/>
  <c r="A213" i="3"/>
  <c r="B212" i="3"/>
  <c r="A212" i="3"/>
  <c r="B211" i="3"/>
  <c r="A211" i="3"/>
  <c r="B210" i="3"/>
  <c r="A210" i="3"/>
  <c r="B209" i="3"/>
  <c r="A209" i="3"/>
  <c r="B208" i="3"/>
  <c r="A208" i="3"/>
  <c r="B207" i="3"/>
  <c r="A207" i="3"/>
  <c r="B206" i="3"/>
  <c r="A206" i="3"/>
  <c r="B205" i="3"/>
  <c r="A205" i="3"/>
  <c r="B204" i="3"/>
  <c r="A204" i="3"/>
  <c r="B203" i="3"/>
  <c r="A203" i="3"/>
  <c r="B202" i="3"/>
  <c r="A202" i="3"/>
  <c r="B201" i="3"/>
  <c r="A201" i="3"/>
  <c r="B200" i="3"/>
  <c r="A200" i="3"/>
  <c r="B199" i="3"/>
  <c r="A199" i="3"/>
  <c r="B198" i="3"/>
  <c r="A198" i="3"/>
  <c r="B197" i="3"/>
  <c r="A197" i="3"/>
  <c r="B196" i="3"/>
  <c r="A196" i="3"/>
  <c r="B195" i="3"/>
  <c r="A195" i="3"/>
  <c r="B194" i="3"/>
  <c r="A194" i="3"/>
  <c r="B193" i="3"/>
  <c r="A193" i="3"/>
  <c r="B192" i="3"/>
  <c r="A192" i="3"/>
  <c r="B191" i="3"/>
  <c r="A191" i="3"/>
  <c r="B190" i="3"/>
  <c r="A190" i="3"/>
  <c r="B189" i="3"/>
  <c r="A189" i="3"/>
  <c r="B188" i="3"/>
  <c r="A188" i="3"/>
  <c r="B187" i="3"/>
  <c r="A187" i="3"/>
  <c r="B186" i="3"/>
  <c r="A186" i="3"/>
  <c r="B185" i="3"/>
  <c r="A185" i="3"/>
  <c r="B184" i="3"/>
  <c r="A184" i="3"/>
  <c r="B183" i="3"/>
  <c r="A183" i="3"/>
  <c r="B182" i="3"/>
  <c r="A182" i="3"/>
  <c r="B181" i="3"/>
  <c r="A181" i="3"/>
  <c r="B180" i="3"/>
  <c r="A180" i="3"/>
  <c r="B179" i="3"/>
  <c r="A179" i="3"/>
  <c r="B178" i="3"/>
  <c r="A178" i="3"/>
  <c r="B177" i="3"/>
  <c r="A177" i="3"/>
  <c r="B176" i="3"/>
  <c r="A176" i="3"/>
  <c r="B175" i="3"/>
  <c r="A175" i="3"/>
  <c r="B174" i="3"/>
  <c r="A174" i="3"/>
  <c r="B173" i="3"/>
  <c r="A173" i="3"/>
  <c r="B172" i="3"/>
  <c r="A172" i="3"/>
  <c r="B171" i="3"/>
  <c r="A171" i="3"/>
  <c r="B170" i="3"/>
  <c r="A170" i="3"/>
  <c r="B169" i="3"/>
  <c r="A169" i="3"/>
  <c r="B168" i="3"/>
  <c r="A168" i="3"/>
  <c r="B167" i="3"/>
  <c r="A167" i="3"/>
  <c r="B166" i="3"/>
  <c r="A166" i="3"/>
  <c r="B165" i="3"/>
  <c r="A165" i="3"/>
  <c r="B164" i="3"/>
  <c r="A164" i="3"/>
  <c r="B163" i="3"/>
  <c r="A163" i="3"/>
  <c r="B162" i="3"/>
  <c r="A162" i="3"/>
  <c r="B161" i="3"/>
  <c r="A161" i="3"/>
  <c r="B160" i="3"/>
  <c r="A160" i="3"/>
  <c r="B159" i="3"/>
  <c r="A159" i="3"/>
  <c r="B158" i="3"/>
  <c r="A158" i="3"/>
  <c r="B157" i="3"/>
  <c r="A157" i="3"/>
  <c r="B156" i="3"/>
  <c r="A156" i="3"/>
  <c r="B155" i="3"/>
  <c r="A155" i="3"/>
  <c r="B154" i="3"/>
  <c r="A154" i="3"/>
  <c r="B153" i="3"/>
  <c r="A153" i="3"/>
  <c r="B152" i="3"/>
  <c r="A152" i="3"/>
  <c r="B151" i="3"/>
  <c r="A151" i="3"/>
  <c r="B150" i="3"/>
  <c r="A150" i="3"/>
  <c r="B149" i="3"/>
  <c r="A149" i="3"/>
  <c r="B148" i="3"/>
  <c r="A148" i="3"/>
  <c r="B147" i="3"/>
  <c r="A147" i="3"/>
  <c r="B146" i="3"/>
  <c r="A146" i="3"/>
  <c r="B145" i="3"/>
  <c r="A145" i="3"/>
  <c r="B144" i="3"/>
  <c r="A144" i="3"/>
  <c r="B143" i="3"/>
  <c r="A143" i="3"/>
  <c r="B142" i="3"/>
  <c r="A142" i="3"/>
  <c r="B141" i="3"/>
  <c r="A141" i="3"/>
  <c r="B140" i="3"/>
  <c r="A140" i="3"/>
  <c r="B139" i="3"/>
  <c r="A139" i="3"/>
  <c r="B138" i="3"/>
  <c r="A138" i="3"/>
  <c r="B137" i="3"/>
  <c r="A137" i="3"/>
  <c r="B136" i="3"/>
  <c r="A136" i="3"/>
  <c r="B135" i="3"/>
  <c r="A135" i="3"/>
  <c r="B134" i="3"/>
  <c r="A134" i="3"/>
  <c r="B133" i="3"/>
  <c r="A133" i="3"/>
  <c r="B132" i="3"/>
  <c r="A132" i="3"/>
  <c r="B131" i="3"/>
  <c r="A131" i="3"/>
  <c r="B130" i="3"/>
  <c r="A130" i="3"/>
  <c r="B129" i="3"/>
  <c r="A129" i="3"/>
  <c r="B128" i="3"/>
  <c r="A128" i="3"/>
  <c r="B127" i="3"/>
  <c r="A127" i="3"/>
  <c r="Q121" i="3"/>
  <c r="Q120" i="3"/>
  <c r="Q119" i="3"/>
  <c r="I125" i="2" s="1"/>
  <c r="N107" i="3"/>
  <c r="N106" i="3"/>
  <c r="H111" i="2" s="1"/>
  <c r="L106" i="3"/>
  <c r="F111" i="2" s="1"/>
  <c r="K106" i="3"/>
  <c r="E111" i="2" s="1"/>
  <c r="J106" i="3"/>
  <c r="D111" i="2" s="1"/>
  <c r="K111" i="2" s="1"/>
  <c r="G106" i="3"/>
  <c r="N105" i="3"/>
  <c r="H110" i="2" s="1"/>
  <c r="L105" i="3"/>
  <c r="F110" i="2" s="1"/>
  <c r="K105" i="3"/>
  <c r="E110" i="2" s="1"/>
  <c r="J105" i="3"/>
  <c r="D110" i="2" s="1"/>
  <c r="K110" i="2" s="1"/>
  <c r="G105" i="3"/>
  <c r="N104" i="3"/>
  <c r="H109" i="2" s="1"/>
  <c r="L104" i="3"/>
  <c r="F109" i="2" s="1"/>
  <c r="K104" i="3"/>
  <c r="E109" i="2" s="1"/>
  <c r="J104" i="3"/>
  <c r="D109" i="2" s="1"/>
  <c r="K109" i="2" s="1"/>
  <c r="G104" i="3"/>
  <c r="N103" i="3"/>
  <c r="H108" i="2" s="1"/>
  <c r="L103" i="3"/>
  <c r="F108" i="2" s="1"/>
  <c r="K103" i="3"/>
  <c r="E108" i="2" s="1"/>
  <c r="J103" i="3"/>
  <c r="D108" i="2" s="1"/>
  <c r="K108" i="2" s="1"/>
  <c r="G103" i="3"/>
  <c r="N102" i="3"/>
  <c r="H107" i="2" s="1"/>
  <c r="L102" i="3"/>
  <c r="F107" i="2" s="1"/>
  <c r="K102" i="3"/>
  <c r="E107" i="2" s="1"/>
  <c r="J102" i="3"/>
  <c r="D107" i="2" s="1"/>
  <c r="K107" i="2" s="1"/>
  <c r="G102" i="3"/>
  <c r="N101" i="3"/>
  <c r="H106" i="2" s="1"/>
  <c r="L101" i="3"/>
  <c r="F106" i="2" s="1"/>
  <c r="K101" i="3"/>
  <c r="E106" i="2" s="1"/>
  <c r="J101" i="3"/>
  <c r="D106" i="2" s="1"/>
  <c r="K106" i="2" s="1"/>
  <c r="G101" i="3"/>
  <c r="N100" i="3"/>
  <c r="H105" i="2" s="1"/>
  <c r="L100" i="3"/>
  <c r="F105" i="2" s="1"/>
  <c r="K100" i="3"/>
  <c r="E105" i="2" s="1"/>
  <c r="J100" i="3"/>
  <c r="D105" i="2" s="1"/>
  <c r="K105" i="2" s="1"/>
  <c r="G100" i="3"/>
  <c r="N99" i="3"/>
  <c r="H104" i="2" s="1"/>
  <c r="L99" i="3"/>
  <c r="F104" i="2" s="1"/>
  <c r="K99" i="3"/>
  <c r="E104" i="2" s="1"/>
  <c r="J99" i="3"/>
  <c r="D104" i="2" s="1"/>
  <c r="K104" i="2" s="1"/>
  <c r="G99" i="3"/>
  <c r="N98" i="3"/>
  <c r="H103" i="2" s="1"/>
  <c r="L98" i="3"/>
  <c r="F103" i="2" s="1"/>
  <c r="K98" i="3"/>
  <c r="E103" i="2" s="1"/>
  <c r="J98" i="3"/>
  <c r="D103" i="2" s="1"/>
  <c r="K103" i="2" s="1"/>
  <c r="G98" i="3"/>
  <c r="N97" i="3"/>
  <c r="H102" i="2" s="1"/>
  <c r="L97" i="3"/>
  <c r="F102" i="2" s="1"/>
  <c r="K97" i="3"/>
  <c r="E102" i="2" s="1"/>
  <c r="J97" i="3"/>
  <c r="D102" i="2" s="1"/>
  <c r="K102" i="2" s="1"/>
  <c r="G97" i="3"/>
  <c r="N96" i="3"/>
  <c r="H101" i="2" s="1"/>
  <c r="L96" i="3"/>
  <c r="F101" i="2" s="1"/>
  <c r="K96" i="3"/>
  <c r="E101" i="2" s="1"/>
  <c r="J96" i="3"/>
  <c r="D101" i="2" s="1"/>
  <c r="K101" i="2" s="1"/>
  <c r="G96" i="3"/>
  <c r="N95" i="3"/>
  <c r="H100" i="2" s="1"/>
  <c r="L95" i="3"/>
  <c r="F100" i="2" s="1"/>
  <c r="K95" i="3"/>
  <c r="E100" i="2" s="1"/>
  <c r="J95" i="3"/>
  <c r="D100" i="2" s="1"/>
  <c r="K100" i="2" s="1"/>
  <c r="G95" i="3"/>
  <c r="N94" i="3"/>
  <c r="H99" i="2" s="1"/>
  <c r="L94" i="3"/>
  <c r="F99" i="2" s="1"/>
  <c r="K94" i="3"/>
  <c r="E99" i="2" s="1"/>
  <c r="J94" i="3"/>
  <c r="D99" i="2" s="1"/>
  <c r="K99" i="2" s="1"/>
  <c r="G94" i="3"/>
  <c r="N93" i="3"/>
  <c r="H98" i="2" s="1"/>
  <c r="L93" i="3"/>
  <c r="F98" i="2" s="1"/>
  <c r="K93" i="3"/>
  <c r="E98" i="2" s="1"/>
  <c r="J93" i="3"/>
  <c r="D98" i="2" s="1"/>
  <c r="K98" i="2" s="1"/>
  <c r="G93" i="3"/>
  <c r="N92" i="3"/>
  <c r="H97" i="2" s="1"/>
  <c r="L92" i="3"/>
  <c r="F97" i="2" s="1"/>
  <c r="K92" i="3"/>
  <c r="E97" i="2" s="1"/>
  <c r="J92" i="3"/>
  <c r="D97" i="2" s="1"/>
  <c r="K97" i="2" s="1"/>
  <c r="G92" i="3"/>
  <c r="N91" i="3"/>
  <c r="H96" i="2" s="1"/>
  <c r="L91" i="3"/>
  <c r="F96" i="2" s="1"/>
  <c r="K91" i="3"/>
  <c r="E96" i="2" s="1"/>
  <c r="J91" i="3"/>
  <c r="D96" i="2" s="1"/>
  <c r="K96" i="2" s="1"/>
  <c r="G91" i="3"/>
  <c r="N90" i="3"/>
  <c r="H95" i="2" s="1"/>
  <c r="L90" i="3"/>
  <c r="F95" i="2" s="1"/>
  <c r="K90" i="3"/>
  <c r="E95" i="2" s="1"/>
  <c r="J90" i="3"/>
  <c r="D95" i="2" s="1"/>
  <c r="K95" i="2" s="1"/>
  <c r="G90" i="3"/>
  <c r="N89" i="3"/>
  <c r="H94" i="2" s="1"/>
  <c r="L89" i="3"/>
  <c r="F94" i="2" s="1"/>
  <c r="K89" i="3"/>
  <c r="E94" i="2" s="1"/>
  <c r="J89" i="3"/>
  <c r="D94" i="2" s="1"/>
  <c r="K94" i="2" s="1"/>
  <c r="G89" i="3"/>
  <c r="N88" i="3"/>
  <c r="H93" i="2" s="1"/>
  <c r="L88" i="3"/>
  <c r="F93" i="2" s="1"/>
  <c r="K88" i="3"/>
  <c r="E93" i="2" s="1"/>
  <c r="J88" i="3"/>
  <c r="D93" i="2" s="1"/>
  <c r="K93" i="2" s="1"/>
  <c r="G88" i="3"/>
  <c r="N87" i="3"/>
  <c r="H92" i="2" s="1"/>
  <c r="L87" i="3"/>
  <c r="F92" i="2" s="1"/>
  <c r="K87" i="3"/>
  <c r="E92" i="2" s="1"/>
  <c r="J87" i="3"/>
  <c r="D92" i="2" s="1"/>
  <c r="K92" i="2" s="1"/>
  <c r="G87" i="3"/>
  <c r="N86" i="3"/>
  <c r="H91" i="2" s="1"/>
  <c r="L86" i="3"/>
  <c r="F91" i="2" s="1"/>
  <c r="K86" i="3"/>
  <c r="E91" i="2" s="1"/>
  <c r="J86" i="3"/>
  <c r="D91" i="2" s="1"/>
  <c r="K91" i="2" s="1"/>
  <c r="G86" i="3"/>
  <c r="N85" i="3"/>
  <c r="H90" i="2" s="1"/>
  <c r="L85" i="3"/>
  <c r="F90" i="2" s="1"/>
  <c r="K85" i="3"/>
  <c r="E90" i="2" s="1"/>
  <c r="J85" i="3"/>
  <c r="D90" i="2" s="1"/>
  <c r="K90" i="2" s="1"/>
  <c r="G85" i="3"/>
  <c r="N84" i="3"/>
  <c r="H89" i="2" s="1"/>
  <c r="L84" i="3"/>
  <c r="F89" i="2" s="1"/>
  <c r="K84" i="3"/>
  <c r="E89" i="2" s="1"/>
  <c r="J84" i="3"/>
  <c r="D89" i="2" s="1"/>
  <c r="K89" i="2" s="1"/>
  <c r="G84" i="3"/>
  <c r="N83" i="3"/>
  <c r="H88" i="2" s="1"/>
  <c r="L83" i="3"/>
  <c r="F88" i="2" s="1"/>
  <c r="K83" i="3"/>
  <c r="E88" i="2" s="1"/>
  <c r="J83" i="3"/>
  <c r="D88" i="2" s="1"/>
  <c r="K88" i="2" s="1"/>
  <c r="G83" i="3"/>
  <c r="N82" i="3"/>
  <c r="H87" i="2" s="1"/>
  <c r="L82" i="3"/>
  <c r="F87" i="2" s="1"/>
  <c r="K82" i="3"/>
  <c r="E87" i="2" s="1"/>
  <c r="J82" i="3"/>
  <c r="D87" i="2" s="1"/>
  <c r="K87" i="2" s="1"/>
  <c r="G82" i="3"/>
  <c r="N81" i="3"/>
  <c r="H86" i="2" s="1"/>
  <c r="L81" i="3"/>
  <c r="F86" i="2" s="1"/>
  <c r="K81" i="3"/>
  <c r="E86" i="2" s="1"/>
  <c r="J81" i="3"/>
  <c r="D86" i="2" s="1"/>
  <c r="K86" i="2" s="1"/>
  <c r="G81" i="3"/>
  <c r="N80" i="3"/>
  <c r="H85" i="2" s="1"/>
  <c r="L80" i="3"/>
  <c r="F85" i="2" s="1"/>
  <c r="K80" i="3"/>
  <c r="E85" i="2" s="1"/>
  <c r="J80" i="3"/>
  <c r="D85" i="2" s="1"/>
  <c r="K85" i="2" s="1"/>
  <c r="G80" i="3"/>
  <c r="N79" i="3"/>
  <c r="H84" i="2" s="1"/>
  <c r="L79" i="3"/>
  <c r="F84" i="2" s="1"/>
  <c r="K79" i="3"/>
  <c r="E84" i="2" s="1"/>
  <c r="J79" i="3"/>
  <c r="D84" i="2" s="1"/>
  <c r="K84" i="2" s="1"/>
  <c r="G79" i="3"/>
  <c r="N78" i="3"/>
  <c r="H83" i="2" s="1"/>
  <c r="L78" i="3"/>
  <c r="F83" i="2" s="1"/>
  <c r="K78" i="3"/>
  <c r="E83" i="2" s="1"/>
  <c r="J78" i="3"/>
  <c r="D83" i="2" s="1"/>
  <c r="K83" i="2" s="1"/>
  <c r="G78" i="3"/>
  <c r="N77" i="3"/>
  <c r="H82" i="2" s="1"/>
  <c r="L77" i="3"/>
  <c r="F82" i="2" s="1"/>
  <c r="K77" i="3"/>
  <c r="E82" i="2" s="1"/>
  <c r="J77" i="3"/>
  <c r="D82" i="2" s="1"/>
  <c r="K82" i="2" s="1"/>
  <c r="G77" i="3"/>
  <c r="N76" i="3"/>
  <c r="H81" i="2" s="1"/>
  <c r="L76" i="3"/>
  <c r="F81" i="2" s="1"/>
  <c r="K76" i="3"/>
  <c r="E81" i="2" s="1"/>
  <c r="J76" i="3"/>
  <c r="D81" i="2" s="1"/>
  <c r="K81" i="2" s="1"/>
  <c r="G76" i="3"/>
  <c r="N75" i="3"/>
  <c r="H80" i="2" s="1"/>
  <c r="L75" i="3"/>
  <c r="F80" i="2" s="1"/>
  <c r="K75" i="3"/>
  <c r="E80" i="2" s="1"/>
  <c r="J75" i="3"/>
  <c r="D80" i="2" s="1"/>
  <c r="K80" i="2" s="1"/>
  <c r="G75" i="3"/>
  <c r="N74" i="3"/>
  <c r="H79" i="2" s="1"/>
  <c r="L74" i="3"/>
  <c r="F79" i="2" s="1"/>
  <c r="K74" i="3"/>
  <c r="E79" i="2" s="1"/>
  <c r="J74" i="3"/>
  <c r="D79" i="2" s="1"/>
  <c r="K79" i="2" s="1"/>
  <c r="G74" i="3"/>
  <c r="N73" i="3"/>
  <c r="H78" i="2" s="1"/>
  <c r="L73" i="3"/>
  <c r="F78" i="2" s="1"/>
  <c r="K73" i="3"/>
  <c r="E78" i="2" s="1"/>
  <c r="J73" i="3"/>
  <c r="D78" i="2" s="1"/>
  <c r="K78" i="2" s="1"/>
  <c r="G73" i="3"/>
  <c r="N72" i="3"/>
  <c r="H77" i="2" s="1"/>
  <c r="L72" i="3"/>
  <c r="F77" i="2" s="1"/>
  <c r="K72" i="3"/>
  <c r="E77" i="2" s="1"/>
  <c r="J72" i="3"/>
  <c r="D77" i="2" s="1"/>
  <c r="K77" i="2" s="1"/>
  <c r="G72" i="3"/>
  <c r="N71" i="3"/>
  <c r="H76" i="2" s="1"/>
  <c r="L71" i="3"/>
  <c r="F76" i="2" s="1"/>
  <c r="K71" i="3"/>
  <c r="E76" i="2" s="1"/>
  <c r="J71" i="3"/>
  <c r="D76" i="2" s="1"/>
  <c r="K76" i="2" s="1"/>
  <c r="G71" i="3"/>
  <c r="N70" i="3"/>
  <c r="H75" i="2" s="1"/>
  <c r="L70" i="3"/>
  <c r="F75" i="2" s="1"/>
  <c r="K70" i="3"/>
  <c r="E75" i="2" s="1"/>
  <c r="J70" i="3"/>
  <c r="D75" i="2" s="1"/>
  <c r="K75" i="2" s="1"/>
  <c r="G70" i="3"/>
  <c r="N69" i="3"/>
  <c r="H74" i="2" s="1"/>
  <c r="L69" i="3"/>
  <c r="F74" i="2" s="1"/>
  <c r="K69" i="3"/>
  <c r="E74" i="2" s="1"/>
  <c r="J69" i="3"/>
  <c r="D74" i="2" s="1"/>
  <c r="K74" i="2" s="1"/>
  <c r="G69" i="3"/>
  <c r="N68" i="3"/>
  <c r="H73" i="2" s="1"/>
  <c r="L68" i="3"/>
  <c r="F73" i="2" s="1"/>
  <c r="K68" i="3"/>
  <c r="E73" i="2" s="1"/>
  <c r="J68" i="3"/>
  <c r="D73" i="2" s="1"/>
  <c r="K73" i="2" s="1"/>
  <c r="G68" i="3"/>
  <c r="N67" i="3"/>
  <c r="H72" i="2" s="1"/>
  <c r="L67" i="3"/>
  <c r="F72" i="2" s="1"/>
  <c r="K67" i="3"/>
  <c r="E72" i="2" s="1"/>
  <c r="J67" i="3"/>
  <c r="D72" i="2" s="1"/>
  <c r="K72" i="2" s="1"/>
  <c r="G67" i="3"/>
  <c r="N66" i="3"/>
  <c r="H71" i="2" s="1"/>
  <c r="L66" i="3"/>
  <c r="F71" i="2" s="1"/>
  <c r="K66" i="3"/>
  <c r="E71" i="2" s="1"/>
  <c r="J66" i="3"/>
  <c r="D71" i="2" s="1"/>
  <c r="K71" i="2" s="1"/>
  <c r="G66" i="3"/>
  <c r="N65" i="3"/>
  <c r="H70" i="2" s="1"/>
  <c r="L65" i="3"/>
  <c r="F70" i="2" s="1"/>
  <c r="K65" i="3"/>
  <c r="E70" i="2" s="1"/>
  <c r="J65" i="3"/>
  <c r="D70" i="2" s="1"/>
  <c r="K70" i="2" s="1"/>
  <c r="G65" i="3"/>
  <c r="N64" i="3"/>
  <c r="H69" i="2" s="1"/>
  <c r="L64" i="3"/>
  <c r="F69" i="2" s="1"/>
  <c r="K64" i="3"/>
  <c r="E69" i="2" s="1"/>
  <c r="J64" i="3"/>
  <c r="D69" i="2" s="1"/>
  <c r="K69" i="2" s="1"/>
  <c r="G64" i="3"/>
  <c r="N63" i="3"/>
  <c r="H68" i="2" s="1"/>
  <c r="L63" i="3"/>
  <c r="F68" i="2" s="1"/>
  <c r="K63" i="3"/>
  <c r="E68" i="2" s="1"/>
  <c r="J63" i="3"/>
  <c r="D68" i="2" s="1"/>
  <c r="K68" i="2" s="1"/>
  <c r="G63" i="3"/>
  <c r="N62" i="3"/>
  <c r="H67" i="2" s="1"/>
  <c r="L62" i="3"/>
  <c r="F67" i="2" s="1"/>
  <c r="K62" i="3"/>
  <c r="E67" i="2" s="1"/>
  <c r="J62" i="3"/>
  <c r="D67" i="2" s="1"/>
  <c r="K67" i="2" s="1"/>
  <c r="G62" i="3"/>
  <c r="N61" i="3"/>
  <c r="H66" i="2" s="1"/>
  <c r="L61" i="3"/>
  <c r="F66" i="2" s="1"/>
  <c r="K61" i="3"/>
  <c r="E66" i="2" s="1"/>
  <c r="J61" i="3"/>
  <c r="D66" i="2" s="1"/>
  <c r="K66" i="2" s="1"/>
  <c r="G61" i="3"/>
  <c r="N60" i="3"/>
  <c r="H65" i="2" s="1"/>
  <c r="L60" i="3"/>
  <c r="F65" i="2" s="1"/>
  <c r="K60" i="3"/>
  <c r="E65" i="2" s="1"/>
  <c r="J60" i="3"/>
  <c r="D65" i="2" s="1"/>
  <c r="K65" i="2" s="1"/>
  <c r="G60" i="3"/>
  <c r="N59" i="3"/>
  <c r="H64" i="2" s="1"/>
  <c r="L59" i="3"/>
  <c r="F64" i="2" s="1"/>
  <c r="K59" i="3"/>
  <c r="E64" i="2" s="1"/>
  <c r="J59" i="3"/>
  <c r="D64" i="2" s="1"/>
  <c r="K64" i="2" s="1"/>
  <c r="G59" i="3"/>
  <c r="N58" i="3"/>
  <c r="H63" i="2" s="1"/>
  <c r="L58" i="3"/>
  <c r="F63" i="2" s="1"/>
  <c r="K58" i="3"/>
  <c r="E63" i="2" s="1"/>
  <c r="J58" i="3"/>
  <c r="D63" i="2" s="1"/>
  <c r="K63" i="2" s="1"/>
  <c r="G58" i="3"/>
  <c r="N57" i="3"/>
  <c r="H62" i="2" s="1"/>
  <c r="L57" i="3"/>
  <c r="F62" i="2" s="1"/>
  <c r="K57" i="3"/>
  <c r="E62" i="2" s="1"/>
  <c r="J57" i="3"/>
  <c r="D62" i="2" s="1"/>
  <c r="K62" i="2" s="1"/>
  <c r="G57" i="3"/>
  <c r="N56" i="3"/>
  <c r="H61" i="2" s="1"/>
  <c r="L56" i="3"/>
  <c r="F61" i="2" s="1"/>
  <c r="K56" i="3"/>
  <c r="E61" i="2" s="1"/>
  <c r="J56" i="3"/>
  <c r="D61" i="2" s="1"/>
  <c r="K61" i="2" s="1"/>
  <c r="G56" i="3"/>
  <c r="N55" i="3"/>
  <c r="H60" i="2" s="1"/>
  <c r="L55" i="3"/>
  <c r="F60" i="2" s="1"/>
  <c r="K55" i="3"/>
  <c r="E60" i="2" s="1"/>
  <c r="J55" i="3"/>
  <c r="D60" i="2" s="1"/>
  <c r="K60" i="2" s="1"/>
  <c r="G55" i="3"/>
  <c r="N54" i="3"/>
  <c r="H59" i="2" s="1"/>
  <c r="L54" i="3"/>
  <c r="F59" i="2" s="1"/>
  <c r="K54" i="3"/>
  <c r="E59" i="2" s="1"/>
  <c r="J54" i="3"/>
  <c r="D59" i="2" s="1"/>
  <c r="K59" i="2" s="1"/>
  <c r="G54" i="3"/>
  <c r="N53" i="3"/>
  <c r="H58" i="2" s="1"/>
  <c r="L53" i="3"/>
  <c r="F58" i="2" s="1"/>
  <c r="K53" i="3"/>
  <c r="E58" i="2" s="1"/>
  <c r="J53" i="3"/>
  <c r="D58" i="2" s="1"/>
  <c r="K58" i="2" s="1"/>
  <c r="G53" i="3"/>
  <c r="N52" i="3"/>
  <c r="H57" i="2" s="1"/>
  <c r="L52" i="3"/>
  <c r="F57" i="2" s="1"/>
  <c r="K52" i="3"/>
  <c r="E57" i="2" s="1"/>
  <c r="J52" i="3"/>
  <c r="D57" i="2" s="1"/>
  <c r="K57" i="2" s="1"/>
  <c r="G52" i="3"/>
  <c r="N51" i="3"/>
  <c r="H56" i="2" s="1"/>
  <c r="L51" i="3"/>
  <c r="F56" i="2" s="1"/>
  <c r="K51" i="3"/>
  <c r="E56" i="2" s="1"/>
  <c r="J51" i="3"/>
  <c r="D56" i="2" s="1"/>
  <c r="K56" i="2" s="1"/>
  <c r="G51" i="3"/>
  <c r="N50" i="3"/>
  <c r="H55" i="2" s="1"/>
  <c r="L50" i="3"/>
  <c r="F55" i="2" s="1"/>
  <c r="K50" i="3"/>
  <c r="E55" i="2" s="1"/>
  <c r="J50" i="3"/>
  <c r="D55" i="2" s="1"/>
  <c r="K55" i="2" s="1"/>
  <c r="G50" i="3"/>
  <c r="N49" i="3"/>
  <c r="H54" i="2" s="1"/>
  <c r="L49" i="3"/>
  <c r="F54" i="2" s="1"/>
  <c r="K49" i="3"/>
  <c r="E54" i="2" s="1"/>
  <c r="J49" i="3"/>
  <c r="D54" i="2" s="1"/>
  <c r="K54" i="2" s="1"/>
  <c r="G49" i="3"/>
  <c r="N48" i="3"/>
  <c r="H53" i="2" s="1"/>
  <c r="L48" i="3"/>
  <c r="F53" i="2" s="1"/>
  <c r="K48" i="3"/>
  <c r="E53" i="2" s="1"/>
  <c r="J48" i="3"/>
  <c r="D53" i="2" s="1"/>
  <c r="K53" i="2" s="1"/>
  <c r="G48" i="3"/>
  <c r="N47" i="3"/>
  <c r="H52" i="2" s="1"/>
  <c r="L47" i="3"/>
  <c r="F52" i="2" s="1"/>
  <c r="K47" i="3"/>
  <c r="E52" i="2" s="1"/>
  <c r="J47" i="3"/>
  <c r="D52" i="2" s="1"/>
  <c r="K52" i="2" s="1"/>
  <c r="G47" i="3"/>
  <c r="N46" i="3"/>
  <c r="H51" i="2" s="1"/>
  <c r="L46" i="3"/>
  <c r="F51" i="2" s="1"/>
  <c r="K46" i="3"/>
  <c r="E51" i="2" s="1"/>
  <c r="J46" i="3"/>
  <c r="D51" i="2" s="1"/>
  <c r="K51" i="2" s="1"/>
  <c r="G46" i="3"/>
  <c r="N45" i="3"/>
  <c r="H50" i="2" s="1"/>
  <c r="L45" i="3"/>
  <c r="F50" i="2" s="1"/>
  <c r="K45" i="3"/>
  <c r="E50" i="2" s="1"/>
  <c r="J45" i="3"/>
  <c r="D50" i="2" s="1"/>
  <c r="K50" i="2" s="1"/>
  <c r="G45" i="3"/>
  <c r="N44" i="3"/>
  <c r="H49" i="2" s="1"/>
  <c r="L44" i="3"/>
  <c r="F49" i="2" s="1"/>
  <c r="K44" i="3"/>
  <c r="E49" i="2" s="1"/>
  <c r="J44" i="3"/>
  <c r="D49" i="2" s="1"/>
  <c r="K49" i="2" s="1"/>
  <c r="G44" i="3"/>
  <c r="N43" i="3"/>
  <c r="H48" i="2" s="1"/>
  <c r="L43" i="3"/>
  <c r="F48" i="2" s="1"/>
  <c r="K43" i="3"/>
  <c r="E48" i="2" s="1"/>
  <c r="J43" i="3"/>
  <c r="D48" i="2" s="1"/>
  <c r="K48" i="2" s="1"/>
  <c r="G43" i="3"/>
  <c r="N42" i="3"/>
  <c r="H47" i="2" s="1"/>
  <c r="L42" i="3"/>
  <c r="F47" i="2" s="1"/>
  <c r="K42" i="3"/>
  <c r="E47" i="2" s="1"/>
  <c r="J42" i="3"/>
  <c r="D47" i="2" s="1"/>
  <c r="K47" i="2" s="1"/>
  <c r="G42" i="3"/>
  <c r="N41" i="3"/>
  <c r="H46" i="2" s="1"/>
  <c r="L41" i="3"/>
  <c r="F46" i="2" s="1"/>
  <c r="K41" i="3"/>
  <c r="E46" i="2" s="1"/>
  <c r="J41" i="3"/>
  <c r="D46" i="2" s="1"/>
  <c r="K46" i="2" s="1"/>
  <c r="G41" i="3"/>
  <c r="N40" i="3"/>
  <c r="H45" i="2" s="1"/>
  <c r="L40" i="3"/>
  <c r="F45" i="2" s="1"/>
  <c r="K40" i="3"/>
  <c r="E45" i="2" s="1"/>
  <c r="J40" i="3"/>
  <c r="D45" i="2" s="1"/>
  <c r="K45" i="2" s="1"/>
  <c r="G40" i="3"/>
  <c r="N39" i="3"/>
  <c r="H44" i="2" s="1"/>
  <c r="L39" i="3"/>
  <c r="F44" i="2" s="1"/>
  <c r="K39" i="3"/>
  <c r="E44" i="2" s="1"/>
  <c r="J39" i="3"/>
  <c r="D44" i="2" s="1"/>
  <c r="K44" i="2" s="1"/>
  <c r="G39" i="3"/>
  <c r="N38" i="3"/>
  <c r="H43" i="2" s="1"/>
  <c r="L38" i="3"/>
  <c r="F43" i="2" s="1"/>
  <c r="K38" i="3"/>
  <c r="E43" i="2" s="1"/>
  <c r="J38" i="3"/>
  <c r="D43" i="2" s="1"/>
  <c r="K43" i="2" s="1"/>
  <c r="G38" i="3"/>
  <c r="N37" i="3"/>
  <c r="H42" i="2" s="1"/>
  <c r="L37" i="3"/>
  <c r="F42" i="2" s="1"/>
  <c r="K37" i="3"/>
  <c r="E42" i="2" s="1"/>
  <c r="J37" i="3"/>
  <c r="D42" i="2" s="1"/>
  <c r="K42" i="2" s="1"/>
  <c r="G37" i="3"/>
  <c r="N36" i="3"/>
  <c r="H41" i="2" s="1"/>
  <c r="L36" i="3"/>
  <c r="F41" i="2" s="1"/>
  <c r="K36" i="3"/>
  <c r="E41" i="2" s="1"/>
  <c r="J36" i="3"/>
  <c r="D41" i="2" s="1"/>
  <c r="K41" i="2" s="1"/>
  <c r="G36" i="3"/>
  <c r="N35" i="3"/>
  <c r="H40" i="2" s="1"/>
  <c r="L35" i="3"/>
  <c r="F40" i="2" s="1"/>
  <c r="K35" i="3"/>
  <c r="E40" i="2" s="1"/>
  <c r="J35" i="3"/>
  <c r="D40" i="2" s="1"/>
  <c r="K40" i="2" s="1"/>
  <c r="G35" i="3"/>
  <c r="N34" i="3"/>
  <c r="H39" i="2" s="1"/>
  <c r="L34" i="3"/>
  <c r="F39" i="2" s="1"/>
  <c r="K34" i="3"/>
  <c r="E39" i="2" s="1"/>
  <c r="J34" i="3"/>
  <c r="D39" i="2" s="1"/>
  <c r="K39" i="2" s="1"/>
  <c r="G34" i="3"/>
  <c r="N33" i="3"/>
  <c r="H38" i="2" s="1"/>
  <c r="L33" i="3"/>
  <c r="F38" i="2" s="1"/>
  <c r="K33" i="3"/>
  <c r="E38" i="2" s="1"/>
  <c r="J33" i="3"/>
  <c r="D38" i="2" s="1"/>
  <c r="K38" i="2" s="1"/>
  <c r="G33" i="3"/>
  <c r="N32" i="3"/>
  <c r="H37" i="2" s="1"/>
  <c r="L32" i="3"/>
  <c r="F37" i="2" s="1"/>
  <c r="K32" i="3"/>
  <c r="E37" i="2" s="1"/>
  <c r="J32" i="3"/>
  <c r="D37" i="2" s="1"/>
  <c r="K37" i="2" s="1"/>
  <c r="G32" i="3"/>
  <c r="N31" i="3"/>
  <c r="H36" i="2" s="1"/>
  <c r="L31" i="3"/>
  <c r="F36" i="2" s="1"/>
  <c r="K31" i="3"/>
  <c r="E36" i="2" s="1"/>
  <c r="J31" i="3"/>
  <c r="D36" i="2" s="1"/>
  <c r="K36" i="2" s="1"/>
  <c r="G31" i="3"/>
  <c r="N30" i="3"/>
  <c r="H35" i="2" s="1"/>
  <c r="L30" i="3"/>
  <c r="F35" i="2" s="1"/>
  <c r="K30" i="3"/>
  <c r="E35" i="2" s="1"/>
  <c r="J30" i="3"/>
  <c r="D35" i="2" s="1"/>
  <c r="K35" i="2" s="1"/>
  <c r="G30" i="3"/>
  <c r="N29" i="3"/>
  <c r="H34" i="2" s="1"/>
  <c r="L29" i="3"/>
  <c r="F34" i="2" s="1"/>
  <c r="K29" i="3"/>
  <c r="E34" i="2" s="1"/>
  <c r="J29" i="3"/>
  <c r="D34" i="2" s="1"/>
  <c r="K34" i="2" s="1"/>
  <c r="G29" i="3"/>
  <c r="N28" i="3"/>
  <c r="H33" i="2" s="1"/>
  <c r="L28" i="3"/>
  <c r="F33" i="2" s="1"/>
  <c r="K28" i="3"/>
  <c r="E33" i="2" s="1"/>
  <c r="J28" i="3"/>
  <c r="D33" i="2" s="1"/>
  <c r="K33" i="2" s="1"/>
  <c r="G28" i="3"/>
  <c r="N27" i="3"/>
  <c r="H32" i="2" s="1"/>
  <c r="L27" i="3"/>
  <c r="F32" i="2" s="1"/>
  <c r="K27" i="3"/>
  <c r="E32" i="2" s="1"/>
  <c r="J27" i="3"/>
  <c r="D32" i="2" s="1"/>
  <c r="K32" i="2" s="1"/>
  <c r="G27" i="3"/>
  <c r="N26" i="3"/>
  <c r="H31" i="2" s="1"/>
  <c r="L26" i="3"/>
  <c r="F31" i="2" s="1"/>
  <c r="K26" i="3"/>
  <c r="E31" i="2" s="1"/>
  <c r="J26" i="3"/>
  <c r="D31" i="2" s="1"/>
  <c r="K31" i="2" s="1"/>
  <c r="G26" i="3"/>
  <c r="N25" i="3"/>
  <c r="H30" i="2" s="1"/>
  <c r="L25" i="3"/>
  <c r="F30" i="2" s="1"/>
  <c r="K25" i="3"/>
  <c r="E30" i="2" s="1"/>
  <c r="J25" i="3"/>
  <c r="D30" i="2" s="1"/>
  <c r="K30" i="2" s="1"/>
  <c r="G25" i="3"/>
  <c r="N24" i="3"/>
  <c r="H29" i="2" s="1"/>
  <c r="L24" i="3"/>
  <c r="F29" i="2" s="1"/>
  <c r="K24" i="3"/>
  <c r="E29" i="2" s="1"/>
  <c r="J24" i="3"/>
  <c r="D29" i="2" s="1"/>
  <c r="K29" i="2" s="1"/>
  <c r="G24" i="3"/>
  <c r="N23" i="3"/>
  <c r="H28" i="2" s="1"/>
  <c r="L23" i="3"/>
  <c r="F28" i="2" s="1"/>
  <c r="K23" i="3"/>
  <c r="E28" i="2" s="1"/>
  <c r="J23" i="3"/>
  <c r="D28" i="2" s="1"/>
  <c r="K28" i="2" s="1"/>
  <c r="G23" i="3"/>
  <c r="N22" i="3"/>
  <c r="H27" i="2" s="1"/>
  <c r="L22" i="3"/>
  <c r="F27" i="2" s="1"/>
  <c r="K22" i="3"/>
  <c r="E27" i="2" s="1"/>
  <c r="J22" i="3"/>
  <c r="D27" i="2" s="1"/>
  <c r="K27" i="2" s="1"/>
  <c r="G22" i="3"/>
  <c r="N21" i="3"/>
  <c r="H26" i="2" s="1"/>
  <c r="L21" i="3"/>
  <c r="F26" i="2" s="1"/>
  <c r="K21" i="3"/>
  <c r="E26" i="2" s="1"/>
  <c r="J21" i="3"/>
  <c r="D26" i="2" s="1"/>
  <c r="K26" i="2" s="1"/>
  <c r="G21" i="3"/>
  <c r="N20" i="3"/>
  <c r="H25" i="2" s="1"/>
  <c r="L20" i="3"/>
  <c r="F25" i="2" s="1"/>
  <c r="K20" i="3"/>
  <c r="E25" i="2" s="1"/>
  <c r="J20" i="3"/>
  <c r="D25" i="2" s="1"/>
  <c r="K25" i="2" s="1"/>
  <c r="G20" i="3"/>
  <c r="N19" i="3"/>
  <c r="H24" i="2" s="1"/>
  <c r="L19" i="3"/>
  <c r="F24" i="2" s="1"/>
  <c r="K19" i="3"/>
  <c r="E24" i="2" s="1"/>
  <c r="J19" i="3"/>
  <c r="D24" i="2" s="1"/>
  <c r="K24" i="2" s="1"/>
  <c r="G19" i="3"/>
  <c r="N18" i="3"/>
  <c r="H23" i="2" s="1"/>
  <c r="L18" i="3"/>
  <c r="F23" i="2" s="1"/>
  <c r="K18" i="3"/>
  <c r="E23" i="2" s="1"/>
  <c r="J18" i="3"/>
  <c r="D23" i="2" s="1"/>
  <c r="K23" i="2" s="1"/>
  <c r="G18" i="3"/>
  <c r="N17" i="3"/>
  <c r="H22" i="2" s="1"/>
  <c r="L17" i="3"/>
  <c r="F22" i="2" s="1"/>
  <c r="K17" i="3"/>
  <c r="E22" i="2" s="1"/>
  <c r="J17" i="3"/>
  <c r="D22" i="2" s="1"/>
  <c r="K22" i="2" s="1"/>
  <c r="G17" i="3"/>
  <c r="N16" i="3"/>
  <c r="H21" i="2" s="1"/>
  <c r="L16" i="3"/>
  <c r="F21" i="2" s="1"/>
  <c r="K16" i="3"/>
  <c r="E21" i="2" s="1"/>
  <c r="J16" i="3"/>
  <c r="D21" i="2" s="1"/>
  <c r="K21" i="2" s="1"/>
  <c r="G16" i="3"/>
  <c r="N15" i="3"/>
  <c r="H20" i="2" s="1"/>
  <c r="L15" i="3"/>
  <c r="F20" i="2" s="1"/>
  <c r="K15" i="3"/>
  <c r="E20" i="2" s="1"/>
  <c r="J15" i="3"/>
  <c r="D20" i="2" s="1"/>
  <c r="K20" i="2" s="1"/>
  <c r="G15" i="3"/>
  <c r="N14" i="3"/>
  <c r="H19" i="2" s="1"/>
  <c r="L14" i="3"/>
  <c r="F19" i="2" s="1"/>
  <c r="K14" i="3"/>
  <c r="E19" i="2" s="1"/>
  <c r="J14" i="3"/>
  <c r="D19" i="2" s="1"/>
  <c r="K19" i="2" s="1"/>
  <c r="G14" i="3"/>
  <c r="N13" i="3"/>
  <c r="H18" i="2" s="1"/>
  <c r="L13" i="3"/>
  <c r="F18" i="2" s="1"/>
  <c r="K13" i="3"/>
  <c r="E18" i="2" s="1"/>
  <c r="J13" i="3"/>
  <c r="D18" i="2" s="1"/>
  <c r="K18" i="2" s="1"/>
  <c r="G13" i="3"/>
  <c r="N12" i="3"/>
  <c r="H17" i="2" s="1"/>
  <c r="L12" i="3"/>
  <c r="F17" i="2" s="1"/>
  <c r="K12" i="3"/>
  <c r="E17" i="2" s="1"/>
  <c r="J12" i="3"/>
  <c r="D17" i="2" s="1"/>
  <c r="K17" i="2" s="1"/>
  <c r="G12" i="3"/>
  <c r="N11" i="3"/>
  <c r="H16" i="2" s="1"/>
  <c r="L11" i="3"/>
  <c r="F16" i="2" s="1"/>
  <c r="K11" i="3"/>
  <c r="E16" i="2" s="1"/>
  <c r="J11" i="3"/>
  <c r="D16" i="2" s="1"/>
  <c r="K16" i="2" s="1"/>
  <c r="G11" i="3"/>
  <c r="N10" i="3"/>
  <c r="H15" i="2" s="1"/>
  <c r="L10" i="3"/>
  <c r="F15" i="2" s="1"/>
  <c r="K10" i="3"/>
  <c r="E15" i="2" s="1"/>
  <c r="J10" i="3"/>
  <c r="D15" i="2" s="1"/>
  <c r="K15" i="2" s="1"/>
  <c r="G10" i="3"/>
  <c r="N9" i="3"/>
  <c r="H14" i="2" s="1"/>
  <c r="L9" i="3"/>
  <c r="F14" i="2" s="1"/>
  <c r="K9" i="3"/>
  <c r="E14" i="2" s="1"/>
  <c r="J9" i="3"/>
  <c r="D14" i="2" s="1"/>
  <c r="K14" i="2" s="1"/>
  <c r="G9" i="3"/>
  <c r="N8" i="3"/>
  <c r="H13" i="2" s="1"/>
  <c r="L8" i="3"/>
  <c r="F13" i="2" s="1"/>
  <c r="K8" i="3"/>
  <c r="E13" i="2" s="1"/>
  <c r="J8" i="3"/>
  <c r="D13" i="2" s="1"/>
  <c r="K13" i="2" s="1"/>
  <c r="G8" i="3"/>
  <c r="N7" i="3"/>
  <c r="H12" i="2" s="1"/>
  <c r="L7" i="3"/>
  <c r="F12" i="2" s="1"/>
  <c r="K7" i="3"/>
  <c r="E12" i="2" s="1"/>
  <c r="J7" i="3"/>
  <c r="D12" i="2" s="1"/>
  <c r="K12" i="2" s="1"/>
  <c r="G7" i="3"/>
  <c r="N6" i="3"/>
  <c r="H11" i="2" s="1"/>
  <c r="L6" i="3"/>
  <c r="F11" i="2" s="1"/>
  <c r="K6" i="3"/>
  <c r="E11" i="2" s="1"/>
  <c r="J6" i="3"/>
  <c r="D11" i="2" s="1"/>
  <c r="K11" i="2" s="1"/>
  <c r="G6" i="3"/>
  <c r="N5" i="3"/>
  <c r="H10" i="2" s="1"/>
  <c r="L5" i="3"/>
  <c r="F10" i="2" s="1"/>
  <c r="K5" i="3"/>
  <c r="E10" i="2" s="1"/>
  <c r="J5" i="3"/>
  <c r="D10" i="2" s="1"/>
  <c r="K10" i="2" s="1"/>
  <c r="G5" i="3"/>
  <c r="N4" i="3"/>
  <c r="H9" i="2" s="1"/>
  <c r="L4" i="3"/>
  <c r="F9" i="2" s="1"/>
  <c r="K4" i="3"/>
  <c r="E9" i="2" s="1"/>
  <c r="J4" i="3"/>
  <c r="D9" i="2" s="1"/>
  <c r="K9" i="2" s="1"/>
  <c r="G4" i="3"/>
  <c r="N3" i="3"/>
  <c r="H8" i="2" s="1"/>
  <c r="L3" i="3"/>
  <c r="K3" i="3"/>
  <c r="E8" i="2" s="1"/>
  <c r="J3" i="3"/>
  <c r="D8" i="2" s="1"/>
  <c r="C8" i="2"/>
  <c r="G3" i="3"/>
  <c r="I127" i="2"/>
  <c r="I126" i="2"/>
  <c r="E346" i="1"/>
  <c r="G330" i="1"/>
  <c r="E318" i="1"/>
  <c r="I297" i="1"/>
  <c r="K297" i="1" s="1"/>
  <c r="E290" i="1"/>
  <c r="G268" i="1"/>
  <c r="G296" i="1" s="1"/>
  <c r="E264" i="1"/>
  <c r="E238" i="1"/>
  <c r="E212" i="1"/>
  <c r="E181" i="1"/>
  <c r="E153" i="1"/>
  <c r="G136" i="1"/>
  <c r="G135" i="1"/>
  <c r="L116" i="1"/>
  <c r="O112" i="1"/>
  <c r="F111" i="1"/>
  <c r="G109" i="1"/>
  <c r="G108" i="1"/>
  <c r="L96" i="1"/>
  <c r="F91" i="1"/>
  <c r="I92" i="1" s="1"/>
  <c r="K92" i="1" s="1"/>
  <c r="G90" i="1"/>
  <c r="G89" i="1"/>
  <c r="I75" i="1"/>
  <c r="O63" i="1"/>
  <c r="L62" i="1" s="1"/>
  <c r="C61" i="1"/>
  <c r="C60" i="1"/>
  <c r="C62" i="1" s="1"/>
  <c r="L58" i="1"/>
  <c r="I52" i="1"/>
  <c r="K52" i="1" s="1"/>
  <c r="F51" i="1"/>
  <c r="K47" i="1"/>
  <c r="C41" i="1"/>
  <c r="C40" i="1"/>
  <c r="C42" i="1" s="1"/>
  <c r="L38" i="1"/>
  <c r="F31" i="1"/>
  <c r="I32" i="1" s="1"/>
  <c r="K32" i="1" s="1"/>
  <c r="K26" i="1"/>
  <c r="G25" i="1"/>
  <c r="G46" i="1" s="1"/>
  <c r="F19" i="1"/>
  <c r="I20" i="1" s="1"/>
  <c r="M17" i="1"/>
  <c r="I15" i="1"/>
  <c r="K15" i="1" s="1"/>
  <c r="L12" i="1"/>
  <c r="L24" i="1" s="1"/>
  <c r="M9" i="1"/>
  <c r="M7" i="1"/>
  <c r="K8" i="2" l="1"/>
  <c r="L111" i="3"/>
  <c r="F116" i="2" s="1"/>
  <c r="F8" i="2"/>
  <c r="Q5099" i="3"/>
  <c r="C113" i="2"/>
  <c r="K112" i="3"/>
  <c r="E117" i="2" s="1"/>
  <c r="I111" i="3"/>
  <c r="J108" i="3"/>
  <c r="N112" i="3"/>
  <c r="H117" i="2" s="1"/>
  <c r="I114" i="3"/>
  <c r="I113" i="3"/>
  <c r="N114" i="3"/>
  <c r="H119" i="2" s="1"/>
  <c r="N108" i="3"/>
  <c r="J112" i="3"/>
  <c r="D117" i="2" s="1"/>
  <c r="I115" i="3"/>
  <c r="L114" i="3"/>
  <c r="F119" i="2" s="1"/>
  <c r="K113" i="3"/>
  <c r="E118" i="2" s="1"/>
  <c r="G108" i="3"/>
  <c r="J115" i="3"/>
  <c r="D120" i="2" s="1"/>
  <c r="L112" i="3"/>
  <c r="F117" i="2" s="1"/>
  <c r="K115" i="3"/>
  <c r="E120" i="2" s="1"/>
  <c r="D113" i="2"/>
  <c r="E113" i="2"/>
  <c r="G113" i="2"/>
  <c r="H113" i="2"/>
  <c r="I112" i="3"/>
  <c r="J113" i="3"/>
  <c r="D118" i="2" s="1"/>
  <c r="L115" i="3"/>
  <c r="F120" i="2" s="1"/>
  <c r="N111" i="3"/>
  <c r="H116" i="2" s="1"/>
  <c r="N115" i="3"/>
  <c r="H120" i="2" s="1"/>
  <c r="J111" i="3"/>
  <c r="D116" i="2" s="1"/>
  <c r="K108" i="3"/>
  <c r="K114" i="3"/>
  <c r="E119" i="2" s="1"/>
  <c r="L108" i="3"/>
  <c r="J114" i="3"/>
  <c r="D119" i="2" s="1"/>
  <c r="L113" i="3"/>
  <c r="F118" i="2" s="1"/>
  <c r="I108" i="3"/>
  <c r="N113" i="3"/>
  <c r="H118" i="2" s="1"/>
  <c r="K111" i="3"/>
  <c r="E116" i="2" s="1"/>
  <c r="O20" i="1"/>
  <c r="K20" i="1"/>
  <c r="L45" i="1"/>
  <c r="I72" i="1"/>
  <c r="M46" i="1"/>
  <c r="O34" i="1"/>
  <c r="P34" i="1" s="1"/>
  <c r="M29" i="1"/>
  <c r="O139" i="1"/>
  <c r="L143" i="1" s="1"/>
  <c r="G164" i="1"/>
  <c r="I112" i="1"/>
  <c r="K112" i="1" s="1"/>
  <c r="F138" i="1"/>
  <c r="G162" i="1"/>
  <c r="L39" i="1"/>
  <c r="L41" i="1" s="1"/>
  <c r="G324" i="1"/>
  <c r="M25" i="1"/>
  <c r="M14" i="1"/>
  <c r="I269" i="1"/>
  <c r="O21" i="1"/>
  <c r="P21" i="1" s="1"/>
  <c r="C117" i="2" l="1"/>
  <c r="K117" i="2" s="1"/>
  <c r="Q112" i="3"/>
  <c r="C119" i="2"/>
  <c r="K119" i="2" s="1"/>
  <c r="Q114" i="3"/>
  <c r="C118" i="2"/>
  <c r="K118" i="2" s="1"/>
  <c r="Q113" i="3"/>
  <c r="C120" i="2"/>
  <c r="K120" i="2" s="1"/>
  <c r="Q115" i="3"/>
  <c r="C116" i="2"/>
  <c r="K116" i="2" s="1"/>
  <c r="Q111" i="3"/>
  <c r="E121" i="2"/>
  <c r="D121" i="2"/>
  <c r="F121" i="2"/>
  <c r="F113" i="2"/>
  <c r="N116" i="3"/>
  <c r="K116" i="3"/>
  <c r="K113" i="2"/>
  <c r="J116" i="3"/>
  <c r="G116" i="2"/>
  <c r="M108" i="3"/>
  <c r="L116" i="3"/>
  <c r="I116" i="3"/>
  <c r="K269" i="1"/>
  <c r="F166" i="1"/>
  <c r="G193" i="1"/>
  <c r="I76" i="1"/>
  <c r="I79" i="1" s="1"/>
  <c r="G86" i="1" s="1"/>
  <c r="L74" i="1"/>
  <c r="O74" i="1" s="1"/>
  <c r="I139" i="1"/>
  <c r="K139" i="1" s="1"/>
  <c r="O54" i="1"/>
  <c r="P54" i="1" s="1"/>
  <c r="M49" i="1"/>
  <c r="L59" i="1"/>
  <c r="L61" i="1" s="1"/>
  <c r="L65" i="1" s="1"/>
  <c r="L67" i="1" s="1"/>
  <c r="I325" i="1"/>
  <c r="G352" i="1"/>
  <c r="G195" i="1"/>
  <c r="L171" i="1"/>
  <c r="O167" i="1"/>
  <c r="C121" i="2" l="1"/>
  <c r="K121" i="2"/>
  <c r="I128" i="2" s="1"/>
  <c r="H121" i="2"/>
  <c r="G121" i="2"/>
  <c r="Q116" i="3"/>
  <c r="Q122" i="3" s="1"/>
  <c r="M116" i="3"/>
  <c r="O198" i="1"/>
  <c r="G221" i="1"/>
  <c r="L202" i="1"/>
  <c r="K353" i="1"/>
  <c r="I87" i="1"/>
  <c r="K87" i="1" s="1"/>
  <c r="M86" i="1"/>
  <c r="G105" i="1"/>
  <c r="L85" i="1"/>
  <c r="K325" i="1"/>
  <c r="F197" i="1"/>
  <c r="G219" i="1"/>
  <c r="I167" i="1"/>
  <c r="K167" i="1" s="1"/>
  <c r="G132" i="1" l="1"/>
  <c r="I106" i="1"/>
  <c r="L104" i="1"/>
  <c r="G245" i="1"/>
  <c r="F223" i="1"/>
  <c r="I198" i="1"/>
  <c r="K198" i="1" s="1"/>
  <c r="L98" i="1"/>
  <c r="L100" i="1" s="1"/>
  <c r="O94" i="1"/>
  <c r="P94" i="1" s="1"/>
  <c r="M91" i="1"/>
  <c r="O224" i="1"/>
  <c r="G247" i="1" s="1"/>
  <c r="L228" i="1"/>
  <c r="I224" i="1" l="1"/>
  <c r="K224" i="1" s="1"/>
  <c r="G271" i="1"/>
  <c r="F249" i="1"/>
  <c r="L254" i="1"/>
  <c r="G273" i="1"/>
  <c r="O250" i="1"/>
  <c r="O114" i="1"/>
  <c r="P114" i="1" s="1"/>
  <c r="L120" i="1"/>
  <c r="L118" i="1"/>
  <c r="M111" i="1"/>
  <c r="I116" i="1"/>
  <c r="K106" i="1"/>
  <c r="G159" i="1"/>
  <c r="M133" i="1"/>
  <c r="I133" i="1"/>
  <c r="L131" i="1"/>
  <c r="M106" i="1"/>
  <c r="K133" i="1" l="1"/>
  <c r="I143" i="1"/>
  <c r="L158" i="1"/>
  <c r="G190" i="1"/>
  <c r="M160" i="1"/>
  <c r="I160" i="1"/>
  <c r="G301" i="1"/>
  <c r="O276" i="1"/>
  <c r="L280" i="1"/>
  <c r="I250" i="1"/>
  <c r="K250" i="1" s="1"/>
  <c r="L241" i="1"/>
  <c r="M249" i="1"/>
  <c r="G299" i="1"/>
  <c r="F275" i="1"/>
  <c r="O141" i="1"/>
  <c r="L145" i="1"/>
  <c r="L147" i="1"/>
  <c r="P141" i="1"/>
  <c r="M138" i="1"/>
  <c r="L308" i="1" l="1"/>
  <c r="O304" i="1"/>
  <c r="G329" i="1" s="1"/>
  <c r="I276" i="1"/>
  <c r="L267" i="1"/>
  <c r="I171" i="1"/>
  <c r="K160" i="1"/>
  <c r="G327" i="1"/>
  <c r="F303" i="1"/>
  <c r="G216" i="1"/>
  <c r="I191" i="1"/>
  <c r="L189" i="1"/>
  <c r="L258" i="1"/>
  <c r="L256" i="1"/>
  <c r="M243" i="1"/>
  <c r="L175" i="1"/>
  <c r="L173" i="1"/>
  <c r="O169" i="1"/>
  <c r="P169" i="1" s="1"/>
  <c r="M166" i="1"/>
  <c r="F331" i="1" l="1"/>
  <c r="G355" i="1"/>
  <c r="L206" i="1"/>
  <c r="L204" i="1"/>
  <c r="M197" i="1"/>
  <c r="I217" i="1"/>
  <c r="L215" i="1"/>
  <c r="I243" i="1"/>
  <c r="L336" i="1"/>
  <c r="O332" i="1"/>
  <c r="G357" i="1" s="1"/>
  <c r="L282" i="1"/>
  <c r="O267" i="1"/>
  <c r="L284" i="1"/>
  <c r="M269" i="1"/>
  <c r="I202" i="1"/>
  <c r="O200" i="1" s="1"/>
  <c r="P200" i="1" s="1"/>
  <c r="K191" i="1"/>
  <c r="M275" i="1"/>
  <c r="M191" i="1"/>
  <c r="K276" i="1"/>
  <c r="I280" i="1"/>
  <c r="O278" i="1" s="1"/>
  <c r="P278" i="1" s="1"/>
  <c r="I304" i="1"/>
  <c r="L295" i="1"/>
  <c r="M303" i="1" s="1"/>
  <c r="K304" i="1" l="1"/>
  <c r="I308" i="1"/>
  <c r="O306" i="1" s="1"/>
  <c r="P306" i="1" s="1"/>
  <c r="L232" i="1"/>
  <c r="L230" i="1"/>
  <c r="M223" i="1"/>
  <c r="L312" i="1"/>
  <c r="L310" i="1"/>
  <c r="O295" i="1"/>
  <c r="M297" i="1"/>
  <c r="I254" i="1"/>
  <c r="O252" i="1" s="1"/>
  <c r="P252" i="1" s="1"/>
  <c r="K243" i="1"/>
  <c r="K217" i="1"/>
  <c r="I228" i="1"/>
  <c r="O226" i="1" s="1"/>
  <c r="P226" i="1" s="1"/>
  <c r="L364" i="1"/>
  <c r="O360" i="1"/>
  <c r="F359" i="1"/>
  <c r="M217" i="1"/>
  <c r="M331" i="1"/>
  <c r="I332" i="1"/>
  <c r="L323" i="1"/>
  <c r="I360" i="1" l="1"/>
  <c r="L351" i="1"/>
  <c r="O323" i="1"/>
  <c r="L340" i="1"/>
  <c r="L338" i="1"/>
  <c r="M325" i="1"/>
  <c r="K332" i="1"/>
  <c r="I336" i="1"/>
  <c r="O334" i="1" s="1"/>
  <c r="P334" i="1" s="1"/>
  <c r="L368" i="1" l="1"/>
  <c r="O351" i="1"/>
  <c r="L366" i="1"/>
  <c r="M353" i="1"/>
  <c r="M359" i="1"/>
  <c r="I364" i="1"/>
  <c r="O362" i="1" s="1"/>
  <c r="P362" i="1" s="1"/>
  <c r="K360" i="1"/>
</calcChain>
</file>

<file path=xl/sharedStrings.xml><?xml version="1.0" encoding="utf-8"?>
<sst xmlns="http://schemas.openxmlformats.org/spreadsheetml/2006/main" count="20922" uniqueCount="1427">
  <si>
    <t>BRIDGEPORT PUBLIC SCHOOLS</t>
  </si>
  <si>
    <t xml:space="preserve">OPERATING BUDGET APPROPRIATION </t>
  </si>
  <si>
    <t>Year</t>
  </si>
  <si>
    <t>Description</t>
  </si>
  <si>
    <t>Amount</t>
  </si>
  <si>
    <t>FY 12</t>
  </si>
  <si>
    <t>Budget Appropriation</t>
  </si>
  <si>
    <t>City Contribution</t>
  </si>
  <si>
    <t>FY12 State ECS</t>
  </si>
  <si>
    <t>FY 13</t>
  </si>
  <si>
    <t>……Amount of Increase</t>
  </si>
  <si>
    <t>[State Mandate = $3,649,575]</t>
  </si>
  <si>
    <t>Increase</t>
  </si>
  <si>
    <t>FY13 State ECS</t>
  </si>
  <si>
    <t>FY13 State ALLIANCE/ECS</t>
  </si>
  <si>
    <t>STATE TOTAL =</t>
  </si>
  <si>
    <t>Alliance/ECS grant</t>
  </si>
  <si>
    <t>FY13 compared to FY12</t>
  </si>
  <si>
    <t>Amount/Percentage of Increase:</t>
  </si>
  <si>
    <t>FY 14</t>
  </si>
  <si>
    <t xml:space="preserve">BUDGET APPROPRIATION </t>
  </si>
  <si>
    <t xml:space="preserve">City Contribution </t>
  </si>
  <si>
    <t>*</t>
  </si>
  <si>
    <t xml:space="preserve">……* BOE expenditures for Crossing Guards/Snow Removal/Garbage Collection were moved to the City budget (2011-12). </t>
  </si>
  <si>
    <t>……* The City committed $1,019,400 by reducing the BOE's contribution for Worker's Compensation.</t>
  </si>
  <si>
    <t>To be continued in future years.</t>
  </si>
  <si>
    <t>FY14 State ECS</t>
  </si>
  <si>
    <t>FY14 State ALLIANCE/ECS</t>
  </si>
  <si>
    <t>FY14 compared to FY13</t>
  </si>
  <si>
    <t>MBR</t>
  </si>
  <si>
    <t>Amount in Operating Budget =</t>
  </si>
  <si>
    <t>..Adjusted Credit in MBR for "Moved Services"</t>
  </si>
  <si>
    <t>State Grant to the City, for appropriation in the City Share.</t>
  </si>
  <si>
    <t>..Internal adjustment: releases $1M from workers compensation</t>
  </si>
  <si>
    <t>W/C Reduction - Internal Adjustment</t>
  </si>
  <si>
    <t>..State Alliance Grant</t>
  </si>
  <si>
    <t>Adjusted Credit, "Moved Services"</t>
  </si>
  <si>
    <t>..CASH AMOUNT IN MUNIS</t>
  </si>
  <si>
    <t>TOTAL</t>
  </si>
  <si>
    <t>MBR Shortage: FY 13 Appropriation - FY 14 Budget</t>
  </si>
  <si>
    <t>…BUDGET PLAN, WITH ALLIANCE</t>
  </si>
  <si>
    <t>FY 15</t>
  </si>
  <si>
    <t>FY15 State ECS</t>
  </si>
  <si>
    <t>FY15 State ALLIANCE/ECS</t>
  </si>
  <si>
    <t>FY15 compared to FY14</t>
  </si>
  <si>
    <t>State: $700,000; City: $500,000</t>
  </si>
  <si>
    <t>..CASH AMOUNT EXPECTED IN MUNIS</t>
  </si>
  <si>
    <t>..Adjusted for MBR funds not received in 2014-15</t>
  </si>
  <si>
    <t>..FINAL CASH AMOUNT IN MUNIS</t>
  </si>
  <si>
    <t>..IN-KIND AMOUNT CREDITED TO MBR</t>
  </si>
  <si>
    <t>.+.</t>
  </si>
  <si>
    <t>…MBR AMOUNT</t>
  </si>
  <si>
    <t>FY 16</t>
  </si>
  <si>
    <t>BUDGET APPROPRIATION</t>
  </si>
  <si>
    <t>2014-15</t>
  </si>
  <si>
    <t>Amount not received in 2014-15</t>
  </si>
  <si>
    <t>&gt;</t>
  </si>
  <si>
    <t xml:space="preserve">     FY15 Total Budget=</t>
  </si>
  <si>
    <t>[excluding Alliance]</t>
  </si>
  <si>
    <t>Reduce by $2.1M, total prior credit for in-kind services</t>
  </si>
  <si>
    <t>Adjusted City Base =</t>
  </si>
  <si>
    <t>City Addition</t>
  </si>
  <si>
    <t>2015-16</t>
  </si>
  <si>
    <t>F/T Nurses &amp; Inteventionists</t>
  </si>
  <si>
    <t>Cash</t>
  </si>
  <si>
    <t>Total</t>
  </si>
  <si>
    <t>*NOTE:</t>
  </si>
  <si>
    <t>The City Addition, $3.8M, includes a minimum of $1.5M in cash and in-kind services billable by the City up to the amount calculated below:</t>
  </si>
  <si>
    <t>The lesser amount of:  $2,290,691 or ($3.8M  Minus  Final MBR)</t>
  </si>
  <si>
    <t>Billable in-kind services = Worker's Compensation, Crossing Guards, Snow Removal, Refuse Collection.</t>
  </si>
  <si>
    <t>TOTAL BOE APPROPRIATION</t>
  </si>
  <si>
    <t>IN MUNIS</t>
  </si>
  <si>
    <t>……Amount of Increase (Cash)</t>
  </si>
  <si>
    <t>**Est</t>
  </si>
  <si>
    <t>FY16 State ECS</t>
  </si>
  <si>
    <t>FY16 State ALLIANCE/ECS</t>
  </si>
  <si>
    <t>FY16 compared to FY15</t>
  </si>
  <si>
    <t>&gt; Adjusted as noted</t>
  </si>
  <si>
    <t>** NOTE:</t>
  </si>
  <si>
    <t>…MBR AMOUNT [Cash amount expected in MUNIS]</t>
  </si>
  <si>
    <t>The MBR amount is projected at $1.5M, subject to final calculation by the State.</t>
  </si>
  <si>
    <t>If the Final MBR is higher than $1.5M, the amount in excess of $1.5M  will be deducted from the set-aside for billable in-kind services [$2,290,691].</t>
  </si>
  <si>
    <r>
      <t xml:space="preserve">&gt; Adjusted: </t>
    </r>
    <r>
      <rPr>
        <b/>
        <sz val="11"/>
        <color rgb="FFFF0000"/>
        <rFont val="Calibri"/>
        <family val="2"/>
      </rPr>
      <t>($9,962)</t>
    </r>
    <r>
      <rPr>
        <b/>
        <sz val="11"/>
        <rFont val="Calibri"/>
        <family val="2"/>
      </rPr>
      <t xml:space="preserve"> and </t>
    </r>
    <r>
      <rPr>
        <b/>
        <sz val="11"/>
        <color rgb="FFFF0000"/>
        <rFont val="Calibri"/>
        <family val="2"/>
      </rPr>
      <t>($2,098,205 - $2,300,000)</t>
    </r>
  </si>
  <si>
    <t>FY 17</t>
  </si>
  <si>
    <t>**</t>
  </si>
  <si>
    <t>FY17 State ECS</t>
  </si>
  <si>
    <t>FY17 State ALLIANCE/ECS - reduced from FY 16</t>
  </si>
  <si>
    <t>FY17 State ALLIANCE/ECS - REQUESTED ADDITION</t>
  </si>
  <si>
    <t>Decrease</t>
  </si>
  <si>
    <t>FY17 compared to FY16</t>
  </si>
  <si>
    <t>...Cash amount expected in MUNIS</t>
  </si>
  <si>
    <t>ACTUAL:</t>
  </si>
  <si>
    <t>The City amount includes billable services:</t>
  </si>
  <si>
    <t>Maximum: $2,290,691</t>
  </si>
  <si>
    <t>The billable in-kind services consist of:  Worker's Compensation, Crossing Guards, Snow Removal, Refuse Collection.</t>
  </si>
  <si>
    <t>*FY17 State ECS/Alliance</t>
  </si>
  <si>
    <r>
      <t>12-29-16: The CSDE announced an unanticipated midyear reduction in ECS/Alliance =</t>
    </r>
    <r>
      <rPr>
        <b/>
        <sz val="10"/>
        <color rgb="FFFF0000"/>
        <rFont val="Calibri"/>
        <family val="2"/>
      </rPr>
      <t xml:space="preserve"> - $250,000.  </t>
    </r>
  </si>
  <si>
    <r>
      <t xml:space="preserve">Prior reduction in ECS/Alliance for 2017-18 = </t>
    </r>
    <r>
      <rPr>
        <b/>
        <sz val="10"/>
        <color rgb="FFFF0000"/>
        <rFont val="Calibri"/>
        <family val="2"/>
      </rPr>
      <t>- $911,334.</t>
    </r>
  </si>
  <si>
    <r>
      <t xml:space="preserve">Total ECS/Alliance Reduction = </t>
    </r>
    <r>
      <rPr>
        <b/>
        <sz val="10"/>
        <color rgb="FFFF0000"/>
        <rFont val="Calibri"/>
        <family val="2"/>
      </rPr>
      <t>- $1,161,334.</t>
    </r>
  </si>
  <si>
    <t>FINAL ECS/Alliance Allocation = $16,910,046.</t>
  </si>
  <si>
    <t>[From FY16 = $18,071,380 to FY17 = $16,910,046]</t>
  </si>
  <si>
    <t>FY18</t>
  </si>
  <si>
    <t>FY18 State ECS</t>
  </si>
  <si>
    <t>FY18 State ALLIANCE ECS</t>
  </si>
  <si>
    <t xml:space="preserve">FY18 State ALLIANCE/ECS </t>
  </si>
  <si>
    <t>^</t>
  </si>
  <si>
    <t>FY18 compared to FY17</t>
  </si>
  <si>
    <t>…Amount expected in MUNIS</t>
  </si>
  <si>
    <t>The City amount includes $394,393 for refuse collection and snow removal, to be managed by the Board of Education.</t>
  </si>
  <si>
    <t>Refuse Collection</t>
  </si>
  <si>
    <t>Snow Removal</t>
  </si>
  <si>
    <t>Total =</t>
  </si>
  <si>
    <t>On 11-17-17, the Governor announced a ECS holdback of $250,000.</t>
  </si>
  <si>
    <t>FY19</t>
  </si>
  <si>
    <t>FY19 State ECS</t>
  </si>
  <si>
    <t>FY19 State ECS Addition</t>
  </si>
  <si>
    <t>FY19 ALLIANCE ECS</t>
  </si>
  <si>
    <t>FY19 Alliance ECS Addition</t>
  </si>
  <si>
    <t>FY19 compared to FY18</t>
  </si>
  <si>
    <t>The City amount includes $394,393 for refuse collection and snow removal, which is managed by the Board of Education.</t>
  </si>
  <si>
    <t>*FY19 State ECS Addition = $472,810.   This amount includes:</t>
  </si>
  <si>
    <t>* +$250,000 [FY18 ECS holdback restored] PLUS</t>
  </si>
  <si>
    <t>* +$222,810 = a supplement for displaced students.</t>
  </si>
  <si>
    <t>The ECS supplement for displaced students may or may not be continued in 2019-20.</t>
  </si>
  <si>
    <t>FY20</t>
  </si>
  <si>
    <t>FY20 State ECS</t>
  </si>
  <si>
    <t>FY20 State ECS Addition</t>
  </si>
  <si>
    <t>FY20 ALLIANCE ECS</t>
  </si>
  <si>
    <t>FY20 Alliance ECS Addition</t>
  </si>
  <si>
    <t>FY20 compared to FY19</t>
  </si>
  <si>
    <t>FY21</t>
  </si>
  <si>
    <t>FY21 State ECS</t>
  </si>
  <si>
    <t>FY21 State ECS Addition</t>
  </si>
  <si>
    <t>FY21 ALLIANCE ECS</t>
  </si>
  <si>
    <t>FY21 Alliance ECS Addition</t>
  </si>
  <si>
    <t>FY21 compared to FY20</t>
  </si>
  <si>
    <t>FY22</t>
  </si>
  <si>
    <t>FY22 State ECS</t>
  </si>
  <si>
    <t>FY22 State ECS Addition</t>
  </si>
  <si>
    <t>FY22 ALLIANCE ECS</t>
  </si>
  <si>
    <t>FY 22 Alliance ECS Addition</t>
  </si>
  <si>
    <t>FY22 compared to FY21</t>
  </si>
  <si>
    <t>FY23</t>
  </si>
  <si>
    <t>w/o Alliance ECS</t>
  </si>
  <si>
    <t>FY23 State ECS</t>
  </si>
  <si>
    <t>FY23 State ECS Addition</t>
  </si>
  <si>
    <t>FY23 ALLIANCE ECS</t>
  </si>
  <si>
    <t>FY23 Alliance ECS Addition</t>
  </si>
  <si>
    <t>Alliance ECS</t>
  </si>
  <si>
    <t>FY23 compared to FY22</t>
  </si>
  <si>
    <t>FY24</t>
  </si>
  <si>
    <t>FY24 State ECS</t>
  </si>
  <si>
    <t>FY24 State ECS Addition</t>
  </si>
  <si>
    <t>FY24 ALLIANCE ECS</t>
  </si>
  <si>
    <t>FY24 Alliance ECS Addition</t>
  </si>
  <si>
    <t>FY24 compared to FY23</t>
  </si>
  <si>
    <t>FY25</t>
  </si>
  <si>
    <t>FY25 State ECS</t>
  </si>
  <si>
    <t>FY25 State ECS Addition</t>
  </si>
  <si>
    <t>FY25 ALLIANCE ECS</t>
  </si>
  <si>
    <t>FY25 Alliance ECS Addition</t>
  </si>
  <si>
    <t>FY26</t>
  </si>
  <si>
    <t>CITY</t>
  </si>
  <si>
    <t>STATE</t>
  </si>
  <si>
    <t>FY25 compared to FY24</t>
  </si>
  <si>
    <t>General Fund Budget =</t>
  </si>
  <si>
    <t>OPERATING BUDGET :</t>
  </si>
  <si>
    <t>As of</t>
  </si>
  <si>
    <t>ACCOUNT</t>
  </si>
  <si>
    <t>DESCRIPTION</t>
  </si>
  <si>
    <t>FTE</t>
  </si>
  <si>
    <t>VARIANCE</t>
  </si>
  <si>
    <t>Principals/Supervisors</t>
  </si>
  <si>
    <t>Elementary Classroom</t>
  </si>
  <si>
    <t>Substitutes</t>
  </si>
  <si>
    <t>Paraprofessionals</t>
  </si>
  <si>
    <t>School Clericals</t>
  </si>
  <si>
    <t>Instructional Supplies</t>
  </si>
  <si>
    <t>Supplementary Supplies</t>
  </si>
  <si>
    <t>High School Textbooks</t>
  </si>
  <si>
    <t>Elementary Textbooks</t>
  </si>
  <si>
    <t>Kindergarten Teachers</t>
  </si>
  <si>
    <t>Bilingual Education</t>
  </si>
  <si>
    <t>Bilingual Aides</t>
  </si>
  <si>
    <t>World Languages</t>
  </si>
  <si>
    <t>Visual Arts</t>
  </si>
  <si>
    <t>Performing Arts</t>
  </si>
  <si>
    <t>English</t>
  </si>
  <si>
    <t>Mathematics</t>
  </si>
  <si>
    <t>Science</t>
  </si>
  <si>
    <t>Social Studies</t>
  </si>
  <si>
    <t>Physical Education</t>
  </si>
  <si>
    <t>Health</t>
  </si>
  <si>
    <t>Family/Consumer Science</t>
  </si>
  <si>
    <t>Technology Education</t>
  </si>
  <si>
    <t>Business Education</t>
  </si>
  <si>
    <t>Academic Intervention</t>
  </si>
  <si>
    <t>Talented &amp; Gifted</t>
  </si>
  <si>
    <t>Homebound</t>
  </si>
  <si>
    <t>Special Education</t>
  </si>
  <si>
    <t>SPED Administrators</t>
  </si>
  <si>
    <t>SPED Aides</t>
  </si>
  <si>
    <t>SPED Clericals</t>
  </si>
  <si>
    <t>Extended School Year/SPED</t>
  </si>
  <si>
    <t>Hearing</t>
  </si>
  <si>
    <t>Alternative Education</t>
  </si>
  <si>
    <t>School Support Positions</t>
  </si>
  <si>
    <t>Aquaculture</t>
  </si>
  <si>
    <t>Aquaculture Support Staff</t>
  </si>
  <si>
    <t>Agriculture</t>
  </si>
  <si>
    <t>Magnet High School</t>
  </si>
  <si>
    <t>Discovery Magnet</t>
  </si>
  <si>
    <t>"6 to 6" Magnet School</t>
  </si>
  <si>
    <t>Reg Ctr Performing Arts</t>
  </si>
  <si>
    <t>Educational Technology</t>
  </si>
  <si>
    <t>Athletics</t>
  </si>
  <si>
    <t>Intramurals</t>
  </si>
  <si>
    <t>Extracurricular, HS</t>
  </si>
  <si>
    <t>Adult Education</t>
  </si>
  <si>
    <t>Adult Ed Security</t>
  </si>
  <si>
    <t>Adult Ed Custodial</t>
  </si>
  <si>
    <t>Summer School</t>
  </si>
  <si>
    <t>Fringes</t>
  </si>
  <si>
    <t>Directors &amp; Supervisors</t>
  </si>
  <si>
    <t>Clericals</t>
  </si>
  <si>
    <t>Social Workers</t>
  </si>
  <si>
    <t>Psychologists</t>
  </si>
  <si>
    <t>Guidance Counselors</t>
  </si>
  <si>
    <t>Speech/Language</t>
  </si>
  <si>
    <t>Speech/Language Paras</t>
  </si>
  <si>
    <t>School Media Specialists</t>
  </si>
  <si>
    <t>School Media Paraprofessionals</t>
  </si>
  <si>
    <t>School Nurses</t>
  </si>
  <si>
    <t>Occupational Therapy</t>
  </si>
  <si>
    <t>Attendance and Truancy</t>
  </si>
  <si>
    <t>BOE Administration</t>
  </si>
  <si>
    <t>BOE Administration Clericals</t>
  </si>
  <si>
    <t>Legal Services</t>
  </si>
  <si>
    <t>Human Resources</t>
  </si>
  <si>
    <t>Pupil Services/Stud Assign</t>
  </si>
  <si>
    <t>Student Data Support</t>
  </si>
  <si>
    <t>Business Office</t>
  </si>
  <si>
    <t>Business Office Clericals</t>
  </si>
  <si>
    <t>Payroll</t>
  </si>
  <si>
    <t>Stockroom</t>
  </si>
  <si>
    <t>Technology</t>
  </si>
  <si>
    <t>Transportation Office</t>
  </si>
  <si>
    <t>Transportation</t>
  </si>
  <si>
    <t>Charter Schools</t>
  </si>
  <si>
    <t>SPED Transportation</t>
  </si>
  <si>
    <t>Parochial/Non-public</t>
  </si>
  <si>
    <t>SPED Charter Schools</t>
  </si>
  <si>
    <t>School Crossing Guards</t>
  </si>
  <si>
    <t>Security Administration</t>
  </si>
  <si>
    <t>Security Clericals</t>
  </si>
  <si>
    <t>Security</t>
  </si>
  <si>
    <t>Security-Lighthouse</t>
  </si>
  <si>
    <t>Security-Night Recreation</t>
  </si>
  <si>
    <t>Facilities Administration</t>
  </si>
  <si>
    <t>Facilities Clericals</t>
  </si>
  <si>
    <t>Trades</t>
  </si>
  <si>
    <t>Custodians</t>
  </si>
  <si>
    <t>Custodians-Lighthouse</t>
  </si>
  <si>
    <t>Custodians-Night Recreation</t>
  </si>
  <si>
    <t>PT Custodians</t>
  </si>
  <si>
    <t>Fringe Janitors &amp; Engineer Ret</t>
  </si>
  <si>
    <t>Custodial Services</t>
  </si>
  <si>
    <t>Utilities</t>
  </si>
  <si>
    <t>Refuse and Cycling</t>
  </si>
  <si>
    <t>Operating Building Services</t>
  </si>
  <si>
    <t>Regulatory Compliance</t>
  </si>
  <si>
    <t>Vehicle Maintenance (Facilities)</t>
  </si>
  <si>
    <t>Facilities Maintenance &amp; Repair</t>
  </si>
  <si>
    <t>Harding &amp; Bassick Support</t>
  </si>
  <si>
    <t>Accreditation - NEASC</t>
  </si>
  <si>
    <t>BOE Grant Administration</t>
  </si>
  <si>
    <t>GRAND TOTAL</t>
  </si>
  <si>
    <t>RANGE</t>
  </si>
  <si>
    <t>BUDGET CATEGORY</t>
  </si>
  <si>
    <t>800-850</t>
  </si>
  <si>
    <t>INSTRUCTION</t>
  </si>
  <si>
    <t>851-852</t>
  </si>
  <si>
    <t>INSTRUCTION SUPPORT</t>
  </si>
  <si>
    <t>853-862</t>
  </si>
  <si>
    <t>PUPIL SERVICES</t>
  </si>
  <si>
    <t>863-865</t>
  </si>
  <si>
    <t>ADMINISTRATION</t>
  </si>
  <si>
    <t>866-899</t>
  </si>
  <si>
    <t>SUPPORT SERVICES</t>
  </si>
  <si>
    <t>Refer to the bottom of the detail chart.</t>
  </si>
  <si>
    <t>Debits</t>
  </si>
  <si>
    <t>ISF Withrawn YTD</t>
  </si>
  <si>
    <t>Credits</t>
  </si>
  <si>
    <t>ISF Withdrawal</t>
  </si>
  <si>
    <t>Gap Reduction</t>
  </si>
  <si>
    <t>BALANCE</t>
  </si>
  <si>
    <t>BUDGET SUMMARY</t>
  </si>
  <si>
    <t>BUDGET DETAIL</t>
  </si>
  <si>
    <t>Account</t>
  </si>
  <si>
    <t>.</t>
  </si>
  <si>
    <t>Account Title</t>
  </si>
  <si>
    <t>…</t>
  </si>
  <si>
    <t>Principals</t>
  </si>
  <si>
    <t>Instructional Support Positions</t>
  </si>
  <si>
    <t>Gap Reduction Plan</t>
  </si>
  <si>
    <t>NET FY24-25 REMAINING SURPLUS / (DEFICIT )</t>
  </si>
  <si>
    <t>FINAL BALANCE</t>
  </si>
  <si>
    <t>SCHOOL</t>
  </si>
  <si>
    <t>ORG DESCRIPTION</t>
  </si>
  <si>
    <t>FUND</t>
  </si>
  <si>
    <t>DEPT</t>
  </si>
  <si>
    <t>ORG</t>
  </si>
  <si>
    <t>DESC</t>
  </si>
  <si>
    <t>OBJECT</t>
  </si>
  <si>
    <t>01</t>
  </si>
  <si>
    <t>01800000</t>
  </si>
  <si>
    <t>FULL TIME EARNED PAY</t>
  </si>
  <si>
    <t>PT TEMP/SEASONAL EARNED PA</t>
  </si>
  <si>
    <t>LONGEVITY PAY</t>
  </si>
  <si>
    <t xml:space="preserve"> </t>
  </si>
  <si>
    <t>MEDICARE</t>
  </si>
  <si>
    <t>HEALTH INSURANCE CITY SHARE</t>
  </si>
  <si>
    <t>01800801</t>
  </si>
  <si>
    <t>01800802</t>
  </si>
  <si>
    <t>SOCIAL SECURITY</t>
  </si>
  <si>
    <t>01800803</t>
  </si>
  <si>
    <t>01800804</t>
  </si>
  <si>
    <t>01800805</t>
  </si>
  <si>
    <t>01800807</t>
  </si>
  <si>
    <t>UNUSED SICK TIME PAYOUT</t>
  </si>
  <si>
    <t>01800810</t>
  </si>
  <si>
    <t>01800811</t>
  </si>
  <si>
    <t>01800812</t>
  </si>
  <si>
    <t>01800813</t>
  </si>
  <si>
    <t>GENERAL STIPENDS</t>
  </si>
  <si>
    <t>01800814</t>
  </si>
  <si>
    <t>01800815</t>
  </si>
  <si>
    <t>01800816</t>
  </si>
  <si>
    <t>01800817</t>
  </si>
  <si>
    <t>01800820</t>
  </si>
  <si>
    <t>01800821</t>
  </si>
  <si>
    <t>01800822</t>
  </si>
  <si>
    <t>01800825</t>
  </si>
  <si>
    <t>01800826</t>
  </si>
  <si>
    <t>01800830</t>
  </si>
  <si>
    <t>01800831</t>
  </si>
  <si>
    <t>01800832</t>
  </si>
  <si>
    <t>01800836</t>
  </si>
  <si>
    <t>01800837</t>
  </si>
  <si>
    <t>01800839</t>
  </si>
  <si>
    <t>01800840</t>
  </si>
  <si>
    <t>01800841</t>
  </si>
  <si>
    <t>01800842</t>
  </si>
  <si>
    <t>01800845</t>
  </si>
  <si>
    <t>01800846</t>
  </si>
  <si>
    <t>01800861</t>
  </si>
  <si>
    <t>UNUSED VACATION TIME PAYOU</t>
  </si>
  <si>
    <t>01800862</t>
  </si>
  <si>
    <t>01800863</t>
  </si>
  <si>
    <t>01801000</t>
  </si>
  <si>
    <t>HEALTH BENEFITS BUYOUT</t>
  </si>
  <si>
    <t>01801801</t>
  </si>
  <si>
    <t>01801802</t>
  </si>
  <si>
    <t>01801803</t>
  </si>
  <si>
    <t>01801804</t>
  </si>
  <si>
    <t>01801805</t>
  </si>
  <si>
    <t>01801807</t>
  </si>
  <si>
    <t>01801810</t>
  </si>
  <si>
    <t>01801811</t>
  </si>
  <si>
    <t>01801812</t>
  </si>
  <si>
    <t>01801813</t>
  </si>
  <si>
    <t>01801814</t>
  </si>
  <si>
    <t>01801817</t>
  </si>
  <si>
    <t>01801820</t>
  </si>
  <si>
    <t>01801821</t>
  </si>
  <si>
    <t>01801822</t>
  </si>
  <si>
    <t>01801825</t>
  </si>
  <si>
    <t>01801826</t>
  </si>
  <si>
    <t>01801830</t>
  </si>
  <si>
    <t>01801831</t>
  </si>
  <si>
    <t>01801832</t>
  </si>
  <si>
    <t>01801836</t>
  </si>
  <si>
    <t>01801837</t>
  </si>
  <si>
    <t>01801839</t>
  </si>
  <si>
    <t>01801840</t>
  </si>
  <si>
    <t>01801841</t>
  </si>
  <si>
    <t>01801842</t>
  </si>
  <si>
    <t>01801845</t>
  </si>
  <si>
    <t>01801846</t>
  </si>
  <si>
    <t>01802000</t>
  </si>
  <si>
    <t>HUMAN SERVICES</t>
  </si>
  <si>
    <t>01803802</t>
  </si>
  <si>
    <t>MERF PENSION EMPLOYER CONT</t>
  </si>
  <si>
    <t>01803803</t>
  </si>
  <si>
    <t>01803804</t>
  </si>
  <si>
    <t>01803810</t>
  </si>
  <si>
    <t>01803813</t>
  </si>
  <si>
    <t>01803814</t>
  </si>
  <si>
    <t>01803817</t>
  </si>
  <si>
    <t>01803820</t>
  </si>
  <si>
    <t>01803822</t>
  </si>
  <si>
    <t>01803825</t>
  </si>
  <si>
    <t>01803826</t>
  </si>
  <si>
    <t>01803830</t>
  </si>
  <si>
    <t>01803832</t>
  </si>
  <si>
    <t>01803837</t>
  </si>
  <si>
    <t>01803840</t>
  </si>
  <si>
    <t>01803841</t>
  </si>
  <si>
    <t>01803845</t>
  </si>
  <si>
    <t>01803846</t>
  </si>
  <si>
    <t>01803861</t>
  </si>
  <si>
    <t>01803862</t>
  </si>
  <si>
    <t>01803863</t>
  </si>
  <si>
    <t>01803984</t>
  </si>
  <si>
    <t>01804000</t>
  </si>
  <si>
    <t>01804801</t>
  </si>
  <si>
    <t>01804802</t>
  </si>
  <si>
    <t>01804803</t>
  </si>
  <si>
    <t>UNUSED VACATION PAY RETIREMENT</t>
  </si>
  <si>
    <t>PERSONAL DAY PAYOUT RETIREMENT</t>
  </si>
  <si>
    <t>01804804</t>
  </si>
  <si>
    <t>01804805</t>
  </si>
  <si>
    <t>01804807</t>
  </si>
  <si>
    <t>01804808</t>
  </si>
  <si>
    <t>01804810</t>
  </si>
  <si>
    <t>01804811</t>
  </si>
  <si>
    <t>01804812</t>
  </si>
  <si>
    <t>REGULAR STRAIGHT OVERTIME</t>
  </si>
  <si>
    <t>01804813</t>
  </si>
  <si>
    <t>01804814</t>
  </si>
  <si>
    <t>01804815</t>
  </si>
  <si>
    <t>01804816</t>
  </si>
  <si>
    <t>01804817</t>
  </si>
  <si>
    <t>01804818</t>
  </si>
  <si>
    <t>01804820</t>
  </si>
  <si>
    <t>01804821</t>
  </si>
  <si>
    <t>01804822</t>
  </si>
  <si>
    <t>01804825</t>
  </si>
  <si>
    <t>01804826</t>
  </si>
  <si>
    <t>01804828</t>
  </si>
  <si>
    <t>01804830</t>
  </si>
  <si>
    <t>01804831</t>
  </si>
  <si>
    <t>01804832</t>
  </si>
  <si>
    <t>01804836</t>
  </si>
  <si>
    <t>01804839</t>
  </si>
  <si>
    <t>01804840</t>
  </si>
  <si>
    <t>01804841</t>
  </si>
  <si>
    <t>01804842</t>
  </si>
  <si>
    <t>01804844</t>
  </si>
  <si>
    <t>01804845</t>
  </si>
  <si>
    <t>01804846</t>
  </si>
  <si>
    <t>01804861</t>
  </si>
  <si>
    <t>REGULAR 1.5 OVERTIME PAY</t>
  </si>
  <si>
    <t>01804862</t>
  </si>
  <si>
    <t>01804863</t>
  </si>
  <si>
    <t>01804984</t>
  </si>
  <si>
    <t>01805000</t>
  </si>
  <si>
    <t>SCHOOL SUPPLIES</t>
  </si>
  <si>
    <t>OFFICE SUPPLIES</t>
  </si>
  <si>
    <t>PRINTING SERVICES</t>
  </si>
  <si>
    <t>01806000</t>
  </si>
  <si>
    <t>PROPERTY RENTAL/LEASE</t>
  </si>
  <si>
    <t>01806801</t>
  </si>
  <si>
    <t>POSTAGE</t>
  </si>
  <si>
    <t>OTHER SERVICES</t>
  </si>
  <si>
    <t>TRANSPORTATION SERVICES</t>
  </si>
  <si>
    <t>01806802</t>
  </si>
  <si>
    <t>01806803</t>
  </si>
  <si>
    <t>01806804</t>
  </si>
  <si>
    <t>TEXTBOOKS</t>
  </si>
  <si>
    <t>01806805</t>
  </si>
  <si>
    <t>01806807</t>
  </si>
  <si>
    <t>01806808</t>
  </si>
  <si>
    <t>MEMBERSHIP/REGISTRATION FEES</t>
  </si>
  <si>
    <t>COMPUTER SOFTWARE</t>
  </si>
  <si>
    <t>01806810</t>
  </si>
  <si>
    <t>01806811</t>
  </si>
  <si>
    <t>01806812</t>
  </si>
  <si>
    <t>01806813</t>
  </si>
  <si>
    <t>01806814</t>
  </si>
  <si>
    <t>SCHOOL EQUIPMENT</t>
  </si>
  <si>
    <t>01806815</t>
  </si>
  <si>
    <t>01806816</t>
  </si>
  <si>
    <t>SHIFT 2 - 1.5X OVERTIME</t>
  </si>
  <si>
    <t>01806817</t>
  </si>
  <si>
    <t>01806818</t>
  </si>
  <si>
    <t>01806820</t>
  </si>
  <si>
    <t>01806821</t>
  </si>
  <si>
    <t>01806822</t>
  </si>
  <si>
    <t>01806825</t>
  </si>
  <si>
    <t>01806826</t>
  </si>
  <si>
    <t>01806828</t>
  </si>
  <si>
    <t>01806830</t>
  </si>
  <si>
    <t>01806831</t>
  </si>
  <si>
    <t>01806832</t>
  </si>
  <si>
    <t>01806836</t>
  </si>
  <si>
    <t>01806837</t>
  </si>
  <si>
    <t>01806839</t>
  </si>
  <si>
    <t>01806840</t>
  </si>
  <si>
    <t>01806841</t>
  </si>
  <si>
    <t>01806842</t>
  </si>
  <si>
    <t>01806844</t>
  </si>
  <si>
    <t>TRAINING SERVICES</t>
  </si>
  <si>
    <t>01806845</t>
  </si>
  <si>
    <t>01806846</t>
  </si>
  <si>
    <t>01806861</t>
  </si>
  <si>
    <t>01806862</t>
  </si>
  <si>
    <t>01806863</t>
  </si>
  <si>
    <t>01809801</t>
  </si>
  <si>
    <t>01809802</t>
  </si>
  <si>
    <t>01809803</t>
  </si>
  <si>
    <t>01809804</t>
  </si>
  <si>
    <t>01809805</t>
  </si>
  <si>
    <t>01809807</t>
  </si>
  <si>
    <t>01809810</t>
  </si>
  <si>
    <t>01809811</t>
  </si>
  <si>
    <t>01809812</t>
  </si>
  <si>
    <t>01809813</t>
  </si>
  <si>
    <t>01809814</t>
  </si>
  <si>
    <t>01809817</t>
  </si>
  <si>
    <t>01809820</t>
  </si>
  <si>
    <t>01809821</t>
  </si>
  <si>
    <t>01809822</t>
  </si>
  <si>
    <t>01809825</t>
  </si>
  <si>
    <t>01809826</t>
  </si>
  <si>
    <t>01809830</t>
  </si>
  <si>
    <t>01809831</t>
  </si>
  <si>
    <t>01809832</t>
  </si>
  <si>
    <t>01809836</t>
  </si>
  <si>
    <t>01809837</t>
  </si>
  <si>
    <t>01809839</t>
  </si>
  <si>
    <t>01809840</t>
  </si>
  <si>
    <t>01809841</t>
  </si>
  <si>
    <t>UNEMPLOYMENT</t>
  </si>
  <si>
    <t>01809842</t>
  </si>
  <si>
    <t>01809845</t>
  </si>
  <si>
    <t>01809846</t>
  </si>
  <si>
    <t>01810000</t>
  </si>
  <si>
    <t>01810801</t>
  </si>
  <si>
    <t>01810802</t>
  </si>
  <si>
    <t>01810803</t>
  </si>
  <si>
    <t>01810804</t>
  </si>
  <si>
    <t>01810805</t>
  </si>
  <si>
    <t>01810810</t>
  </si>
  <si>
    <t>01810812</t>
  </si>
  <si>
    <t>01810814</t>
  </si>
  <si>
    <t>01810820</t>
  </si>
  <si>
    <t>01810825</t>
  </si>
  <si>
    <t>01810826</t>
  </si>
  <si>
    <t>01810830</t>
  </si>
  <si>
    <t>01810831</t>
  </si>
  <si>
    <t>01810832</t>
  </si>
  <si>
    <t>01810836</t>
  </si>
  <si>
    <t>01810840</t>
  </si>
  <si>
    <t>01810842</t>
  </si>
  <si>
    <t>01810846</t>
  </si>
  <si>
    <t>01810861</t>
  </si>
  <si>
    <t>01810862</t>
  </si>
  <si>
    <t>01810863</t>
  </si>
  <si>
    <t>01810896</t>
  </si>
  <si>
    <t>TRAVEL ALLOWANCE/STIPENDS</t>
  </si>
  <si>
    <t>01811000</t>
  </si>
  <si>
    <t>01811805</t>
  </si>
  <si>
    <t>01811814</t>
  </si>
  <si>
    <t>01811826</t>
  </si>
  <si>
    <t>01811842</t>
  </si>
  <si>
    <t>01812808</t>
  </si>
  <si>
    <t>01812814</t>
  </si>
  <si>
    <t>01812815</t>
  </si>
  <si>
    <t>01812816</t>
  </si>
  <si>
    <t>01812818</t>
  </si>
  <si>
    <t>01812846</t>
  </si>
  <si>
    <t>01812861</t>
  </si>
  <si>
    <t>01812862</t>
  </si>
  <si>
    <t>01812863</t>
  </si>
  <si>
    <t>01813801</t>
  </si>
  <si>
    <t>01813802</t>
  </si>
  <si>
    <t>01813803</t>
  </si>
  <si>
    <t>01813804</t>
  </si>
  <si>
    <t>01813805</t>
  </si>
  <si>
    <t>01813807</t>
  </si>
  <si>
    <t>01813808</t>
  </si>
  <si>
    <t>01813810</t>
  </si>
  <si>
    <t>01813811</t>
  </si>
  <si>
    <t>01813812</t>
  </si>
  <si>
    <t>01813813</t>
  </si>
  <si>
    <t>01813814</t>
  </si>
  <si>
    <t>01813816</t>
  </si>
  <si>
    <t>01813817</t>
  </si>
  <si>
    <t>01813820</t>
  </si>
  <si>
    <t>01813821</t>
  </si>
  <si>
    <t>01813822</t>
  </si>
  <si>
    <t>01813825</t>
  </si>
  <si>
    <t>01813826</t>
  </si>
  <si>
    <t>01813828</t>
  </si>
  <si>
    <t>01813830</t>
  </si>
  <si>
    <t>01813831</t>
  </si>
  <si>
    <t>01813832</t>
  </si>
  <si>
    <t>01813836</t>
  </si>
  <si>
    <t>01813837</t>
  </si>
  <si>
    <t>01813839</t>
  </si>
  <si>
    <t>01813840</t>
  </si>
  <si>
    <t>01813841</t>
  </si>
  <si>
    <t>01813842</t>
  </si>
  <si>
    <t>01813845</t>
  </si>
  <si>
    <t>01813846</t>
  </si>
  <si>
    <t>01813861</t>
  </si>
  <si>
    <t>01813862</t>
  </si>
  <si>
    <t>01813863</t>
  </si>
  <si>
    <t>01814000</t>
  </si>
  <si>
    <t>01814801</t>
  </si>
  <si>
    <t>01814803</t>
  </si>
  <si>
    <t>01814804</t>
  </si>
  <si>
    <t>01814805</t>
  </si>
  <si>
    <t>01814810</t>
  </si>
  <si>
    <t>01814812</t>
  </si>
  <si>
    <t>01814813</t>
  </si>
  <si>
    <t>01814814</t>
  </si>
  <si>
    <t>01814817</t>
  </si>
  <si>
    <t>01814820</t>
  </si>
  <si>
    <t>01814821</t>
  </si>
  <si>
    <t>01814822</t>
  </si>
  <si>
    <t>01814825</t>
  </si>
  <si>
    <t>01814826</t>
  </si>
  <si>
    <t>01814830</t>
  </si>
  <si>
    <t>01814831</t>
  </si>
  <si>
    <t>01814832</t>
  </si>
  <si>
    <t>01814836</t>
  </si>
  <si>
    <t>01814839</t>
  </si>
  <si>
    <t>01814840</t>
  </si>
  <si>
    <t>01814841</t>
  </si>
  <si>
    <t>01814842</t>
  </si>
  <si>
    <t>01814861</t>
  </si>
  <si>
    <t>01814862</t>
  </si>
  <si>
    <t>01814863</t>
  </si>
  <si>
    <t>01815000</t>
  </si>
  <si>
    <t>01815801</t>
  </si>
  <si>
    <t>01815803</t>
  </si>
  <si>
    <t>01815805</t>
  </si>
  <si>
    <t>01815808</t>
  </si>
  <si>
    <t>01815810</t>
  </si>
  <si>
    <t>01815813</t>
  </si>
  <si>
    <t>01815814</t>
  </si>
  <si>
    <t>01815815</t>
  </si>
  <si>
    <t>01815816</t>
  </si>
  <si>
    <t>01815817</t>
  </si>
  <si>
    <t>01815818</t>
  </si>
  <si>
    <t>01815821</t>
  </si>
  <si>
    <t>01815822</t>
  </si>
  <si>
    <t>01815825</t>
  </si>
  <si>
    <t>01815826</t>
  </si>
  <si>
    <t>01815830</t>
  </si>
  <si>
    <t>01815831</t>
  </si>
  <si>
    <t>01815832</t>
  </si>
  <si>
    <t>01815836</t>
  </si>
  <si>
    <t>01815839</t>
  </si>
  <si>
    <t>01815840</t>
  </si>
  <si>
    <t>01815841</t>
  </si>
  <si>
    <t>01815845</t>
  </si>
  <si>
    <t>01815846</t>
  </si>
  <si>
    <t>01815861</t>
  </si>
  <si>
    <t>01815862</t>
  </si>
  <si>
    <t>01815863</t>
  </si>
  <si>
    <t>01816801</t>
  </si>
  <si>
    <t>01816803</t>
  </si>
  <si>
    <t>01816805</t>
  </si>
  <si>
    <t>01816808</t>
  </si>
  <si>
    <t>01816810</t>
  </si>
  <si>
    <t>01816813</t>
  </si>
  <si>
    <t>01816814</t>
  </si>
  <si>
    <t>01816815</t>
  </si>
  <si>
    <t>01816816</t>
  </si>
  <si>
    <t>01816817</t>
  </si>
  <si>
    <t>01816818</t>
  </si>
  <si>
    <t>01816821</t>
  </si>
  <si>
    <t>01816822</t>
  </si>
  <si>
    <t>01816825</t>
  </si>
  <si>
    <t>01816830</t>
  </si>
  <si>
    <t>01816831</t>
  </si>
  <si>
    <t>01816832</t>
  </si>
  <si>
    <t>01816836</t>
  </si>
  <si>
    <t>01816837</t>
  </si>
  <si>
    <t>01816839</t>
  </si>
  <si>
    <t>01816840</t>
  </si>
  <si>
    <t>01816841</t>
  </si>
  <si>
    <t>01816842</t>
  </si>
  <si>
    <t>01816845</t>
  </si>
  <si>
    <t>01816846</t>
  </si>
  <si>
    <t>01816861</t>
  </si>
  <si>
    <t>SPORT OFFICIAL PAY</t>
  </si>
  <si>
    <t>01816862</t>
  </si>
  <si>
    <t>01816863</t>
  </si>
  <si>
    <t>01817801</t>
  </si>
  <si>
    <t>01817803</t>
  </si>
  <si>
    <t>01817805</t>
  </si>
  <si>
    <t>01817808</t>
  </si>
  <si>
    <t>01817810</t>
  </si>
  <si>
    <t>01817813</t>
  </si>
  <si>
    <t>01817814</t>
  </si>
  <si>
    <t>01817815</t>
  </si>
  <si>
    <t>01817816</t>
  </si>
  <si>
    <t>01817817</t>
  </si>
  <si>
    <t>01817818</t>
  </si>
  <si>
    <t>01817821</t>
  </si>
  <si>
    <t>01817822</t>
  </si>
  <si>
    <t>01817825</t>
  </si>
  <si>
    <t>01817826</t>
  </si>
  <si>
    <t>01817830</t>
  </si>
  <si>
    <t>01817831</t>
  </si>
  <si>
    <t>01817832</t>
  </si>
  <si>
    <t>01817836</t>
  </si>
  <si>
    <t>01817837</t>
  </si>
  <si>
    <t>01817839</t>
  </si>
  <si>
    <t>01817840</t>
  </si>
  <si>
    <t>01817841</t>
  </si>
  <si>
    <t>01817842</t>
  </si>
  <si>
    <t>01817845</t>
  </si>
  <si>
    <t>01817846</t>
  </si>
  <si>
    <t>01817861</t>
  </si>
  <si>
    <t>01817862</t>
  </si>
  <si>
    <t>01817863</t>
  </si>
  <si>
    <t>01818000</t>
  </si>
  <si>
    <t>01818801</t>
  </si>
  <si>
    <t>01818805</t>
  </si>
  <si>
    <t>01818808</t>
  </si>
  <si>
    <t>01818810</t>
  </si>
  <si>
    <t>01818813</t>
  </si>
  <si>
    <t>01818814</t>
  </si>
  <si>
    <t>01818815</t>
  </si>
  <si>
    <t>01818816</t>
  </si>
  <si>
    <t>01818817</t>
  </si>
  <si>
    <t>01818818</t>
  </si>
  <si>
    <t>01818821</t>
  </si>
  <si>
    <t>01818822</t>
  </si>
  <si>
    <t>01818825</t>
  </si>
  <si>
    <t>01818826</t>
  </si>
  <si>
    <t>01818830</t>
  </si>
  <si>
    <t>01818831</t>
  </si>
  <si>
    <t>01818832</t>
  </si>
  <si>
    <t>01818836</t>
  </si>
  <si>
    <t>01818837</t>
  </si>
  <si>
    <t>01818839</t>
  </si>
  <si>
    <t>01818840</t>
  </si>
  <si>
    <t>01818841</t>
  </si>
  <si>
    <t>01818842</t>
  </si>
  <si>
    <t>01818845</t>
  </si>
  <si>
    <t>01818861</t>
  </si>
  <si>
    <t>01818862</t>
  </si>
  <si>
    <t>01818863</t>
  </si>
  <si>
    <t>01819000</t>
  </si>
  <si>
    <t>SPORTING EQUIPMENT</t>
  </si>
  <si>
    <t>01819801</t>
  </si>
  <si>
    <t>01819802</t>
  </si>
  <si>
    <t>01819803</t>
  </si>
  <si>
    <t>01819804</t>
  </si>
  <si>
    <t>01819805</t>
  </si>
  <si>
    <t>01819807</t>
  </si>
  <si>
    <t>01819810</t>
  </si>
  <si>
    <t>01819811</t>
  </si>
  <si>
    <t>01819812</t>
  </si>
  <si>
    <t>01819813</t>
  </si>
  <si>
    <t>01819814</t>
  </si>
  <si>
    <t>01819815</t>
  </si>
  <si>
    <t>01819816</t>
  </si>
  <si>
    <t>01819817</t>
  </si>
  <si>
    <t>01819818</t>
  </si>
  <si>
    <t>01819820</t>
  </si>
  <si>
    <t>01819821</t>
  </si>
  <si>
    <t>01819822</t>
  </si>
  <si>
    <t>01819825</t>
  </si>
  <si>
    <t>01819826</t>
  </si>
  <si>
    <t>01819830</t>
  </si>
  <si>
    <t>01819831</t>
  </si>
  <si>
    <t>01819832</t>
  </si>
  <si>
    <t>01819836</t>
  </si>
  <si>
    <t>01819837</t>
  </si>
  <si>
    <t>01819839</t>
  </si>
  <si>
    <t>01819840</t>
  </si>
  <si>
    <t>01819841</t>
  </si>
  <si>
    <t>01819842</t>
  </si>
  <si>
    <t>01819861</t>
  </si>
  <si>
    <t>01819862</t>
  </si>
  <si>
    <t>01819863</t>
  </si>
  <si>
    <t>01820808</t>
  </si>
  <si>
    <t>01820826</t>
  </si>
  <si>
    <t>01820861</t>
  </si>
  <si>
    <t>01820862</t>
  </si>
  <si>
    <t>01820863</t>
  </si>
  <si>
    <t>01822000</t>
  </si>
  <si>
    <t>BUILDING MATERIALS &amp; SUPPLIE</t>
  </si>
  <si>
    <t>HARDWARE/TOOLS</t>
  </si>
  <si>
    <t>AUTOMOTIVE SHOP EQUIPMENT</t>
  </si>
  <si>
    <t>01822808</t>
  </si>
  <si>
    <t>01822815</t>
  </si>
  <si>
    <t>01822861</t>
  </si>
  <si>
    <t>01822862</t>
  </si>
  <si>
    <t>01822863</t>
  </si>
  <si>
    <t>01823000</t>
  </si>
  <si>
    <t>01823815</t>
  </si>
  <si>
    <t>01823816</t>
  </si>
  <si>
    <t>01823861</t>
  </si>
  <si>
    <t>01823863</t>
  </si>
  <si>
    <t>01825000</t>
  </si>
  <si>
    <t>01825814</t>
  </si>
  <si>
    <t>01825836</t>
  </si>
  <si>
    <t>01826000</t>
  </si>
  <si>
    <t>FT HOME BOUND PAY</t>
  </si>
  <si>
    <t>01827000</t>
  </si>
  <si>
    <t>BOE TUITION</t>
  </si>
  <si>
    <t>LEGAL SERVICES</t>
  </si>
  <si>
    <t>MEDICAL SERVICES</t>
  </si>
  <si>
    <t>01827800</t>
  </si>
  <si>
    <t>01827801</t>
  </si>
  <si>
    <t>01827802</t>
  </si>
  <si>
    <t>01827803</t>
  </si>
  <si>
    <t>01827804</t>
  </si>
  <si>
    <t>01827805</t>
  </si>
  <si>
    <t>01827807</t>
  </si>
  <si>
    <t>01827810</t>
  </si>
  <si>
    <t>01827811</t>
  </si>
  <si>
    <t>01827812</t>
  </si>
  <si>
    <t>01827813</t>
  </si>
  <si>
    <t>01827814</t>
  </si>
  <si>
    <t>01827816</t>
  </si>
  <si>
    <t>01827817</t>
  </si>
  <si>
    <t>01827820</t>
  </si>
  <si>
    <t>01827821</t>
  </si>
  <si>
    <t>01827822</t>
  </si>
  <si>
    <t>01827825</t>
  </si>
  <si>
    <t>01827826</t>
  </si>
  <si>
    <t>01827828</t>
  </si>
  <si>
    <t>01827830</t>
  </si>
  <si>
    <t>01827831</t>
  </si>
  <si>
    <t>01827832</t>
  </si>
  <si>
    <t>01827836</t>
  </si>
  <si>
    <t>01827839</t>
  </si>
  <si>
    <t>01827840</t>
  </si>
  <si>
    <t>01827841</t>
  </si>
  <si>
    <t>01827842</t>
  </si>
  <si>
    <t>01827844</t>
  </si>
  <si>
    <t>01827845</t>
  </si>
  <si>
    <t>01827846</t>
  </si>
  <si>
    <t>01827861</t>
  </si>
  <si>
    <t>01827862</t>
  </si>
  <si>
    <t>01827863</t>
  </si>
  <si>
    <t>01828000</t>
  </si>
  <si>
    <t>01828828</t>
  </si>
  <si>
    <t>01828844</t>
  </si>
  <si>
    <t>01829000</t>
  </si>
  <si>
    <t>01829801</t>
  </si>
  <si>
    <t>01829802</t>
  </si>
  <si>
    <t>01829803</t>
  </si>
  <si>
    <t>01829804</t>
  </si>
  <si>
    <t>01829805</t>
  </si>
  <si>
    <t>01829807</t>
  </si>
  <si>
    <t>01829810</t>
  </si>
  <si>
    <t>01829812</t>
  </si>
  <si>
    <t>01829813</t>
  </si>
  <si>
    <t>01829814</t>
  </si>
  <si>
    <t>01829817</t>
  </si>
  <si>
    <t>01829820</t>
  </si>
  <si>
    <t>01829821</t>
  </si>
  <si>
    <t>01829822</t>
  </si>
  <si>
    <t>01829825</t>
  </si>
  <si>
    <t>01829826</t>
  </si>
  <si>
    <t>01829828</t>
  </si>
  <si>
    <t>01829830</t>
  </si>
  <si>
    <t>01829831</t>
  </si>
  <si>
    <t>01829832</t>
  </si>
  <si>
    <t>01829836</t>
  </si>
  <si>
    <t>01829837</t>
  </si>
  <si>
    <t>01829839</t>
  </si>
  <si>
    <t>01829840</t>
  </si>
  <si>
    <t>01829841</t>
  </si>
  <si>
    <t>01829842</t>
  </si>
  <si>
    <t>01829844</t>
  </si>
  <si>
    <t>01829845</t>
  </si>
  <si>
    <t>01829846</t>
  </si>
  <si>
    <t>01829861</t>
  </si>
  <si>
    <t>01829862</t>
  </si>
  <si>
    <t>01829863</t>
  </si>
  <si>
    <t>01830000</t>
  </si>
  <si>
    <t>01831000</t>
  </si>
  <si>
    <t>01832000</t>
  </si>
  <si>
    <t>01832822</t>
  </si>
  <si>
    <t>01832826</t>
  </si>
  <si>
    <t>01834000</t>
  </si>
  <si>
    <t>01834801</t>
  </si>
  <si>
    <t>01834831</t>
  </si>
  <si>
    <t>01834842</t>
  </si>
  <si>
    <t>01835000</t>
  </si>
  <si>
    <t>LIABILITY INSURANCE</t>
  </si>
  <si>
    <t>COMPUTER SUPPLIES</t>
  </si>
  <si>
    <t>MEETING/WORKSHOP/CATERING FOOD</t>
  </si>
  <si>
    <t>DIESEL</t>
  </si>
  <si>
    <t>GASOLINE</t>
  </si>
  <si>
    <t>LABORATORY SUPPLIES</t>
  </si>
  <si>
    <t>MEDICAL SUPPLIES</t>
  </si>
  <si>
    <t>OTHER SUPPLIES</t>
  </si>
  <si>
    <t>SUBSCRIPTIONS</t>
  </si>
  <si>
    <t>TRANSPORTATION EQUIPMENT</t>
  </si>
  <si>
    <t>OTHER MAINTENANCE &amp; REPAIR S</t>
  </si>
  <si>
    <t>01835864</t>
  </si>
  <si>
    <t>01836000</t>
  </si>
  <si>
    <t>01837000</t>
  </si>
  <si>
    <t>01838000</t>
  </si>
  <si>
    <t>01839000</t>
  </si>
  <si>
    <t>01840000</t>
  </si>
  <si>
    <t>01841000</t>
  </si>
  <si>
    <t>01842000</t>
  </si>
  <si>
    <t>01843000</t>
  </si>
  <si>
    <t>EMPLOYEE COACHING PAY</t>
  </si>
  <si>
    <t>UNIFORMS</t>
  </si>
  <si>
    <t>01844000</t>
  </si>
  <si>
    <t>01845000</t>
  </si>
  <si>
    <t>01846000</t>
  </si>
  <si>
    <t>WATER UTILITY</t>
  </si>
  <si>
    <t>SEWER USER FEES</t>
  </si>
  <si>
    <t>ELECTRIC UTILITY SERVICES</t>
  </si>
  <si>
    <t>GAS UTILITY SERVICES</t>
  </si>
  <si>
    <t>TELEPHONE SERVICES</t>
  </si>
  <si>
    <t>PLUMBING SUPPLIES</t>
  </si>
  <si>
    <t>ELECTRICAL EQUIPMENT</t>
  </si>
  <si>
    <t>HVAC EQUIPMENT</t>
  </si>
  <si>
    <t>OFFICE EQUIPMENT RENTAL/LEAS</t>
  </si>
  <si>
    <t>WATER/SEWER EQUIPMENT</t>
  </si>
  <si>
    <t>BUILDING MAINTENANCE SERVICE</t>
  </si>
  <si>
    <t>CONSTRUCTION SERVICES</t>
  </si>
  <si>
    <t>ENVIRONMENTAL SERVICES</t>
  </si>
  <si>
    <t>LANDSCAPING SERVICES</t>
  </si>
  <si>
    <t>REFUSE SERVICES</t>
  </si>
  <si>
    <t>SECURITY SERVICES</t>
  </si>
  <si>
    <t>01847000</t>
  </si>
  <si>
    <t>01848000</t>
  </si>
  <si>
    <t>01849000</t>
  </si>
  <si>
    <t>01850000</t>
  </si>
  <si>
    <t>DENTAL PPO - COBRA/RETIREE</t>
  </si>
  <si>
    <t>VISION FEE - BOE RET/COBRA</t>
  </si>
  <si>
    <t>DENTAL HMO - BOE RETIREES</t>
  </si>
  <si>
    <t>LIFE INSURANCE BOE ACTIVE</t>
  </si>
  <si>
    <t>CLMS DNTL- BOE RETIREES</t>
  </si>
  <si>
    <t>STATE OF CT ANNUAL ASMT FEE</t>
  </si>
  <si>
    <t>CT 2ND INJURY FUND ASSESSM</t>
  </si>
  <si>
    <t>WORKERS' COMP ADM FEE</t>
  </si>
  <si>
    <t>WORKERS' COMP INDM - CERTIFIED</t>
  </si>
  <si>
    <t>WORKERS' COMP MED - CERTIFIED</t>
  </si>
  <si>
    <t>CT PARTNERSHIP BOE RETIREES</t>
  </si>
  <si>
    <t>MEDICAL MEDICARE RETIREES BOE</t>
  </si>
  <si>
    <t>ACTUARIAL SERVICES</t>
  </si>
  <si>
    <t>MANAGEMENT SERVICES</t>
  </si>
  <si>
    <t>01851000</t>
  </si>
  <si>
    <t>01852000</t>
  </si>
  <si>
    <t>01853000</t>
  </si>
  <si>
    <t>01853801</t>
  </si>
  <si>
    <t>01853805</t>
  </si>
  <si>
    <t>01853810</t>
  </si>
  <si>
    <t>01853813</t>
  </si>
  <si>
    <t>01853814</t>
  </si>
  <si>
    <t>01853818</t>
  </si>
  <si>
    <t>01853821</t>
  </si>
  <si>
    <t>01853822</t>
  </si>
  <si>
    <t>01853825</t>
  </si>
  <si>
    <t>01853828</t>
  </si>
  <si>
    <t>01853830</t>
  </si>
  <si>
    <t>01853832</t>
  </si>
  <si>
    <t>01853836</t>
  </si>
  <si>
    <t>01853839</t>
  </si>
  <si>
    <t>01853840</t>
  </si>
  <si>
    <t>01853841</t>
  </si>
  <si>
    <t>01853842</t>
  </si>
  <si>
    <t>01853844</t>
  </si>
  <si>
    <t>01853861</t>
  </si>
  <si>
    <t>01853862</t>
  </si>
  <si>
    <t>01853863</t>
  </si>
  <si>
    <t>01854000</t>
  </si>
  <si>
    <t>EDUCATIONAL SERVICES</t>
  </si>
  <si>
    <t>01854801</t>
  </si>
  <si>
    <t>01854810</t>
  </si>
  <si>
    <t>01854820</t>
  </si>
  <si>
    <t>01854822</t>
  </si>
  <si>
    <t>01854825</t>
  </si>
  <si>
    <t>01854826</t>
  </si>
  <si>
    <t>01854828</t>
  </si>
  <si>
    <t>01854830</t>
  </si>
  <si>
    <t>01854832</t>
  </si>
  <si>
    <t>01854836</t>
  </si>
  <si>
    <t>01854840</t>
  </si>
  <si>
    <t>01854844</t>
  </si>
  <si>
    <t>01854861</t>
  </si>
  <si>
    <t>01854862</t>
  </si>
  <si>
    <t>01854984</t>
  </si>
  <si>
    <t>01855000</t>
  </si>
  <si>
    <t>01855801</t>
  </si>
  <si>
    <t>01855807</t>
  </si>
  <si>
    <t>01855808</t>
  </si>
  <si>
    <t>01855810</t>
  </si>
  <si>
    <t>01855815</t>
  </si>
  <si>
    <t>01855816</t>
  </si>
  <si>
    <t>01855817</t>
  </si>
  <si>
    <t>01855818</t>
  </si>
  <si>
    <t>01855822</t>
  </si>
  <si>
    <t>01855826</t>
  </si>
  <si>
    <t>01855830</t>
  </si>
  <si>
    <t>01855836</t>
  </si>
  <si>
    <t>01855837</t>
  </si>
  <si>
    <t>01855839</t>
  </si>
  <si>
    <t>01855842</t>
  </si>
  <si>
    <t>01855845</t>
  </si>
  <si>
    <t>01855861</t>
  </si>
  <si>
    <t>01855862</t>
  </si>
  <si>
    <t>01855863</t>
  </si>
  <si>
    <t>01855864</t>
  </si>
  <si>
    <t>01856000</t>
  </si>
  <si>
    <t>01856801</t>
  </si>
  <si>
    <t>01856803</t>
  </si>
  <si>
    <t>01856804</t>
  </si>
  <si>
    <t>01856814</t>
  </si>
  <si>
    <t>01856817</t>
  </si>
  <si>
    <t>01856822</t>
  </si>
  <si>
    <t>01856825</t>
  </si>
  <si>
    <t>01856832</t>
  </si>
  <si>
    <t>01856836</t>
  </si>
  <si>
    <t>01856839</t>
  </si>
  <si>
    <t>01856844</t>
  </si>
  <si>
    <t>01857000</t>
  </si>
  <si>
    <t>01857822</t>
  </si>
  <si>
    <t>01858805</t>
  </si>
  <si>
    <t>01858811</t>
  </si>
  <si>
    <t>01858814</t>
  </si>
  <si>
    <t>01858817</t>
  </si>
  <si>
    <t>01858826</t>
  </si>
  <si>
    <t>01858832</t>
  </si>
  <si>
    <t>01858836</t>
  </si>
  <si>
    <t>01858862</t>
  </si>
  <si>
    <t>01858863</t>
  </si>
  <si>
    <t>01860000</t>
  </si>
  <si>
    <t>EMP TUITION AND/OR TRAVEL REIM</t>
  </si>
  <si>
    <t>01860800</t>
  </si>
  <si>
    <t>01860801</t>
  </si>
  <si>
    <t>01860802</t>
  </si>
  <si>
    <t>01860803</t>
  </si>
  <si>
    <t>01860804</t>
  </si>
  <si>
    <t>01860805</t>
  </si>
  <si>
    <t>01860807</t>
  </si>
  <si>
    <t>01860810</t>
  </si>
  <si>
    <t>01860811</t>
  </si>
  <si>
    <t>01860812</t>
  </si>
  <si>
    <t>01860813</t>
  </si>
  <si>
    <t>01860814</t>
  </si>
  <si>
    <t>01860816</t>
  </si>
  <si>
    <t>01860817</t>
  </si>
  <si>
    <t>01860820</t>
  </si>
  <si>
    <t>01860821</t>
  </si>
  <si>
    <t>01860822</t>
  </si>
  <si>
    <t>01860825</t>
  </si>
  <si>
    <t>01860826</t>
  </si>
  <si>
    <t>01860828</t>
  </si>
  <si>
    <t>01860830</t>
  </si>
  <si>
    <t>01860831</t>
  </si>
  <si>
    <t>01860832</t>
  </si>
  <si>
    <t>01860836</t>
  </si>
  <si>
    <t>01860837</t>
  </si>
  <si>
    <t>01860839</t>
  </si>
  <si>
    <t>01860840</t>
  </si>
  <si>
    <t>01860841</t>
  </si>
  <si>
    <t>01860844</t>
  </si>
  <si>
    <t>01860845</t>
  </si>
  <si>
    <t>01860846</t>
  </si>
  <si>
    <t>01860862</t>
  </si>
  <si>
    <t>01860864</t>
  </si>
  <si>
    <t>01860984</t>
  </si>
  <si>
    <t>01861000</t>
  </si>
  <si>
    <t>01861814</t>
  </si>
  <si>
    <t>01861844</t>
  </si>
  <si>
    <t>01863000</t>
  </si>
  <si>
    <t>TRAVEL SERVICES</t>
  </si>
  <si>
    <t>01864000</t>
  </si>
  <si>
    <t>01865000</t>
  </si>
  <si>
    <t>01866000</t>
  </si>
  <si>
    <t>ADVERTISING SERVICES</t>
  </si>
  <si>
    <t>01867000</t>
  </si>
  <si>
    <t>01868000</t>
  </si>
  <si>
    <t>UNUSED PERSONAL TIME PAYOUT</t>
  </si>
  <si>
    <t>01869000</t>
  </si>
  <si>
    <t>01869851</t>
  </si>
  <si>
    <t>01870000</t>
  </si>
  <si>
    <t>01871000</t>
  </si>
  <si>
    <t>HOLIDAY 2X OVERTIME PAY</t>
  </si>
  <si>
    <t>01872000</t>
  </si>
  <si>
    <t>ACTING PAY</t>
  </si>
  <si>
    <t>NORMAL STNDRD SHIFT DIFFER</t>
  </si>
  <si>
    <t>01873000</t>
  </si>
  <si>
    <t>COMMUNICATION SUPPLIES</t>
  </si>
  <si>
    <t>ELECTRONIC SUPPLIES</t>
  </si>
  <si>
    <t>COMPUTER EQUIPMENT</t>
  </si>
  <si>
    <t>VEHICLE MAINTENANCE SERVICES</t>
  </si>
  <si>
    <t>01874000</t>
  </si>
  <si>
    <t>01875000</t>
  </si>
  <si>
    <t>01876000</t>
  </si>
  <si>
    <t>01877000</t>
  </si>
  <si>
    <t>01878000</t>
  </si>
  <si>
    <t>01879000</t>
  </si>
  <si>
    <t>01882000</t>
  </si>
  <si>
    <t>01883000</t>
  </si>
  <si>
    <t>01883579</t>
  </si>
  <si>
    <t>01883800</t>
  </si>
  <si>
    <t>01883801</t>
  </si>
  <si>
    <t>01883802</t>
  </si>
  <si>
    <t>01883803</t>
  </si>
  <si>
    <t>01883804</t>
  </si>
  <si>
    <t>01883805</t>
  </si>
  <si>
    <t>01883807</t>
  </si>
  <si>
    <t>01883810</t>
  </si>
  <si>
    <t>01883811</t>
  </si>
  <si>
    <t>01883812</t>
  </si>
  <si>
    <t>01883813</t>
  </si>
  <si>
    <t>01883814</t>
  </si>
  <si>
    <t>01883815</t>
  </si>
  <si>
    <t>01883816</t>
  </si>
  <si>
    <t>01883817</t>
  </si>
  <si>
    <t>01883820</t>
  </si>
  <si>
    <t>01883821</t>
  </si>
  <si>
    <t>01883822</t>
  </si>
  <si>
    <t>01883825</t>
  </si>
  <si>
    <t>01883826</t>
  </si>
  <si>
    <t>01883828</t>
  </si>
  <si>
    <t>01883830</t>
  </si>
  <si>
    <t>01883831</t>
  </si>
  <si>
    <t>01883832</t>
  </si>
  <si>
    <t>01883836</t>
  </si>
  <si>
    <t>01883837</t>
  </si>
  <si>
    <t>01883839</t>
  </si>
  <si>
    <t>01883840</t>
  </si>
  <si>
    <t>01883841</t>
  </si>
  <si>
    <t>01883842</t>
  </si>
  <si>
    <t>01883843</t>
  </si>
  <si>
    <t>01883844</t>
  </si>
  <si>
    <t>01883845</t>
  </si>
  <si>
    <t>01883846</t>
  </si>
  <si>
    <t>01883855</t>
  </si>
  <si>
    <t>01883861</t>
  </si>
  <si>
    <t>01883862</t>
  </si>
  <si>
    <t>01883863</t>
  </si>
  <si>
    <t>01883864</t>
  </si>
  <si>
    <t>01883984</t>
  </si>
  <si>
    <t>01884000</t>
  </si>
  <si>
    <t>01885000</t>
  </si>
  <si>
    <t>01886000</t>
  </si>
  <si>
    <t>SHIFT 2 - 2X OVERTIME</t>
  </si>
  <si>
    <t>01886878</t>
  </si>
  <si>
    <t>01887000</t>
  </si>
  <si>
    <t>01887070</t>
  </si>
  <si>
    <t>01887579</t>
  </si>
  <si>
    <t>01887800</t>
  </si>
  <si>
    <t>SHIFT 3 - 1.5X OVERTIME</t>
  </si>
  <si>
    <t>SHIFT 3 - 2X OVERTIME</t>
  </si>
  <si>
    <t>01887801</t>
  </si>
  <si>
    <t>01887802</t>
  </si>
  <si>
    <t>01887803</t>
  </si>
  <si>
    <t>01887804</t>
  </si>
  <si>
    <t>01887805</t>
  </si>
  <si>
    <t>01887807</t>
  </si>
  <si>
    <t>01887808</t>
  </si>
  <si>
    <t>01887810</t>
  </si>
  <si>
    <t>01887811</t>
  </si>
  <si>
    <t>01887812</t>
  </si>
  <si>
    <t>01887813</t>
  </si>
  <si>
    <t>01887814</t>
  </si>
  <si>
    <t>01887815</t>
  </si>
  <si>
    <t>01887816</t>
  </si>
  <si>
    <t>01887817</t>
  </si>
  <si>
    <t>01887820</t>
  </si>
  <si>
    <t>01887821</t>
  </si>
  <si>
    <t>01887822</t>
  </si>
  <si>
    <t>01887825</t>
  </si>
  <si>
    <t>01887826</t>
  </si>
  <si>
    <t>01887828</t>
  </si>
  <si>
    <t>01887830</t>
  </si>
  <si>
    <t>01887831</t>
  </si>
  <si>
    <t>01887832</t>
  </si>
  <si>
    <t>01887835</t>
  </si>
  <si>
    <t>01887836</t>
  </si>
  <si>
    <t>01887837</t>
  </si>
  <si>
    <t>01887839</t>
  </si>
  <si>
    <t>01887840</t>
  </si>
  <si>
    <t>01887841</t>
  </si>
  <si>
    <t>01887842</t>
  </si>
  <si>
    <t>01887844</t>
  </si>
  <si>
    <t>01887845</t>
  </si>
  <si>
    <t>01887855</t>
  </si>
  <si>
    <t>01887861</t>
  </si>
  <si>
    <t>01887862</t>
  </si>
  <si>
    <t>01887863</t>
  </si>
  <si>
    <t>01887864</t>
  </si>
  <si>
    <t>01887895</t>
  </si>
  <si>
    <t>01887984</t>
  </si>
  <si>
    <t>01888000</t>
  </si>
  <si>
    <t>01888811</t>
  </si>
  <si>
    <t>01888812</t>
  </si>
  <si>
    <t>01888816</t>
  </si>
  <si>
    <t>01888820</t>
  </si>
  <si>
    <t>01888822</t>
  </si>
  <si>
    <t>01888831</t>
  </si>
  <si>
    <t>01888861</t>
  </si>
  <si>
    <t>01889000</t>
  </si>
  <si>
    <t>JANITOR/ENGINEER RETIREMEN</t>
  </si>
  <si>
    <t>01890000</t>
  </si>
  <si>
    <t>CLEANING SUPPLIES</t>
  </si>
  <si>
    <t>PAPER AND PLASTIC SUPPLIES</t>
  </si>
  <si>
    <t>CLEANING EQUIPMENT</t>
  </si>
  <si>
    <t>PARKS EQUIPMENT</t>
  </si>
  <si>
    <t>01891000</t>
  </si>
  <si>
    <t>HEATING OIL</t>
  </si>
  <si>
    <t>01892000</t>
  </si>
  <si>
    <t>01893000</t>
  </si>
  <si>
    <t>OFFICE FURNITURE</t>
  </si>
  <si>
    <t>COMPUTER SERVICES</t>
  </si>
  <si>
    <t>894</t>
  </si>
  <si>
    <t>01894000</t>
  </si>
  <si>
    <t>ROADWAY SUPPLIES</t>
  </si>
  <si>
    <t>PUBLIC FACILITIES SERVICES</t>
  </si>
  <si>
    <t>01895000</t>
  </si>
  <si>
    <t>AUTOMOTIVE PARTS</t>
  </si>
  <si>
    <t>TIRES &amp; TUBES</t>
  </si>
  <si>
    <t>VEHICLES</t>
  </si>
  <si>
    <t>LANDSCAPING EQUIPMENT</t>
  </si>
  <si>
    <t>ROADWAY EQUIPMENT</t>
  </si>
  <si>
    <t>01896000</t>
  </si>
  <si>
    <t>EQUIPMENT RENTAL/LEASE</t>
  </si>
  <si>
    <t>01898000</t>
  </si>
  <si>
    <t>ACCREDITATION-BOE</t>
  </si>
  <si>
    <t>REQUIRED RESERVE</t>
  </si>
  <si>
    <t>51000</t>
  </si>
  <si>
    <t>51100</t>
  </si>
  <si>
    <t>51106</t>
  </si>
  <si>
    <t>51108</t>
  </si>
  <si>
    <t>51116</t>
  </si>
  <si>
    <t>51122</t>
  </si>
  <si>
    <t>51128</t>
  </si>
  <si>
    <t>51140</t>
  </si>
  <si>
    <t>51154</t>
  </si>
  <si>
    <t>51156</t>
  </si>
  <si>
    <t>51314</t>
  </si>
  <si>
    <t>51318</t>
  </si>
  <si>
    <t>51404</t>
  </si>
  <si>
    <t>52360</t>
  </si>
  <si>
    <t>52385</t>
  </si>
  <si>
    <t>52504</t>
  </si>
  <si>
    <t>52917</t>
  </si>
  <si>
    <t>52920</t>
  </si>
  <si>
    <t>Loc Code</t>
  </si>
  <si>
    <t>Location</t>
  </si>
  <si>
    <t>Barnum</t>
  </si>
  <si>
    <t>Beardsley</t>
  </si>
  <si>
    <t>Black Rock</t>
  </si>
  <si>
    <t>Bryant</t>
  </si>
  <si>
    <t>Columbus</t>
  </si>
  <si>
    <t>Edison</t>
  </si>
  <si>
    <t>Physical Science HS</t>
  </si>
  <si>
    <t>Marin</t>
  </si>
  <si>
    <t>Hall</t>
  </si>
  <si>
    <t>Hallen</t>
  </si>
  <si>
    <t>Hooker</t>
  </si>
  <si>
    <t>Batalla</t>
  </si>
  <si>
    <t>Info Tech HS</t>
  </si>
  <si>
    <t>BMA HS</t>
  </si>
  <si>
    <t>Park City Magnet</t>
  </si>
  <si>
    <t>Zoo Science HS</t>
  </si>
  <si>
    <t>Madison</t>
  </si>
  <si>
    <t>Classical Studies Academy</t>
  </si>
  <si>
    <t>Tisdale</t>
  </si>
  <si>
    <t>Read</t>
  </si>
  <si>
    <t>Roosevelt</t>
  </si>
  <si>
    <t>Bridgeport Learning Center</t>
  </si>
  <si>
    <t>Waltersville</t>
  </si>
  <si>
    <t>Claytor</t>
  </si>
  <si>
    <t>Johnson</t>
  </si>
  <si>
    <t>Winthrop</t>
  </si>
  <si>
    <t>Discovery</t>
  </si>
  <si>
    <t>Cross</t>
  </si>
  <si>
    <t>Blackham</t>
  </si>
  <si>
    <t>Dunbar</t>
  </si>
  <si>
    <t>Curiale</t>
  </si>
  <si>
    <t>Skane</t>
  </si>
  <si>
    <t>High Horizons Magnet</t>
  </si>
  <si>
    <t>Multicultural Magnet</t>
  </si>
  <si>
    <t>Traveler</t>
  </si>
  <si>
    <t>Bassick HS</t>
  </si>
  <si>
    <t>Central HS</t>
  </si>
  <si>
    <t>Harding HS</t>
  </si>
  <si>
    <t>Juvenile Detention Center</t>
  </si>
  <si>
    <t>Human Resources Office</t>
  </si>
  <si>
    <t>Superintendent's Office</t>
  </si>
  <si>
    <t>Office of Specialized Instruction</t>
  </si>
  <si>
    <t>FCW campus</t>
  </si>
  <si>
    <t>CSA Annex</t>
  </si>
  <si>
    <t>53905</t>
  </si>
  <si>
    <t>01855820</t>
  </si>
  <si>
    <t>01819808</t>
  </si>
  <si>
    <t>01803801</t>
  </si>
  <si>
    <t>01803842</t>
  </si>
  <si>
    <t>01814802</t>
  </si>
  <si>
    <t>01816826</t>
  </si>
  <si>
    <t>01809844</t>
  </si>
  <si>
    <t>01827879</t>
  </si>
  <si>
    <t>01815842</t>
  </si>
  <si>
    <t>01803000</t>
  </si>
  <si>
    <t>01834840</t>
  </si>
  <si>
    <t>01827808</t>
  </si>
  <si>
    <t>01827837</t>
  </si>
  <si>
    <t>01827818</t>
  </si>
  <si>
    <t>01815804</t>
  </si>
  <si>
    <t>01827815</t>
  </si>
  <si>
    <t>01834820</t>
  </si>
  <si>
    <t>01858801</t>
  </si>
  <si>
    <t>01817000</t>
  </si>
  <si>
    <t>01833000</t>
  </si>
  <si>
    <t>01858822</t>
  </si>
  <si>
    <t>01893821</t>
  </si>
  <si>
    <t>01817812</t>
  </si>
  <si>
    <t>01814828</t>
  </si>
  <si>
    <t>01801863</t>
  </si>
  <si>
    <t>01803831</t>
  </si>
  <si>
    <t>01829811</t>
  </si>
  <si>
    <t>FY2024</t>
  </si>
  <si>
    <t>FY2025</t>
  </si>
  <si>
    <t>FY2023</t>
  </si>
  <si>
    <t>FY2022</t>
  </si>
  <si>
    <t>800</t>
  </si>
  <si>
    <t>801</t>
  </si>
  <si>
    <t>804</t>
  </si>
  <si>
    <t>806</t>
  </si>
  <si>
    <t>810</t>
  </si>
  <si>
    <t>812</t>
  </si>
  <si>
    <t>01812805</t>
  </si>
  <si>
    <t>813</t>
  </si>
  <si>
    <t>814</t>
  </si>
  <si>
    <t>01814807</t>
  </si>
  <si>
    <t>01814811</t>
  </si>
  <si>
    <t>01814837</t>
  </si>
  <si>
    <t>815</t>
  </si>
  <si>
    <t>816</t>
  </si>
  <si>
    <t>817</t>
  </si>
  <si>
    <t>818</t>
  </si>
  <si>
    <t>819</t>
  </si>
  <si>
    <t>825</t>
  </si>
  <si>
    <t>01825831</t>
  </si>
  <si>
    <t>827</t>
  </si>
  <si>
    <t>829</t>
  </si>
  <si>
    <t>832</t>
  </si>
  <si>
    <t>01832862</t>
  </si>
  <si>
    <t>836</t>
  </si>
  <si>
    <t>853</t>
  </si>
  <si>
    <t>854</t>
  </si>
  <si>
    <t>01854814</t>
  </si>
  <si>
    <t>855</t>
  </si>
  <si>
    <t>856</t>
  </si>
  <si>
    <t>01856840</t>
  </si>
  <si>
    <t>860</t>
  </si>
  <si>
    <t>01860850</t>
  </si>
  <si>
    <t>868</t>
  </si>
  <si>
    <t>869</t>
  </si>
  <si>
    <t>872</t>
  </si>
  <si>
    <t>01872872</t>
  </si>
  <si>
    <t>873</t>
  </si>
  <si>
    <t>883</t>
  </si>
  <si>
    <t>887</t>
  </si>
  <si>
    <t>888</t>
  </si>
  <si>
    <t>01888813</t>
  </si>
  <si>
    <t>FY26 FORECAST</t>
  </si>
  <si>
    <t>FY2027 REQUESTED BUDGET</t>
  </si>
  <si>
    <t>JANUARY</t>
  </si>
  <si>
    <t>FY26 BUDGET</t>
  </si>
  <si>
    <t>FY20222</t>
  </si>
  <si>
    <t>FY20223</t>
  </si>
  <si>
    <t>FY2021</t>
  </si>
  <si>
    <t>FY2020</t>
  </si>
  <si>
    <t>01801828</t>
  </si>
  <si>
    <t>01818803</t>
  </si>
  <si>
    <t>01853807</t>
  </si>
  <si>
    <t>01853820</t>
  </si>
  <si>
    <t>01854808</t>
  </si>
  <si>
    <t>01856841</t>
  </si>
  <si>
    <t>01856837</t>
  </si>
  <si>
    <t>01860842</t>
  </si>
  <si>
    <t>01857844</t>
  </si>
  <si>
    <t>01821863</t>
  </si>
  <si>
    <t>51400</t>
  </si>
  <si>
    <t>55055</t>
  </si>
  <si>
    <t>TUTORING</t>
  </si>
  <si>
    <t>51390</t>
  </si>
  <si>
    <t>54720</t>
  </si>
  <si>
    <t>TEMP ACTING 1.5X OVERTIME</t>
  </si>
  <si>
    <t>51110</t>
  </si>
  <si>
    <t>51102</t>
  </si>
  <si>
    <t>809</t>
  </si>
  <si>
    <t>820</t>
  </si>
  <si>
    <t>822</t>
  </si>
  <si>
    <t>857</t>
  </si>
  <si>
    <t>874</t>
  </si>
  <si>
    <t>884</t>
  </si>
  <si>
    <t>886</t>
  </si>
  <si>
    <t>821</t>
  </si>
  <si>
    <t>828</t>
  </si>
  <si>
    <t>844</t>
  </si>
  <si>
    <t>51144</t>
  </si>
  <si>
    <t>846</t>
  </si>
  <si>
    <t>54545</t>
  </si>
  <si>
    <t>54745</t>
  </si>
  <si>
    <t>850</t>
  </si>
  <si>
    <t>CLAIMS DR/HSPTLS-BOE RETIREES</t>
  </si>
  <si>
    <t>52885</t>
  </si>
  <si>
    <t>861</t>
  </si>
  <si>
    <t>867</t>
  </si>
  <si>
    <t>882</t>
  </si>
  <si>
    <t>890</t>
  </si>
  <si>
    <t>54680</t>
  </si>
  <si>
    <t>893</t>
  </si>
  <si>
    <t>54670</t>
  </si>
  <si>
    <t>896</t>
  </si>
  <si>
    <t>53705</t>
  </si>
  <si>
    <t>WATER/SEWER SUPPLIES</t>
  </si>
  <si>
    <t>54765</t>
  </si>
  <si>
    <t>847</t>
  </si>
  <si>
    <t>864</t>
  </si>
  <si>
    <t>GENERAL FUND TREND</t>
  </si>
  <si>
    <t>2026-27 GENERAL OPERATING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</si>
</sst>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00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sz val="12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b/>
      <sz val="9"/>
      <color rgb="FF002060"/>
      <name val="Calibri"/>
      <family val="2"/>
    </font>
    <font>
      <sz val="10"/>
      <color rgb="FF002060"/>
      <name val="Calibri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2060"/>
      <name val="Arial Narrow"/>
      <family val="2"/>
    </font>
    <font>
      <b/>
      <sz val="8"/>
      <color rgb="FF002060"/>
      <name val="Arial Narrow"/>
      <family val="2"/>
    </font>
    <font>
      <b/>
      <sz val="11"/>
      <color rgb="FF002060"/>
      <name val="Calibri"/>
      <family val="2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b/>
      <sz val="10.5"/>
      <name val="Calibri"/>
      <family val="2"/>
    </font>
    <font>
      <sz val="10.5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9"/>
      <color rgb="FFFF0000"/>
      <name val="Calibri"/>
      <family val="2"/>
    </font>
    <font>
      <b/>
      <sz val="10"/>
      <color rgb="FFFF0000"/>
      <name val="Calibri"/>
      <family val="2"/>
    </font>
    <font>
      <b/>
      <i/>
      <sz val="10"/>
      <color rgb="FFC0000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</font>
    <font>
      <sz val="11"/>
      <color rgb="FF00206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  <scheme val="minor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9"/>
      <name val="Calibri"/>
      <family val="2"/>
    </font>
    <font>
      <b/>
      <sz val="9"/>
      <color indexed="9"/>
      <name val="Calibri"/>
      <family val="2"/>
    </font>
    <font>
      <b/>
      <sz val="10"/>
      <color indexed="8"/>
      <name val="Calibri"/>
      <family val="2"/>
    </font>
    <font>
      <b/>
      <sz val="9"/>
      <color indexed="9"/>
      <name val="Arial"/>
      <family val="2"/>
    </font>
    <font>
      <b/>
      <sz val="8"/>
      <color indexed="8"/>
      <name val="Calibri"/>
      <family val="2"/>
    </font>
    <font>
      <b/>
      <sz val="10"/>
      <color indexed="9"/>
      <name val="Calibri"/>
      <family val="2"/>
    </font>
    <font>
      <sz val="9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Calibri"/>
      <family val="2"/>
      <scheme val="minor"/>
    </font>
    <font>
      <sz val="8"/>
      <color rgb="FF000000"/>
      <name val="Arial"/>
      <family val="2"/>
    </font>
    <font>
      <sz val="9"/>
      <color theme="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theme="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70C0"/>
      <name val="Arial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70C0"/>
      <name val="Calibri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indexed="3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theme="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8" fillId="0" borderId="0"/>
    <xf numFmtId="0" fontId="4" fillId="0" borderId="0"/>
    <xf numFmtId="0" fontId="59" fillId="0" borderId="0"/>
    <xf numFmtId="0" fontId="4" fillId="0" borderId="0"/>
    <xf numFmtId="0" fontId="4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59" fillId="0" borderId="0"/>
  </cellStyleXfs>
  <cellXfs count="526">
    <xf numFmtId="0" fontId="0" fillId="0" borderId="0" xfId="0"/>
    <xf numFmtId="0" fontId="6" fillId="0" borderId="0" xfId="2" applyFont="1"/>
    <xf numFmtId="0" fontId="4" fillId="0" borderId="0" xfId="2"/>
    <xf numFmtId="0" fontId="6" fillId="0" borderId="2" xfId="2" applyFont="1" applyBorder="1" applyAlignment="1">
      <alignment vertical="center"/>
    </xf>
    <xf numFmtId="0" fontId="7" fillId="4" borderId="1" xfId="2" applyFont="1" applyFill="1" applyBorder="1" applyAlignment="1">
      <alignment horizontal="center" vertical="center"/>
    </xf>
    <xf numFmtId="0" fontId="8" fillId="4" borderId="0" xfId="2" applyFont="1" applyFill="1" applyAlignment="1">
      <alignment horizontal="center" vertical="center"/>
    </xf>
    <xf numFmtId="0" fontId="8" fillId="4" borderId="0" xfId="2" applyFont="1" applyFill="1" applyAlignment="1">
      <alignment vertical="center"/>
    </xf>
    <xf numFmtId="0" fontId="9" fillId="4" borderId="0" xfId="2" applyFont="1" applyFill="1" applyAlignment="1">
      <alignment horizontal="center" vertical="center"/>
    </xf>
    <xf numFmtId="0" fontId="8" fillId="4" borderId="2" xfId="2" applyFont="1" applyFill="1" applyBorder="1" applyAlignment="1">
      <alignment horizontal="center" vertical="center"/>
    </xf>
    <xf numFmtId="0" fontId="10" fillId="0" borderId="0" xfId="2" applyFont="1"/>
    <xf numFmtId="0" fontId="11" fillId="5" borderId="3" xfId="2" applyFont="1" applyFill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0" fontId="4" fillId="0" borderId="4" xfId="2" applyBorder="1" applyAlignment="1">
      <alignment vertical="center"/>
    </xf>
    <xf numFmtId="3" fontId="11" fillId="0" borderId="5" xfId="2" applyNumberFormat="1" applyFont="1" applyBorder="1" applyAlignment="1">
      <alignment vertical="center"/>
    </xf>
    <xf numFmtId="3" fontId="11" fillId="0" borderId="4" xfId="2" applyNumberFormat="1" applyFont="1" applyBorder="1" applyAlignment="1">
      <alignment vertical="center"/>
    </xf>
    <xf numFmtId="3" fontId="11" fillId="0" borderId="6" xfId="2" applyNumberFormat="1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3" fontId="11" fillId="0" borderId="0" xfId="2" applyNumberFormat="1" applyFont="1" applyAlignment="1">
      <alignment vertical="center"/>
    </xf>
    <xf numFmtId="0" fontId="12" fillId="0" borderId="0" xfId="2" applyFont="1" applyAlignment="1">
      <alignment vertical="center" wrapText="1"/>
    </xf>
    <xf numFmtId="0" fontId="14" fillId="0" borderId="0" xfId="2" applyFont="1" applyAlignment="1">
      <alignment vertical="center"/>
    </xf>
    <xf numFmtId="3" fontId="13" fillId="0" borderId="0" xfId="2" applyNumberFormat="1" applyFont="1" applyAlignment="1">
      <alignment vertical="center"/>
    </xf>
    <xf numFmtId="0" fontId="4" fillId="0" borderId="0" xfId="2" applyAlignment="1">
      <alignment vertical="center"/>
    </xf>
    <xf numFmtId="164" fontId="13" fillId="0" borderId="0" xfId="2" applyNumberFormat="1" applyFont="1" applyAlignment="1">
      <alignment vertical="center"/>
    </xf>
    <xf numFmtId="0" fontId="15" fillId="0" borderId="0" xfId="2" applyFont="1" applyAlignment="1">
      <alignment vertical="center"/>
    </xf>
    <xf numFmtId="3" fontId="11" fillId="0" borderId="2" xfId="2" applyNumberFormat="1" applyFont="1" applyBorder="1" applyAlignment="1">
      <alignment vertical="center"/>
    </xf>
    <xf numFmtId="0" fontId="11" fillId="6" borderId="0" xfId="2" applyFont="1" applyFill="1" applyAlignment="1">
      <alignment vertical="center"/>
    </xf>
    <xf numFmtId="0" fontId="13" fillId="6" borderId="0" xfId="2" applyFont="1" applyFill="1" applyAlignment="1">
      <alignment vertical="center"/>
    </xf>
    <xf numFmtId="3" fontId="12" fillId="6" borderId="0" xfId="2" applyNumberFormat="1" applyFont="1" applyFill="1" applyAlignment="1">
      <alignment vertical="center"/>
    </xf>
    <xf numFmtId="0" fontId="12" fillId="6" borderId="0" xfId="2" applyFont="1" applyFill="1" applyAlignment="1">
      <alignment vertical="center"/>
    </xf>
    <xf numFmtId="0" fontId="12" fillId="6" borderId="2" xfId="2" applyFont="1" applyFill="1" applyBorder="1" applyAlignment="1">
      <alignment vertical="center"/>
    </xf>
    <xf numFmtId="0" fontId="11" fillId="5" borderId="1" xfId="2" applyFont="1" applyFill="1" applyBorder="1" applyAlignment="1">
      <alignment vertical="center"/>
    </xf>
    <xf numFmtId="3" fontId="12" fillId="0" borderId="0" xfId="2" applyNumberFormat="1" applyFont="1" applyAlignment="1">
      <alignment vertical="center"/>
    </xf>
    <xf numFmtId="10" fontId="13" fillId="0" borderId="0" xfId="2" applyNumberFormat="1" applyFont="1" applyAlignment="1">
      <alignment vertical="center"/>
    </xf>
    <xf numFmtId="0" fontId="16" fillId="0" borderId="0" xfId="2" applyFont="1" applyAlignment="1">
      <alignment vertical="center" wrapText="1"/>
    </xf>
    <xf numFmtId="0" fontId="17" fillId="0" borderId="0" xfId="2" applyFont="1" applyAlignment="1">
      <alignment vertical="center"/>
    </xf>
    <xf numFmtId="164" fontId="14" fillId="0" borderId="0" xfId="2" applyNumberFormat="1" applyFont="1" applyAlignment="1">
      <alignment horizontal="center" vertical="center"/>
    </xf>
    <xf numFmtId="3" fontId="13" fillId="0" borderId="7" xfId="2" applyNumberFormat="1" applyFont="1" applyBorder="1" applyAlignment="1">
      <alignment vertical="center"/>
    </xf>
    <xf numFmtId="3" fontId="13" fillId="0" borderId="8" xfId="2" applyNumberFormat="1" applyFont="1" applyBorder="1" applyAlignment="1">
      <alignment vertical="center"/>
    </xf>
    <xf numFmtId="3" fontId="13" fillId="0" borderId="5" xfId="2" applyNumberFormat="1" applyFont="1" applyBorder="1" applyAlignment="1">
      <alignment vertical="center"/>
    </xf>
    <xf numFmtId="0" fontId="13" fillId="0" borderId="0" xfId="2" applyFont="1" applyAlignment="1">
      <alignment horizontal="center" vertical="center"/>
    </xf>
    <xf numFmtId="165" fontId="14" fillId="7" borderId="0" xfId="2" applyNumberFormat="1" applyFont="1" applyFill="1" applyAlignment="1">
      <alignment horizontal="center" vertical="center" wrapText="1"/>
    </xf>
    <xf numFmtId="0" fontId="14" fillId="7" borderId="2" xfId="2" applyFont="1" applyFill="1" applyBorder="1" applyAlignment="1">
      <alignment vertical="center" wrapText="1"/>
    </xf>
    <xf numFmtId="0" fontId="18" fillId="0" borderId="1" xfId="2" applyFont="1" applyBorder="1" applyAlignment="1">
      <alignment vertical="center"/>
    </xf>
    <xf numFmtId="0" fontId="13" fillId="8" borderId="0" xfId="2" applyFont="1" applyFill="1" applyAlignment="1">
      <alignment vertical="center"/>
    </xf>
    <xf numFmtId="165" fontId="13" fillId="0" borderId="0" xfId="2" applyNumberFormat="1" applyFont="1" applyAlignment="1">
      <alignment vertical="center"/>
    </xf>
    <xf numFmtId="165" fontId="13" fillId="0" borderId="5" xfId="2" applyNumberFormat="1" applyFont="1" applyBorder="1" applyAlignment="1">
      <alignment horizontal="center" vertical="center"/>
    </xf>
    <xf numFmtId="10" fontId="13" fillId="0" borderId="5" xfId="2" applyNumberFormat="1" applyFont="1" applyBorder="1" applyAlignment="1">
      <alignment horizontal="center" vertical="center"/>
    </xf>
    <xf numFmtId="164" fontId="19" fillId="0" borderId="0" xfId="2" applyNumberFormat="1" applyFont="1" applyAlignment="1">
      <alignment horizontal="center" vertical="center"/>
    </xf>
    <xf numFmtId="3" fontId="20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165" fontId="16" fillId="9" borderId="0" xfId="2" applyNumberFormat="1" applyFont="1" applyFill="1" applyAlignment="1">
      <alignment horizontal="center" vertical="center"/>
    </xf>
    <xf numFmtId="0" fontId="22" fillId="0" borderId="0" xfId="2" applyFont="1" applyAlignment="1">
      <alignment vertical="center"/>
    </xf>
    <xf numFmtId="3" fontId="23" fillId="0" borderId="0" xfId="2" applyNumberFormat="1" applyFont="1" applyAlignment="1">
      <alignment vertical="center"/>
    </xf>
    <xf numFmtId="0" fontId="23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3" fontId="25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3" fontId="26" fillId="0" borderId="0" xfId="2" applyNumberFormat="1" applyFont="1" applyAlignment="1">
      <alignment vertical="center"/>
    </xf>
    <xf numFmtId="165" fontId="12" fillId="0" borderId="0" xfId="2" applyNumberFormat="1" applyFont="1" applyAlignment="1">
      <alignment vertical="center"/>
    </xf>
    <xf numFmtId="165" fontId="11" fillId="0" borderId="1" xfId="2" applyNumberFormat="1" applyFont="1" applyBorder="1" applyAlignment="1">
      <alignment horizontal="center" vertical="center"/>
    </xf>
    <xf numFmtId="165" fontId="13" fillId="0" borderId="0" xfId="2" applyNumberFormat="1" applyFont="1" applyAlignment="1">
      <alignment horizontal="center" vertical="center"/>
    </xf>
    <xf numFmtId="0" fontId="13" fillId="10" borderId="0" xfId="2" applyFont="1" applyFill="1" applyAlignment="1">
      <alignment horizontal="center" vertical="center"/>
    </xf>
    <xf numFmtId="165" fontId="14" fillId="9" borderId="9" xfId="2" applyNumberFormat="1" applyFont="1" applyFill="1" applyBorder="1" applyAlignment="1">
      <alignment vertical="center"/>
    </xf>
    <xf numFmtId="165" fontId="13" fillId="9" borderId="9" xfId="2" applyNumberFormat="1" applyFont="1" applyFill="1" applyBorder="1" applyAlignment="1">
      <alignment vertical="center"/>
    </xf>
    <xf numFmtId="38" fontId="27" fillId="0" borderId="9" xfId="2" applyNumberFormat="1" applyFont="1" applyBorder="1" applyAlignment="1">
      <alignment vertical="center"/>
    </xf>
    <xf numFmtId="2" fontId="28" fillId="0" borderId="9" xfId="2" applyNumberFormat="1" applyFont="1" applyBorder="1" applyAlignment="1">
      <alignment vertical="center"/>
    </xf>
    <xf numFmtId="10" fontId="13" fillId="0" borderId="2" xfId="2" applyNumberFormat="1" applyFont="1" applyBorder="1" applyAlignment="1">
      <alignment horizontal="center" vertical="center"/>
    </xf>
    <xf numFmtId="165" fontId="13" fillId="0" borderId="7" xfId="2" applyNumberFormat="1" applyFont="1" applyBorder="1" applyAlignment="1">
      <alignment horizontal="right" vertical="center"/>
    </xf>
    <xf numFmtId="165" fontId="13" fillId="0" borderId="0" xfId="2" applyNumberFormat="1" applyFont="1" applyAlignment="1">
      <alignment horizontal="left" vertical="center"/>
    </xf>
    <xf numFmtId="38" fontId="27" fillId="0" borderId="0" xfId="2" applyNumberFormat="1" applyFont="1" applyAlignment="1">
      <alignment vertical="center"/>
    </xf>
    <xf numFmtId="2" fontId="28" fillId="0" borderId="0" xfId="2" applyNumberFormat="1" applyFont="1" applyAlignment="1">
      <alignment vertical="center"/>
    </xf>
    <xf numFmtId="165" fontId="13" fillId="0" borderId="10" xfId="2" applyNumberFormat="1" applyFont="1" applyBorder="1" applyAlignment="1">
      <alignment horizontal="right" vertical="center"/>
    </xf>
    <xf numFmtId="38" fontId="27" fillId="0" borderId="11" xfId="2" applyNumberFormat="1" applyFont="1" applyBorder="1" applyAlignment="1">
      <alignment vertical="center"/>
    </xf>
    <xf numFmtId="165" fontId="13" fillId="0" borderId="12" xfId="2" applyNumberFormat="1" applyFont="1" applyBorder="1" applyAlignment="1">
      <alignment horizontal="right" vertical="center"/>
    </xf>
    <xf numFmtId="165" fontId="13" fillId="9" borderId="0" xfId="2" applyNumberFormat="1" applyFont="1" applyFill="1" applyAlignment="1">
      <alignment horizontal="right" vertical="center"/>
    </xf>
    <xf numFmtId="165" fontId="17" fillId="0" borderId="0" xfId="2" applyNumberFormat="1" applyFont="1" applyAlignment="1">
      <alignment horizontal="left" vertical="center"/>
    </xf>
    <xf numFmtId="165" fontId="13" fillId="10" borderId="8" xfId="2" applyNumberFormat="1" applyFont="1" applyFill="1" applyBorder="1" applyAlignment="1">
      <alignment horizontal="right" vertical="center"/>
    </xf>
    <xf numFmtId="165" fontId="13" fillId="0" borderId="0" xfId="2" applyNumberFormat="1" applyFont="1" applyAlignment="1">
      <alignment horizontal="right" vertical="center"/>
    </xf>
    <xf numFmtId="165" fontId="13" fillId="11" borderId="5" xfId="2" applyNumberFormat="1" applyFont="1" applyFill="1" applyBorder="1" applyAlignment="1">
      <alignment horizontal="center" vertical="center"/>
    </xf>
    <xf numFmtId="165" fontId="13" fillId="10" borderId="5" xfId="2" applyNumberFormat="1" applyFont="1" applyFill="1" applyBorder="1" applyAlignment="1">
      <alignment horizontal="right" vertical="center"/>
    </xf>
    <xf numFmtId="0" fontId="11" fillId="0" borderId="13" xfId="2" applyFont="1" applyBorder="1" applyAlignment="1">
      <alignment vertical="center"/>
    </xf>
    <xf numFmtId="0" fontId="13" fillId="0" borderId="14" xfId="2" applyFont="1" applyBorder="1" applyAlignment="1">
      <alignment vertical="center"/>
    </xf>
    <xf numFmtId="3" fontId="12" fillId="0" borderId="14" xfId="2" applyNumberFormat="1" applyFont="1" applyBorder="1" applyAlignment="1">
      <alignment vertical="center"/>
    </xf>
    <xf numFmtId="0" fontId="12" fillId="0" borderId="14" xfId="2" applyFont="1" applyBorder="1" applyAlignment="1">
      <alignment vertical="center"/>
    </xf>
    <xf numFmtId="0" fontId="12" fillId="0" borderId="14" xfId="2" applyFont="1" applyBorder="1" applyAlignment="1">
      <alignment vertical="center" wrapText="1"/>
    </xf>
    <xf numFmtId="0" fontId="6" fillId="0" borderId="15" xfId="2" applyFont="1" applyBorder="1" applyAlignment="1">
      <alignment vertical="center"/>
    </xf>
    <xf numFmtId="0" fontId="11" fillId="6" borderId="14" xfId="2" applyFont="1" applyFill="1" applyBorder="1" applyAlignment="1">
      <alignment vertical="center"/>
    </xf>
    <xf numFmtId="0" fontId="13" fillId="6" borderId="14" xfId="2" applyFont="1" applyFill="1" applyBorder="1" applyAlignment="1">
      <alignment vertical="center"/>
    </xf>
    <xf numFmtId="3" fontId="12" fillId="6" borderId="14" xfId="2" applyNumberFormat="1" applyFont="1" applyFill="1" applyBorder="1" applyAlignment="1">
      <alignment vertical="center"/>
    </xf>
    <xf numFmtId="0" fontId="12" fillId="6" borderId="14" xfId="2" applyFont="1" applyFill="1" applyBorder="1" applyAlignment="1">
      <alignment vertical="center"/>
    </xf>
    <xf numFmtId="0" fontId="12" fillId="6" borderId="15" xfId="2" applyFont="1" applyFill="1" applyBorder="1" applyAlignment="1">
      <alignment vertical="center"/>
    </xf>
    <xf numFmtId="165" fontId="13" fillId="9" borderId="5" xfId="2" applyNumberFormat="1" applyFont="1" applyFill="1" applyBorder="1" applyAlignment="1">
      <alignment horizontal="right" vertical="center"/>
    </xf>
    <xf numFmtId="165" fontId="14" fillId="5" borderId="0" xfId="2" applyNumberFormat="1" applyFont="1" applyFill="1" applyAlignment="1">
      <alignment horizontal="left"/>
    </xf>
    <xf numFmtId="165" fontId="13" fillId="5" borderId="0" xfId="2" applyNumberFormat="1" applyFont="1" applyFill="1" applyAlignment="1">
      <alignment horizontal="center"/>
    </xf>
    <xf numFmtId="6" fontId="13" fillId="0" borderId="16" xfId="2" applyNumberFormat="1" applyFont="1" applyBorder="1" applyAlignment="1">
      <alignment horizontal="right" vertical="center"/>
    </xf>
    <xf numFmtId="165" fontId="14" fillId="0" borderId="0" xfId="2" applyNumberFormat="1" applyFont="1" applyAlignment="1">
      <alignment horizontal="left"/>
    </xf>
    <xf numFmtId="165" fontId="13" fillId="0" borderId="0" xfId="2" applyNumberFormat="1" applyFont="1" applyAlignment="1">
      <alignment horizontal="center"/>
    </xf>
    <xf numFmtId="165" fontId="13" fillId="0" borderId="0" xfId="2" applyNumberFormat="1" applyFont="1"/>
    <xf numFmtId="0" fontId="17" fillId="0" borderId="0" xfId="2" applyFont="1"/>
    <xf numFmtId="0" fontId="12" fillId="0" borderId="0" xfId="2" applyFont="1"/>
    <xf numFmtId="0" fontId="12" fillId="0" borderId="0" xfId="2" applyFont="1" applyAlignment="1">
      <alignment wrapText="1"/>
    </xf>
    <xf numFmtId="165" fontId="17" fillId="12" borderId="0" xfId="2" applyNumberFormat="1" applyFont="1" applyFill="1" applyAlignment="1">
      <alignment horizontal="center" vertical="center"/>
    </xf>
    <xf numFmtId="165" fontId="11" fillId="13" borderId="1" xfId="2" applyNumberFormat="1" applyFont="1" applyFill="1" applyBorder="1" applyAlignment="1">
      <alignment horizontal="center" vertical="center"/>
    </xf>
    <xf numFmtId="165" fontId="13" fillId="13" borderId="0" xfId="2" applyNumberFormat="1" applyFont="1" applyFill="1" applyAlignment="1">
      <alignment horizontal="left" vertical="center"/>
    </xf>
    <xf numFmtId="165" fontId="13" fillId="13" borderId="0" xfId="2" applyNumberFormat="1" applyFont="1" applyFill="1" applyAlignment="1">
      <alignment horizontal="right" vertical="center"/>
    </xf>
    <xf numFmtId="0" fontId="12" fillId="13" borderId="0" xfId="2" applyFont="1" applyFill="1" applyAlignment="1">
      <alignment vertical="center"/>
    </xf>
    <xf numFmtId="165" fontId="13" fillId="13" borderId="0" xfId="2" applyNumberFormat="1" applyFont="1" applyFill="1" applyAlignment="1">
      <alignment horizontal="center" vertical="center"/>
    </xf>
    <xf numFmtId="165" fontId="17" fillId="13" borderId="0" xfId="2" applyNumberFormat="1" applyFont="1" applyFill="1" applyAlignment="1">
      <alignment horizontal="center" vertical="center"/>
    </xf>
    <xf numFmtId="10" fontId="13" fillId="13" borderId="2" xfId="2" applyNumberFormat="1" applyFont="1" applyFill="1" applyBorder="1" applyAlignment="1">
      <alignment horizontal="center" vertical="center"/>
    </xf>
    <xf numFmtId="0" fontId="4" fillId="13" borderId="0" xfId="2" applyFill="1"/>
    <xf numFmtId="165" fontId="11" fillId="0" borderId="1" xfId="2" applyNumberFormat="1" applyFont="1" applyBorder="1" applyAlignment="1">
      <alignment horizontal="left" vertical="center"/>
    </xf>
    <xf numFmtId="0" fontId="4" fillId="0" borderId="2" xfId="2" applyBorder="1" applyAlignment="1">
      <alignment vertical="center"/>
    </xf>
    <xf numFmtId="0" fontId="11" fillId="0" borderId="3" xfId="2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165" fontId="12" fillId="0" borderId="4" xfId="2" applyNumberFormat="1" applyFont="1" applyBorder="1" applyAlignment="1">
      <alignment vertical="center"/>
    </xf>
    <xf numFmtId="3" fontId="13" fillId="0" borderId="4" xfId="2" applyNumberFormat="1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0" fontId="16" fillId="0" borderId="0" xfId="2" applyFont="1" applyAlignment="1">
      <alignment vertical="center"/>
    </xf>
    <xf numFmtId="38" fontId="14" fillId="0" borderId="0" xfId="2" applyNumberFormat="1" applyFont="1" applyAlignment="1">
      <alignment vertical="center"/>
    </xf>
    <xf numFmtId="3" fontId="14" fillId="0" borderId="0" xfId="2" applyNumberFormat="1" applyFont="1" applyAlignment="1">
      <alignment vertical="center"/>
    </xf>
    <xf numFmtId="3" fontId="14" fillId="0" borderId="2" xfId="2" applyNumberFormat="1" applyFont="1" applyBorder="1" applyAlignment="1">
      <alignment vertical="center"/>
    </xf>
    <xf numFmtId="0" fontId="29" fillId="0" borderId="0" xfId="2" applyFont="1"/>
    <xf numFmtId="165" fontId="13" fillId="0" borderId="5" xfId="2" applyNumberFormat="1" applyFont="1" applyBorder="1" applyAlignment="1">
      <alignment vertical="center"/>
    </xf>
    <xf numFmtId="3" fontId="17" fillId="0" borderId="2" xfId="2" applyNumberFormat="1" applyFont="1" applyBorder="1" applyAlignment="1">
      <alignment horizontal="left" vertical="center"/>
    </xf>
    <xf numFmtId="0" fontId="11" fillId="0" borderId="17" xfId="2" applyFont="1" applyBorder="1" applyAlignment="1">
      <alignment vertical="center"/>
    </xf>
    <xf numFmtId="0" fontId="11" fillId="0" borderId="18" xfId="2" applyFont="1" applyBorder="1" applyAlignment="1">
      <alignment vertical="center"/>
    </xf>
    <xf numFmtId="0" fontId="13" fillId="0" borderId="18" xfId="2" applyFont="1" applyBorder="1" applyAlignment="1">
      <alignment vertical="center"/>
    </xf>
    <xf numFmtId="0" fontId="12" fillId="0" borderId="18" xfId="2" applyFont="1" applyBorder="1" applyAlignment="1">
      <alignment vertical="center"/>
    </xf>
    <xf numFmtId="3" fontId="12" fillId="0" borderId="18" xfId="2" applyNumberFormat="1" applyFont="1" applyBorder="1" applyAlignment="1">
      <alignment vertical="center"/>
    </xf>
    <xf numFmtId="3" fontId="13" fillId="14" borderId="0" xfId="2" applyNumberFormat="1" applyFont="1" applyFill="1" applyAlignment="1">
      <alignment horizontal="center" vertical="center"/>
    </xf>
    <xf numFmtId="0" fontId="11" fillId="0" borderId="14" xfId="2" applyFont="1" applyBorder="1" applyAlignment="1">
      <alignment vertical="center"/>
    </xf>
    <xf numFmtId="42" fontId="13" fillId="0" borderId="14" xfId="2" applyNumberFormat="1" applyFont="1" applyBorder="1" applyAlignment="1">
      <alignment vertical="center"/>
    </xf>
    <xf numFmtId="3" fontId="11" fillId="0" borderId="14" xfId="2" applyNumberFormat="1" applyFont="1" applyBorder="1" applyAlignment="1">
      <alignment vertical="center"/>
    </xf>
    <xf numFmtId="3" fontId="11" fillId="0" borderId="15" xfId="2" applyNumberFormat="1" applyFont="1" applyBorder="1" applyAlignment="1">
      <alignment vertical="center"/>
    </xf>
    <xf numFmtId="0" fontId="11" fillId="14" borderId="4" xfId="2" applyFont="1" applyFill="1" applyBorder="1" applyAlignment="1">
      <alignment vertical="center"/>
    </xf>
    <xf numFmtId="0" fontId="30" fillId="0" borderId="4" xfId="2" applyFont="1" applyBorder="1" applyAlignment="1">
      <alignment vertical="center"/>
    </xf>
    <xf numFmtId="0" fontId="31" fillId="0" borderId="4" xfId="2" applyFont="1" applyBorder="1" applyAlignment="1">
      <alignment vertical="center"/>
    </xf>
    <xf numFmtId="0" fontId="30" fillId="15" borderId="0" xfId="2" applyFont="1" applyFill="1" applyAlignment="1">
      <alignment vertical="center"/>
    </xf>
    <xf numFmtId="0" fontId="30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0" fontId="11" fillId="12" borderId="0" xfId="2" applyFont="1" applyFill="1" applyAlignment="1">
      <alignment vertical="center"/>
    </xf>
    <xf numFmtId="0" fontId="12" fillId="12" borderId="0" xfId="2" applyFont="1" applyFill="1" applyAlignment="1">
      <alignment vertical="center"/>
    </xf>
    <xf numFmtId="3" fontId="4" fillId="0" borderId="0" xfId="2" applyNumberFormat="1"/>
    <xf numFmtId="3" fontId="12" fillId="0" borderId="11" xfId="2" applyNumberFormat="1" applyFont="1" applyBorder="1" applyAlignment="1">
      <alignment vertical="center"/>
    </xf>
    <xf numFmtId="0" fontId="17" fillId="0" borderId="0" xfId="2" applyFont="1" applyAlignment="1">
      <alignment vertical="center" wrapText="1"/>
    </xf>
    <xf numFmtId="165" fontId="14" fillId="13" borderId="9" xfId="2" applyNumberFormat="1" applyFont="1" applyFill="1" applyBorder="1" applyAlignment="1">
      <alignment vertical="center"/>
    </xf>
    <xf numFmtId="165" fontId="13" fillId="13" borderId="9" xfId="2" applyNumberFormat="1" applyFont="1" applyFill="1" applyBorder="1" applyAlignment="1">
      <alignment vertical="center"/>
    </xf>
    <xf numFmtId="38" fontId="32" fillId="0" borderId="0" xfId="2" applyNumberFormat="1" applyFont="1" applyAlignment="1">
      <alignment vertical="center"/>
    </xf>
    <xf numFmtId="165" fontId="14" fillId="9" borderId="0" xfId="2" applyNumberFormat="1" applyFont="1" applyFill="1" applyAlignment="1">
      <alignment vertical="center"/>
    </xf>
    <xf numFmtId="165" fontId="13" fillId="9" borderId="0" xfId="2" applyNumberFormat="1" applyFont="1" applyFill="1" applyAlignment="1">
      <alignment vertical="center"/>
    </xf>
    <xf numFmtId="3" fontId="11" fillId="14" borderId="0" xfId="2" applyNumberFormat="1" applyFont="1" applyFill="1" applyAlignment="1">
      <alignment horizontal="left" vertical="center"/>
    </xf>
    <xf numFmtId="165" fontId="13" fillId="14" borderId="0" xfId="2" applyNumberFormat="1" applyFont="1" applyFill="1" applyAlignment="1">
      <alignment horizontal="right" vertical="center"/>
    </xf>
    <xf numFmtId="0" fontId="4" fillId="14" borderId="0" xfId="2" applyFill="1" applyAlignment="1">
      <alignment vertical="center"/>
    </xf>
    <xf numFmtId="165" fontId="11" fillId="0" borderId="0" xfId="2" applyNumberFormat="1" applyFont="1" applyAlignment="1">
      <alignment horizontal="left" vertical="center"/>
    </xf>
    <xf numFmtId="165" fontId="13" fillId="0" borderId="5" xfId="2" applyNumberFormat="1" applyFont="1" applyBorder="1" applyAlignment="1">
      <alignment horizontal="right" vertical="center"/>
    </xf>
    <xf numFmtId="165" fontId="4" fillId="0" borderId="0" xfId="2" applyNumberFormat="1" applyAlignment="1">
      <alignment vertical="center"/>
    </xf>
    <xf numFmtId="0" fontId="11" fillId="6" borderId="19" xfId="2" applyFont="1" applyFill="1" applyBorder="1" applyAlignment="1">
      <alignment vertical="center"/>
    </xf>
    <xf numFmtId="3" fontId="13" fillId="0" borderId="10" xfId="2" applyNumberFormat="1" applyFont="1" applyBorder="1" applyAlignment="1">
      <alignment vertical="center"/>
    </xf>
    <xf numFmtId="0" fontId="13" fillId="9" borderId="0" xfId="2" applyFont="1" applyFill="1" applyAlignment="1">
      <alignment vertical="center"/>
    </xf>
    <xf numFmtId="0" fontId="14" fillId="9" borderId="0" xfId="2" applyFont="1" applyFill="1" applyAlignment="1">
      <alignment vertical="center"/>
    </xf>
    <xf numFmtId="3" fontId="13" fillId="9" borderId="8" xfId="2" applyNumberFormat="1" applyFont="1" applyFill="1" applyBorder="1" applyAlignment="1">
      <alignment vertical="center"/>
    </xf>
    <xf numFmtId="3" fontId="34" fillId="0" borderId="0" xfId="2" applyNumberFormat="1" applyFont="1" applyAlignment="1">
      <alignment vertical="center"/>
    </xf>
    <xf numFmtId="38" fontId="13" fillId="0" borderId="0" xfId="2" applyNumberFormat="1" applyFont="1" applyAlignment="1">
      <alignment vertical="center"/>
    </xf>
    <xf numFmtId="164" fontId="35" fillId="0" borderId="0" xfId="2" applyNumberFormat="1" applyFont="1" applyAlignment="1">
      <alignment horizontal="center" vertical="center"/>
    </xf>
    <xf numFmtId="6" fontId="13" fillId="0" borderId="5" xfId="2" applyNumberFormat="1" applyFont="1" applyBorder="1" applyAlignment="1">
      <alignment horizontal="center" vertical="center"/>
    </xf>
    <xf numFmtId="10" fontId="36" fillId="0" borderId="5" xfId="2" applyNumberFormat="1" applyFont="1" applyBorder="1" applyAlignment="1">
      <alignment horizontal="center" vertical="center"/>
    </xf>
    <xf numFmtId="6" fontId="13" fillId="5" borderId="5" xfId="2" applyNumberFormat="1" applyFont="1" applyFill="1" applyBorder="1" applyAlignment="1">
      <alignment vertical="center"/>
    </xf>
    <xf numFmtId="3" fontId="13" fillId="14" borderId="0" xfId="2" applyNumberFormat="1" applyFont="1" applyFill="1" applyAlignment="1">
      <alignment horizontal="left" vertical="center"/>
    </xf>
    <xf numFmtId="0" fontId="13" fillId="5" borderId="0" xfId="2" applyFont="1" applyFill="1" applyAlignment="1">
      <alignment vertical="center"/>
    </xf>
    <xf numFmtId="165" fontId="13" fillId="0" borderId="0" xfId="2" applyNumberFormat="1" applyFont="1" applyAlignment="1">
      <alignment horizontal="left" vertical="center" wrapText="1"/>
    </xf>
    <xf numFmtId="3" fontId="34" fillId="0" borderId="11" xfId="2" applyNumberFormat="1" applyFont="1" applyBorder="1" applyAlignment="1">
      <alignment vertical="center"/>
    </xf>
    <xf numFmtId="165" fontId="13" fillId="0" borderId="11" xfId="2" applyNumberFormat="1" applyFont="1" applyBorder="1" applyAlignment="1">
      <alignment horizontal="left" vertical="center" wrapText="1"/>
    </xf>
    <xf numFmtId="165" fontId="13" fillId="11" borderId="0" xfId="2" applyNumberFormat="1" applyFont="1" applyFill="1" applyAlignment="1">
      <alignment horizontal="left" vertical="center" wrapText="1"/>
    </xf>
    <xf numFmtId="165" fontId="14" fillId="0" borderId="0" xfId="2" applyNumberFormat="1" applyFont="1" applyAlignment="1">
      <alignment horizontal="left" vertical="center"/>
    </xf>
    <xf numFmtId="0" fontId="18" fillId="0" borderId="20" xfId="2" applyFont="1" applyBorder="1" applyAlignment="1">
      <alignment vertical="center"/>
    </xf>
    <xf numFmtId="0" fontId="12" fillId="0" borderId="21" xfId="2" applyFont="1" applyBorder="1" applyAlignment="1">
      <alignment vertical="center"/>
    </xf>
    <xf numFmtId="0" fontId="12" fillId="0" borderId="21" xfId="2" applyFont="1" applyBorder="1" applyAlignment="1">
      <alignment vertical="center" wrapText="1"/>
    </xf>
    <xf numFmtId="10" fontId="13" fillId="0" borderId="22" xfId="2" applyNumberFormat="1" applyFont="1" applyBorder="1" applyAlignment="1">
      <alignment horizontal="center" vertical="center"/>
    </xf>
    <xf numFmtId="0" fontId="33" fillId="0" borderId="1" xfId="2" applyFont="1" applyBorder="1" applyAlignment="1">
      <alignment horizontal="center" vertical="center"/>
    </xf>
    <xf numFmtId="10" fontId="35" fillId="0" borderId="0" xfId="2" applyNumberFormat="1" applyFont="1" applyAlignment="1">
      <alignment horizontal="center" vertical="center"/>
    </xf>
    <xf numFmtId="165" fontId="13" fillId="0" borderId="5" xfId="2" applyNumberFormat="1" applyFont="1" applyBorder="1" applyAlignment="1">
      <alignment vertical="center" wrapText="1"/>
    </xf>
    <xf numFmtId="165" fontId="13" fillId="0" borderId="18" xfId="2" applyNumberFormat="1" applyFont="1" applyBorder="1" applyAlignment="1">
      <alignment horizontal="left" vertical="center" wrapText="1"/>
    </xf>
    <xf numFmtId="165" fontId="13" fillId="0" borderId="18" xfId="2" applyNumberFormat="1" applyFont="1" applyBorder="1" applyAlignment="1">
      <alignment horizontal="right" vertical="center" wrapText="1"/>
    </xf>
    <xf numFmtId="165" fontId="13" fillId="0" borderId="0" xfId="2" applyNumberFormat="1" applyFont="1" applyAlignment="1">
      <alignment horizontal="right" vertical="center" wrapText="1"/>
    </xf>
    <xf numFmtId="10" fontId="14" fillId="0" borderId="0" xfId="2" applyNumberFormat="1" applyFont="1" applyAlignment="1">
      <alignment horizontal="center" vertical="center"/>
    </xf>
    <xf numFmtId="165" fontId="4" fillId="0" borderId="0" xfId="2" applyNumberFormat="1"/>
    <xf numFmtId="0" fontId="32" fillId="0" borderId="0" xfId="0" applyFont="1"/>
    <xf numFmtId="165" fontId="37" fillId="0" borderId="0" xfId="2" applyNumberFormat="1" applyFont="1" applyAlignment="1">
      <alignment horizontal="left" vertical="center"/>
    </xf>
    <xf numFmtId="3" fontId="39" fillId="13" borderId="5" xfId="3" applyNumberFormat="1" applyFont="1" applyFill="1" applyBorder="1"/>
    <xf numFmtId="165" fontId="13" fillId="7" borderId="0" xfId="2" applyNumberFormat="1" applyFont="1" applyFill="1" applyAlignment="1">
      <alignment horizontal="center" vertical="center" wrapText="1"/>
    </xf>
    <xf numFmtId="0" fontId="13" fillId="7" borderId="2" xfId="2" applyFont="1" applyFill="1" applyBorder="1" applyAlignment="1">
      <alignment vertical="center" wrapText="1"/>
    </xf>
    <xf numFmtId="0" fontId="18" fillId="0" borderId="13" xfId="2" applyFont="1" applyBorder="1" applyAlignment="1">
      <alignment vertical="center"/>
    </xf>
    <xf numFmtId="165" fontId="13" fillId="0" borderId="14" xfId="2" applyNumberFormat="1" applyFont="1" applyBorder="1" applyAlignment="1">
      <alignment horizontal="left" vertical="center" wrapText="1"/>
    </xf>
    <xf numFmtId="10" fontId="13" fillId="0" borderId="15" xfId="2" applyNumberFormat="1" applyFont="1" applyBorder="1" applyAlignment="1">
      <alignment horizontal="center" vertical="center"/>
    </xf>
    <xf numFmtId="0" fontId="15" fillId="5" borderId="3" xfId="2" applyFont="1" applyFill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8" fillId="0" borderId="4" xfId="2" applyFont="1" applyBorder="1" applyAlignment="1">
      <alignment vertical="center"/>
    </xf>
    <xf numFmtId="165" fontId="11" fillId="7" borderId="4" xfId="2" applyNumberFormat="1" applyFont="1" applyFill="1" applyBorder="1" applyAlignment="1">
      <alignment horizontal="center" vertical="center" wrapText="1"/>
    </xf>
    <xf numFmtId="0" fontId="11" fillId="7" borderId="6" xfId="2" applyFont="1" applyFill="1" applyBorder="1" applyAlignment="1">
      <alignment vertical="center" wrapText="1"/>
    </xf>
    <xf numFmtId="0" fontId="15" fillId="0" borderId="1" xfId="2" applyFont="1" applyBorder="1" applyAlignment="1">
      <alignment vertical="center"/>
    </xf>
    <xf numFmtId="3" fontId="18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8" fillId="0" borderId="0" xfId="2" applyFont="1" applyAlignment="1">
      <alignment vertical="center" wrapText="1"/>
    </xf>
    <xf numFmtId="164" fontId="26" fillId="0" borderId="0" xfId="2" applyNumberFormat="1" applyFont="1" applyAlignment="1">
      <alignment horizontal="center" vertical="center"/>
    </xf>
    <xf numFmtId="3" fontId="40" fillId="0" borderId="0" xfId="2" applyNumberFormat="1" applyFont="1" applyAlignment="1">
      <alignment vertical="center"/>
    </xf>
    <xf numFmtId="0" fontId="41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0" xfId="2" applyFont="1" applyAlignment="1">
      <alignment vertical="center"/>
    </xf>
    <xf numFmtId="3" fontId="11" fillId="0" borderId="7" xfId="2" applyNumberFormat="1" applyFont="1" applyBorder="1" applyAlignment="1">
      <alignment vertical="center"/>
    </xf>
    <xf numFmtId="0" fontId="11" fillId="9" borderId="0" xfId="2" applyFont="1" applyFill="1" applyAlignment="1">
      <alignment vertical="center"/>
    </xf>
    <xf numFmtId="3" fontId="11" fillId="9" borderId="8" xfId="2" applyNumberFormat="1" applyFont="1" applyFill="1" applyBorder="1" applyAlignment="1">
      <alignment vertical="center"/>
    </xf>
    <xf numFmtId="3" fontId="42" fillId="9" borderId="5" xfId="3" applyNumberFormat="1" applyFont="1" applyFill="1" applyBorder="1"/>
    <xf numFmtId="38" fontId="11" fillId="0" borderId="0" xfId="2" applyNumberFormat="1" applyFont="1" applyAlignment="1">
      <alignment vertical="center"/>
    </xf>
    <xf numFmtId="10" fontId="11" fillId="0" borderId="0" xfId="2" applyNumberFormat="1" applyFont="1" applyAlignment="1">
      <alignment horizontal="center" vertical="center"/>
    </xf>
    <xf numFmtId="165" fontId="11" fillId="7" borderId="0" xfId="2" applyNumberFormat="1" applyFont="1" applyFill="1" applyAlignment="1">
      <alignment horizontal="center" vertical="center" wrapText="1"/>
    </xf>
    <xf numFmtId="0" fontId="11" fillId="7" borderId="2" xfId="2" applyFont="1" applyFill="1" applyBorder="1" applyAlignment="1">
      <alignment vertical="center" wrapText="1"/>
    </xf>
    <xf numFmtId="165" fontId="11" fillId="0" borderId="0" xfId="2" applyNumberFormat="1" applyFont="1" applyAlignment="1">
      <alignment vertical="center"/>
    </xf>
    <xf numFmtId="0" fontId="11" fillId="8" borderId="0" xfId="2" applyFont="1" applyFill="1" applyAlignment="1">
      <alignment vertical="center"/>
    </xf>
    <xf numFmtId="165" fontId="11" fillId="0" borderId="5" xfId="2" applyNumberFormat="1" applyFont="1" applyBorder="1" applyAlignment="1">
      <alignment vertical="center" wrapText="1"/>
    </xf>
    <xf numFmtId="10" fontId="11" fillId="0" borderId="5" xfId="2" applyNumberFormat="1" applyFont="1" applyBorder="1" applyAlignment="1">
      <alignment horizontal="center" vertical="center"/>
    </xf>
    <xf numFmtId="0" fontId="10" fillId="0" borderId="0" xfId="2" applyFont="1" applyAlignment="1">
      <alignment vertical="center"/>
    </xf>
    <xf numFmtId="3" fontId="18" fillId="0" borderId="11" xfId="2" applyNumberFormat="1" applyFont="1" applyBorder="1" applyAlignment="1">
      <alignment vertical="center"/>
    </xf>
    <xf numFmtId="165" fontId="11" fillId="0" borderId="0" xfId="2" applyNumberFormat="1" applyFont="1" applyAlignment="1">
      <alignment horizontal="center" vertical="center"/>
    </xf>
    <xf numFmtId="10" fontId="11" fillId="0" borderId="2" xfId="2" applyNumberFormat="1" applyFont="1" applyBorder="1" applyAlignment="1">
      <alignment horizontal="center" vertical="center"/>
    </xf>
    <xf numFmtId="165" fontId="11" fillId="13" borderId="9" xfId="2" applyNumberFormat="1" applyFont="1" applyFill="1" applyBorder="1" applyAlignment="1">
      <alignment vertical="center"/>
    </xf>
    <xf numFmtId="6" fontId="11" fillId="5" borderId="5" xfId="2" applyNumberFormat="1" applyFont="1" applyFill="1" applyBorder="1" applyAlignment="1">
      <alignment vertical="center"/>
    </xf>
    <xf numFmtId="38" fontId="43" fillId="0" borderId="0" xfId="2" applyNumberFormat="1" applyFont="1" applyAlignment="1">
      <alignment vertical="center"/>
    </xf>
    <xf numFmtId="2" fontId="43" fillId="0" borderId="0" xfId="2" applyNumberFormat="1" applyFont="1" applyAlignment="1">
      <alignment vertical="center"/>
    </xf>
    <xf numFmtId="165" fontId="11" fillId="9" borderId="0" xfId="2" applyNumberFormat="1" applyFont="1" applyFill="1" applyAlignment="1">
      <alignment vertical="center"/>
    </xf>
    <xf numFmtId="165" fontId="11" fillId="9" borderId="2" xfId="2" applyNumberFormat="1" applyFont="1" applyFill="1" applyBorder="1" applyAlignment="1">
      <alignment vertical="center"/>
    </xf>
    <xf numFmtId="165" fontId="11" fillId="9" borderId="5" xfId="2" applyNumberFormat="1" applyFont="1" applyFill="1" applyBorder="1" applyAlignment="1">
      <alignment horizontal="right" vertical="center"/>
    </xf>
    <xf numFmtId="165" fontId="11" fillId="0" borderId="0" xfId="2" applyNumberFormat="1" applyFont="1" applyAlignment="1">
      <alignment horizontal="right" vertical="center"/>
    </xf>
    <xf numFmtId="0" fontId="11" fillId="5" borderId="0" xfId="2" applyFont="1" applyFill="1" applyAlignment="1">
      <alignment vertical="center"/>
    </xf>
    <xf numFmtId="165" fontId="11" fillId="0" borderId="5" xfId="2" applyNumberFormat="1" applyFont="1" applyBorder="1" applyAlignment="1">
      <alignment horizontal="right" vertical="center"/>
    </xf>
    <xf numFmtId="165" fontId="11" fillId="0" borderId="18" xfId="2" applyNumberFormat="1" applyFont="1" applyBorder="1" applyAlignment="1">
      <alignment horizontal="left" vertical="center" wrapText="1"/>
    </xf>
    <xf numFmtId="165" fontId="11" fillId="0" borderId="18" xfId="2" applyNumberFormat="1" applyFont="1" applyBorder="1" applyAlignment="1">
      <alignment horizontal="right" vertical="center" wrapText="1"/>
    </xf>
    <xf numFmtId="165" fontId="11" fillId="0" borderId="0" xfId="2" applyNumberFormat="1" applyFont="1" applyAlignment="1">
      <alignment horizontal="left" vertical="center" wrapText="1"/>
    </xf>
    <xf numFmtId="165" fontId="11" fillId="0" borderId="0" xfId="2" applyNumberFormat="1" applyFont="1" applyAlignment="1">
      <alignment horizontal="right" vertical="center" wrapText="1"/>
    </xf>
    <xf numFmtId="165" fontId="15" fillId="0" borderId="0" xfId="2" applyNumberFormat="1" applyFont="1" applyAlignment="1">
      <alignment horizontal="left" vertical="center" wrapText="1"/>
    </xf>
    <xf numFmtId="0" fontId="9" fillId="0" borderId="0" xfId="2" applyFont="1" applyAlignment="1">
      <alignment vertical="center" wrapText="1"/>
    </xf>
    <xf numFmtId="10" fontId="15" fillId="0" borderId="2" xfId="2" applyNumberFormat="1" applyFont="1" applyBorder="1" applyAlignment="1">
      <alignment horizontal="center" vertical="center"/>
    </xf>
    <xf numFmtId="0" fontId="9" fillId="0" borderId="20" xfId="2" applyFont="1" applyBorder="1" applyAlignment="1">
      <alignment vertical="center"/>
    </xf>
    <xf numFmtId="0" fontId="9" fillId="0" borderId="21" xfId="2" applyFont="1" applyBorder="1" applyAlignment="1">
      <alignment vertical="center"/>
    </xf>
    <xf numFmtId="0" fontId="9" fillId="0" borderId="21" xfId="2" applyFont="1" applyBorder="1" applyAlignment="1">
      <alignment vertical="center" wrapText="1"/>
    </xf>
    <xf numFmtId="10" fontId="15" fillId="0" borderId="22" xfId="2" applyNumberFormat="1" applyFont="1" applyBorder="1" applyAlignment="1">
      <alignment horizontal="center" vertical="center"/>
    </xf>
    <xf numFmtId="0" fontId="13" fillId="6" borderId="19" xfId="2" applyFont="1" applyFill="1" applyBorder="1" applyAlignment="1">
      <alignment vertical="center"/>
    </xf>
    <xf numFmtId="0" fontId="15" fillId="16" borderId="3" xfId="2" applyFont="1" applyFill="1" applyBorder="1" applyAlignment="1">
      <alignment vertical="center"/>
    </xf>
    <xf numFmtId="0" fontId="9" fillId="0" borderId="4" xfId="2" applyFont="1" applyBorder="1" applyAlignment="1">
      <alignment vertical="center"/>
    </xf>
    <xf numFmtId="3" fontId="15" fillId="0" borderId="5" xfId="2" applyNumberFormat="1" applyFont="1" applyBorder="1" applyAlignment="1">
      <alignment vertical="center"/>
    </xf>
    <xf numFmtId="3" fontId="15" fillId="0" borderId="4" xfId="2" applyNumberFormat="1" applyFont="1" applyBorder="1" applyAlignment="1">
      <alignment vertical="center"/>
    </xf>
    <xf numFmtId="165" fontId="15" fillId="17" borderId="4" xfId="2" applyNumberFormat="1" applyFont="1" applyFill="1" applyBorder="1" applyAlignment="1">
      <alignment horizontal="center" vertical="center" wrapText="1"/>
    </xf>
    <xf numFmtId="0" fontId="15" fillId="17" borderId="6" xfId="2" applyFont="1" applyFill="1" applyBorder="1" applyAlignment="1">
      <alignment vertical="center" wrapText="1"/>
    </xf>
    <xf numFmtId="3" fontId="15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5" fillId="0" borderId="0" xfId="2" applyNumberFormat="1" applyFont="1" applyAlignment="1">
      <alignment vertical="center"/>
    </xf>
    <xf numFmtId="0" fontId="44" fillId="0" borderId="2" xfId="2" applyFont="1" applyBorder="1" applyAlignment="1">
      <alignment vertical="center"/>
    </xf>
    <xf numFmtId="164" fontId="45" fillId="0" borderId="0" xfId="2" applyNumberFormat="1" applyFont="1" applyAlignment="1">
      <alignment horizontal="center" vertical="center"/>
    </xf>
    <xf numFmtId="3" fontId="46" fillId="0" borderId="0" xfId="2" applyNumberFormat="1" applyFont="1" applyAlignment="1">
      <alignment vertical="center"/>
    </xf>
    <xf numFmtId="0" fontId="46" fillId="0" borderId="0" xfId="2" applyFont="1" applyAlignment="1">
      <alignment vertical="center"/>
    </xf>
    <xf numFmtId="3" fontId="45" fillId="0" borderId="0" xfId="2" applyNumberFormat="1" applyFont="1" applyAlignment="1">
      <alignment vertical="center"/>
    </xf>
    <xf numFmtId="0" fontId="15" fillId="18" borderId="0" xfId="2" applyFont="1" applyFill="1" applyAlignment="1">
      <alignment vertical="center"/>
    </xf>
    <xf numFmtId="3" fontId="11" fillId="18" borderId="8" xfId="2" applyNumberFormat="1" applyFont="1" applyFill="1" applyBorder="1" applyAlignment="1">
      <alignment vertical="center"/>
    </xf>
    <xf numFmtId="3" fontId="42" fillId="18" borderId="5" xfId="3" applyNumberFormat="1" applyFont="1" applyFill="1" applyBorder="1"/>
    <xf numFmtId="38" fontId="15" fillId="0" borderId="0" xfId="2" applyNumberFormat="1" applyFont="1" applyAlignment="1">
      <alignment vertical="center"/>
    </xf>
    <xf numFmtId="10" fontId="15" fillId="0" borderId="0" xfId="2" applyNumberFormat="1" applyFont="1" applyAlignment="1">
      <alignment horizontal="center" vertical="center"/>
    </xf>
    <xf numFmtId="165" fontId="15" fillId="17" borderId="0" xfId="2" applyNumberFormat="1" applyFont="1" applyFill="1" applyAlignment="1">
      <alignment horizontal="center" vertical="center" wrapText="1"/>
    </xf>
    <xf numFmtId="0" fontId="15" fillId="17" borderId="2" xfId="2" applyFont="1" applyFill="1" applyBorder="1" applyAlignment="1">
      <alignment vertical="center" wrapText="1"/>
    </xf>
    <xf numFmtId="165" fontId="15" fillId="0" borderId="0" xfId="2" applyNumberFormat="1" applyFont="1" applyAlignment="1">
      <alignment vertical="center"/>
    </xf>
    <xf numFmtId="0" fontId="15" fillId="16" borderId="0" xfId="2" applyFont="1" applyFill="1" applyAlignment="1">
      <alignment vertical="center"/>
    </xf>
    <xf numFmtId="165" fontId="15" fillId="0" borderId="5" xfId="2" applyNumberFormat="1" applyFont="1" applyBorder="1" applyAlignment="1">
      <alignment vertical="center" wrapText="1"/>
    </xf>
    <xf numFmtId="10" fontId="15" fillId="0" borderId="5" xfId="2" applyNumberFormat="1" applyFont="1" applyBorder="1" applyAlignment="1">
      <alignment horizontal="center" vertical="center"/>
    </xf>
    <xf numFmtId="3" fontId="9" fillId="0" borderId="11" xfId="2" applyNumberFormat="1" applyFont="1" applyBorder="1" applyAlignment="1">
      <alignment vertical="center"/>
    </xf>
    <xf numFmtId="165" fontId="15" fillId="0" borderId="0" xfId="2" applyNumberFormat="1" applyFont="1" applyAlignment="1">
      <alignment horizontal="center" vertical="center"/>
    </xf>
    <xf numFmtId="165" fontId="15" fillId="19" borderId="9" xfId="2" applyNumberFormat="1" applyFont="1" applyFill="1" applyBorder="1" applyAlignment="1">
      <alignment vertical="center"/>
    </xf>
    <xf numFmtId="6" fontId="15" fillId="16" borderId="5" xfId="2" applyNumberFormat="1" applyFont="1" applyFill="1" applyBorder="1" applyAlignment="1">
      <alignment vertical="center"/>
    </xf>
    <xf numFmtId="2" fontId="15" fillId="0" borderId="0" xfId="2" applyNumberFormat="1" applyFont="1" applyAlignment="1">
      <alignment vertical="center"/>
    </xf>
    <xf numFmtId="165" fontId="15" fillId="18" borderId="0" xfId="2" applyNumberFormat="1" applyFont="1" applyFill="1" applyAlignment="1">
      <alignment vertical="center"/>
    </xf>
    <xf numFmtId="165" fontId="15" fillId="18" borderId="2" xfId="2" applyNumberFormat="1" applyFont="1" applyFill="1" applyBorder="1" applyAlignment="1">
      <alignment vertical="center"/>
    </xf>
    <xf numFmtId="165" fontId="15" fillId="18" borderId="5" xfId="2" applyNumberFormat="1" applyFont="1" applyFill="1" applyBorder="1" applyAlignment="1">
      <alignment horizontal="right" vertical="center"/>
    </xf>
    <xf numFmtId="165" fontId="15" fillId="0" borderId="0" xfId="2" applyNumberFormat="1" applyFont="1" applyAlignment="1">
      <alignment horizontal="left" vertical="center"/>
    </xf>
    <xf numFmtId="165" fontId="15" fillId="0" borderId="0" xfId="2" applyNumberFormat="1" applyFont="1" applyAlignment="1">
      <alignment horizontal="right" vertical="center"/>
    </xf>
    <xf numFmtId="165" fontId="15" fillId="0" borderId="5" xfId="2" applyNumberFormat="1" applyFont="1" applyBorder="1" applyAlignment="1">
      <alignment horizontal="right" vertical="center"/>
    </xf>
    <xf numFmtId="3" fontId="15" fillId="20" borderId="0" xfId="2" applyNumberFormat="1" applyFont="1" applyFill="1" applyAlignment="1">
      <alignment horizontal="left" vertical="center"/>
    </xf>
    <xf numFmtId="0" fontId="15" fillId="0" borderId="18" xfId="2" applyFont="1" applyBorder="1" applyAlignment="1">
      <alignment vertical="center"/>
    </xf>
    <xf numFmtId="165" fontId="15" fillId="0" borderId="18" xfId="2" applyNumberFormat="1" applyFont="1" applyBorder="1" applyAlignment="1">
      <alignment horizontal="left" vertical="center" wrapText="1"/>
    </xf>
    <xf numFmtId="165" fontId="15" fillId="0" borderId="18" xfId="2" applyNumberFormat="1" applyFont="1" applyBorder="1" applyAlignment="1">
      <alignment horizontal="right" vertical="center" wrapText="1"/>
    </xf>
    <xf numFmtId="165" fontId="15" fillId="0" borderId="0" xfId="2" applyNumberFormat="1" applyFont="1" applyAlignment="1">
      <alignment horizontal="right" vertical="center" wrapText="1"/>
    </xf>
    <xf numFmtId="3" fontId="15" fillId="9" borderId="7" xfId="2" applyNumberFormat="1" applyFont="1" applyFill="1" applyBorder="1" applyAlignment="1">
      <alignment vertical="center"/>
    </xf>
    <xf numFmtId="0" fontId="9" fillId="0" borderId="13" xfId="2" applyFont="1" applyBorder="1" applyAlignment="1">
      <alignment vertical="center"/>
    </xf>
    <xf numFmtId="0" fontId="9" fillId="0" borderId="14" xfId="2" applyFont="1" applyBorder="1" applyAlignment="1">
      <alignment vertical="center"/>
    </xf>
    <xf numFmtId="0" fontId="9" fillId="0" borderId="14" xfId="2" applyFont="1" applyBorder="1" applyAlignment="1">
      <alignment vertical="center" wrapText="1"/>
    </xf>
    <xf numFmtId="10" fontId="15" fillId="0" borderId="15" xfId="2" applyNumberFormat="1" applyFont="1" applyBorder="1" applyAlignment="1">
      <alignment horizontal="center" vertical="center"/>
    </xf>
    <xf numFmtId="165" fontId="15" fillId="7" borderId="4" xfId="2" applyNumberFormat="1" applyFont="1" applyFill="1" applyBorder="1" applyAlignment="1">
      <alignment horizontal="center" vertical="center" wrapText="1"/>
    </xf>
    <xf numFmtId="0" fontId="15" fillId="7" borderId="6" xfId="2" applyFont="1" applyFill="1" applyBorder="1" applyAlignment="1">
      <alignment vertical="center" wrapText="1"/>
    </xf>
    <xf numFmtId="3" fontId="15" fillId="0" borderId="7" xfId="2" applyNumberFormat="1" applyFont="1" applyBorder="1" applyAlignment="1">
      <alignment vertical="center"/>
    </xf>
    <xf numFmtId="0" fontId="15" fillId="9" borderId="0" xfId="2" applyFont="1" applyFill="1" applyAlignment="1">
      <alignment vertical="center"/>
    </xf>
    <xf numFmtId="3" fontId="15" fillId="9" borderId="8" xfId="2" applyNumberFormat="1" applyFont="1" applyFill="1" applyBorder="1" applyAlignment="1">
      <alignment vertical="center"/>
    </xf>
    <xf numFmtId="3" fontId="47" fillId="9" borderId="5" xfId="3" applyNumberFormat="1" applyFont="1" applyFill="1" applyBorder="1"/>
    <xf numFmtId="3" fontId="15" fillId="0" borderId="0" xfId="2" applyNumberFormat="1" applyFont="1" applyAlignment="1">
      <alignment vertical="center" wrapText="1"/>
    </xf>
    <xf numFmtId="165" fontId="15" fillId="7" borderId="0" xfId="2" applyNumberFormat="1" applyFont="1" applyFill="1" applyAlignment="1">
      <alignment horizontal="center" vertical="center" wrapText="1"/>
    </xf>
    <xf numFmtId="0" fontId="15" fillId="7" borderId="2" xfId="2" applyFont="1" applyFill="1" applyBorder="1" applyAlignment="1">
      <alignment vertical="center" wrapText="1"/>
    </xf>
    <xf numFmtId="0" fontId="15" fillId="8" borderId="0" xfId="2" applyFont="1" applyFill="1" applyAlignment="1">
      <alignment vertical="center"/>
    </xf>
    <xf numFmtId="165" fontId="15" fillId="13" borderId="9" xfId="2" applyNumberFormat="1" applyFont="1" applyFill="1" applyBorder="1" applyAlignment="1">
      <alignment vertical="center"/>
    </xf>
    <xf numFmtId="6" fontId="15" fillId="5" borderId="5" xfId="2" applyNumberFormat="1" applyFont="1" applyFill="1" applyBorder="1" applyAlignment="1">
      <alignment vertical="center"/>
    </xf>
    <xf numFmtId="38" fontId="48" fillId="0" borderId="0" xfId="2" applyNumberFormat="1" applyFont="1" applyAlignment="1">
      <alignment vertical="center"/>
    </xf>
    <xf numFmtId="2" fontId="48" fillId="0" borderId="0" xfId="2" applyNumberFormat="1" applyFont="1" applyAlignment="1">
      <alignment vertical="center"/>
    </xf>
    <xf numFmtId="165" fontId="15" fillId="9" borderId="0" xfId="2" applyNumberFormat="1" applyFont="1" applyFill="1" applyAlignment="1">
      <alignment vertical="center"/>
    </xf>
    <xf numFmtId="165" fontId="15" fillId="9" borderId="2" xfId="2" applyNumberFormat="1" applyFont="1" applyFill="1" applyBorder="1" applyAlignment="1">
      <alignment vertical="center"/>
    </xf>
    <xf numFmtId="165" fontId="15" fillId="9" borderId="5" xfId="2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3" fontId="49" fillId="0" borderId="0" xfId="0" applyNumberFormat="1" applyFont="1" applyAlignment="1">
      <alignment vertical="center"/>
    </xf>
    <xf numFmtId="0" fontId="49" fillId="0" borderId="0" xfId="0" applyFont="1"/>
    <xf numFmtId="0" fontId="0" fillId="0" borderId="0" xfId="0" applyAlignment="1">
      <alignment vertical="center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52" fillId="21" borderId="0" xfId="0" applyFont="1" applyFill="1" applyAlignment="1">
      <alignment vertical="center"/>
    </xf>
    <xf numFmtId="0" fontId="53" fillId="21" borderId="0" xfId="0" applyFont="1" applyFill="1" applyAlignment="1">
      <alignment vertical="center"/>
    </xf>
    <xf numFmtId="3" fontId="52" fillId="21" borderId="0" xfId="0" applyNumberFormat="1" applyFont="1" applyFill="1" applyAlignment="1">
      <alignment vertical="center"/>
    </xf>
    <xf numFmtId="166" fontId="54" fillId="0" borderId="0" xfId="0" applyNumberFormat="1" applyFont="1" applyAlignment="1">
      <alignment vertical="center"/>
    </xf>
    <xf numFmtId="166" fontId="53" fillId="21" borderId="0" xfId="0" applyNumberFormat="1" applyFont="1" applyFill="1" applyAlignment="1">
      <alignment vertical="top" wrapText="1"/>
    </xf>
    <xf numFmtId="0" fontId="53" fillId="21" borderId="0" xfId="0" applyFont="1" applyFill="1" applyAlignment="1">
      <alignment vertical="top" wrapText="1"/>
    </xf>
    <xf numFmtId="3" fontId="55" fillId="21" borderId="0" xfId="2" applyNumberFormat="1" applyFont="1" applyFill="1" applyAlignment="1">
      <alignment horizontal="center" vertical="top" wrapText="1"/>
    </xf>
    <xf numFmtId="0" fontId="56" fillId="0" borderId="0" xfId="0" applyFont="1" applyAlignment="1">
      <alignment vertical="top" wrapText="1"/>
    </xf>
    <xf numFmtId="166" fontId="50" fillId="0" borderId="0" xfId="0" applyNumberFormat="1" applyFont="1" applyAlignment="1">
      <alignment horizontal="center" vertical="center"/>
    </xf>
    <xf numFmtId="3" fontId="54" fillId="0" borderId="25" xfId="0" applyNumberFormat="1" applyFont="1" applyBorder="1" applyAlignment="1">
      <alignment vertical="center"/>
    </xf>
    <xf numFmtId="38" fontId="54" fillId="0" borderId="0" xfId="0" applyNumberFormat="1" applyFont="1" applyAlignment="1">
      <alignment vertical="center"/>
    </xf>
    <xf numFmtId="0" fontId="14" fillId="0" borderId="0" xfId="4" applyFont="1" applyAlignment="1">
      <alignment vertical="center"/>
    </xf>
    <xf numFmtId="0" fontId="51" fillId="0" borderId="0" xfId="0" applyFont="1"/>
    <xf numFmtId="166" fontId="50" fillId="0" borderId="0" xfId="0" applyNumberFormat="1" applyFont="1" applyAlignment="1">
      <alignment vertical="center"/>
    </xf>
    <xf numFmtId="3" fontId="50" fillId="0" borderId="25" xfId="0" applyNumberFormat="1" applyFont="1" applyBorder="1" applyAlignment="1">
      <alignment vertical="center"/>
    </xf>
    <xf numFmtId="3" fontId="50" fillId="0" borderId="0" xfId="0" applyNumberFormat="1" applyFont="1" applyAlignment="1">
      <alignment vertical="center"/>
    </xf>
    <xf numFmtId="38" fontId="50" fillId="0" borderId="0" xfId="0" applyNumberFormat="1" applyFont="1" applyAlignment="1">
      <alignment vertical="center"/>
    </xf>
    <xf numFmtId="0" fontId="50" fillId="22" borderId="0" xfId="0" applyFont="1" applyFill="1" applyAlignment="1">
      <alignment vertical="center"/>
    </xf>
    <xf numFmtId="0" fontId="57" fillId="21" borderId="23" xfId="0" applyFont="1" applyFill="1" applyBorder="1" applyAlignment="1">
      <alignment horizontal="center" vertical="center"/>
    </xf>
    <xf numFmtId="38" fontId="54" fillId="0" borderId="25" xfId="0" applyNumberFormat="1" applyFont="1" applyBorder="1" applyAlignment="1">
      <alignment vertical="center"/>
    </xf>
    <xf numFmtId="3" fontId="58" fillId="0" borderId="0" xfId="0" applyNumberFormat="1" applyFont="1" applyAlignment="1">
      <alignment vertical="center"/>
    </xf>
    <xf numFmtId="40" fontId="60" fillId="3" borderId="26" xfId="5" applyNumberFormat="1" applyFont="1" applyFill="1" applyBorder="1" applyAlignment="1">
      <alignment horizontal="center" vertical="top"/>
    </xf>
    <xf numFmtId="40" fontId="60" fillId="3" borderId="27" xfId="5" applyNumberFormat="1" applyFont="1" applyFill="1" applyBorder="1" applyAlignment="1">
      <alignment horizontal="left" vertical="top"/>
    </xf>
    <xf numFmtId="0" fontId="61" fillId="0" borderId="3" xfId="5" applyFont="1" applyBorder="1" applyAlignment="1">
      <alignment horizontal="center"/>
    </xf>
    <xf numFmtId="0" fontId="62" fillId="0" borderId="4" xfId="5" applyFont="1" applyBorder="1"/>
    <xf numFmtId="38" fontId="62" fillId="0" borderId="29" xfId="5" applyNumberFormat="1" applyFont="1" applyBorder="1"/>
    <xf numFmtId="38" fontId="62" fillId="0" borderId="7" xfId="5" applyNumberFormat="1" applyFont="1" applyBorder="1"/>
    <xf numFmtId="0" fontId="61" fillId="0" borderId="1" xfId="5" applyFont="1" applyBorder="1" applyAlignment="1">
      <alignment horizontal="center"/>
    </xf>
    <xf numFmtId="0" fontId="62" fillId="0" borderId="0" xfId="5" applyFont="1"/>
    <xf numFmtId="38" fontId="62" fillId="0" borderId="10" xfId="5" applyNumberFormat="1" applyFont="1" applyBorder="1"/>
    <xf numFmtId="0" fontId="61" fillId="0" borderId="13" xfId="5" applyFont="1" applyBorder="1" applyAlignment="1">
      <alignment horizontal="center"/>
    </xf>
    <xf numFmtId="0" fontId="62" fillId="0" borderId="14" xfId="5" applyFont="1" applyBorder="1"/>
    <xf numFmtId="0" fontId="63" fillId="3" borderId="0" xfId="5" applyFont="1" applyFill="1"/>
    <xf numFmtId="38" fontId="62" fillId="0" borderId="23" xfId="5" applyNumberFormat="1" applyFont="1" applyBorder="1"/>
    <xf numFmtId="38" fontId="62" fillId="0" borderId="5" xfId="5" applyNumberFormat="1" applyFont="1" applyBorder="1"/>
    <xf numFmtId="40" fontId="64" fillId="0" borderId="0" xfId="5" applyNumberFormat="1" applyFont="1"/>
    <xf numFmtId="38" fontId="64" fillId="0" borderId="0" xfId="5" applyNumberFormat="1" applyFont="1"/>
    <xf numFmtId="0" fontId="54" fillId="0" borderId="0" xfId="0" applyFont="1" applyAlignment="1">
      <alignment vertical="center"/>
    </xf>
    <xf numFmtId="0" fontId="3" fillId="0" borderId="0" xfId="0" applyFont="1"/>
    <xf numFmtId="0" fontId="66" fillId="3" borderId="0" xfId="5" applyFont="1" applyFill="1" applyAlignment="1">
      <alignment horizontal="center" vertical="top"/>
    </xf>
    <xf numFmtId="0" fontId="67" fillId="3" borderId="0" xfId="5" applyFont="1" applyFill="1"/>
    <xf numFmtId="0" fontId="60" fillId="3" borderId="0" xfId="5" applyFont="1" applyFill="1" applyAlignment="1">
      <alignment horizontal="center" vertical="top"/>
    </xf>
    <xf numFmtId="0" fontId="59" fillId="0" borderId="0" xfId="5"/>
    <xf numFmtId="0" fontId="69" fillId="0" borderId="0" xfId="5" applyFont="1"/>
    <xf numFmtId="0" fontId="67" fillId="0" borderId="0" xfId="5" applyFont="1"/>
    <xf numFmtId="1" fontId="70" fillId="24" borderId="31" xfId="5" applyNumberFormat="1" applyFont="1" applyFill="1" applyBorder="1" applyAlignment="1">
      <alignment vertical="center"/>
    </xf>
    <xf numFmtId="0" fontId="71" fillId="13" borderId="0" xfId="5" applyFont="1" applyFill="1"/>
    <xf numFmtId="0" fontId="70" fillId="24" borderId="31" xfId="5" applyFont="1" applyFill="1" applyBorder="1" applyAlignment="1">
      <alignment vertical="center"/>
    </xf>
    <xf numFmtId="40" fontId="61" fillId="0" borderId="0" xfId="5" applyNumberFormat="1" applyFont="1" applyAlignment="1">
      <alignment horizontal="center"/>
    </xf>
    <xf numFmtId="1" fontId="70" fillId="13" borderId="31" xfId="5" applyNumberFormat="1" applyFont="1" applyFill="1" applyBorder="1" applyAlignment="1">
      <alignment vertical="center"/>
    </xf>
    <xf numFmtId="0" fontId="70" fillId="13" borderId="31" xfId="5" applyFont="1" applyFill="1" applyBorder="1" applyAlignment="1">
      <alignment vertical="center"/>
    </xf>
    <xf numFmtId="1" fontId="50" fillId="24" borderId="31" xfId="5" applyNumberFormat="1" applyFont="1" applyFill="1" applyBorder="1" applyAlignment="1">
      <alignment vertical="center"/>
    </xf>
    <xf numFmtId="0" fontId="67" fillId="13" borderId="0" xfId="5" applyFont="1" applyFill="1"/>
    <xf numFmtId="0" fontId="50" fillId="24" borderId="31" xfId="5" applyFont="1" applyFill="1" applyBorder="1" applyAlignment="1">
      <alignment vertical="center"/>
    </xf>
    <xf numFmtId="1" fontId="50" fillId="13" borderId="31" xfId="5" applyNumberFormat="1" applyFont="1" applyFill="1" applyBorder="1" applyAlignment="1">
      <alignment vertical="center"/>
    </xf>
    <xf numFmtId="0" fontId="50" fillId="13" borderId="31" xfId="5" applyFont="1" applyFill="1" applyBorder="1" applyAlignment="1">
      <alignment vertical="center"/>
    </xf>
    <xf numFmtId="0" fontId="14" fillId="13" borderId="31" xfId="7" applyFont="1" applyFill="1" applyBorder="1" applyAlignment="1">
      <alignment vertical="center"/>
    </xf>
    <xf numFmtId="166" fontId="54" fillId="13" borderId="0" xfId="5" applyNumberFormat="1" applyFont="1" applyFill="1" applyAlignment="1">
      <alignment vertical="center"/>
    </xf>
    <xf numFmtId="40" fontId="50" fillId="13" borderId="0" xfId="5" applyNumberFormat="1" applyFont="1" applyFill="1" applyAlignment="1">
      <alignment vertical="center"/>
    </xf>
    <xf numFmtId="0" fontId="59" fillId="0" borderId="0" xfId="0" applyFont="1"/>
    <xf numFmtId="0" fontId="67" fillId="13" borderId="0" xfId="0" applyFont="1" applyFill="1"/>
    <xf numFmtId="40" fontId="71" fillId="0" borderId="0" xfId="0" applyNumberFormat="1" applyFont="1" applyAlignment="1">
      <alignment horizontal="center"/>
    </xf>
    <xf numFmtId="40" fontId="60" fillId="3" borderId="32" xfId="5" applyNumberFormat="1" applyFont="1" applyFill="1" applyBorder="1" applyAlignment="1">
      <alignment horizontal="center" vertical="top"/>
    </xf>
    <xf numFmtId="40" fontId="60" fillId="3" borderId="33" xfId="5" applyNumberFormat="1" applyFont="1" applyFill="1" applyBorder="1" applyAlignment="1">
      <alignment horizontal="center" vertical="top"/>
    </xf>
    <xf numFmtId="0" fontId="59" fillId="3" borderId="0" xfId="5" applyFill="1"/>
    <xf numFmtId="0" fontId="67" fillId="11" borderId="4" xfId="5" applyFont="1" applyFill="1" applyBorder="1"/>
    <xf numFmtId="0" fontId="67" fillId="11" borderId="0" xfId="5" applyFont="1" applyFill="1"/>
    <xf numFmtId="0" fontId="67" fillId="11" borderId="14" xfId="5" applyFont="1" applyFill="1" applyBorder="1"/>
    <xf numFmtId="0" fontId="59" fillId="0" borderId="14" xfId="5" applyBorder="1"/>
    <xf numFmtId="0" fontId="2" fillId="3" borderId="0" xfId="5" applyFont="1" applyFill="1"/>
    <xf numFmtId="40" fontId="67" fillId="0" borderId="0" xfId="5" applyNumberFormat="1" applyFont="1"/>
    <xf numFmtId="0" fontId="74" fillId="0" borderId="0" xfId="5" applyFont="1"/>
    <xf numFmtId="0" fontId="75" fillId="11" borderId="0" xfId="5" applyFont="1" applyFill="1" applyAlignment="1">
      <alignment horizontal="center" vertical="top"/>
    </xf>
    <xf numFmtId="0" fontId="64" fillId="14" borderId="0" xfId="5" applyFont="1" applyFill="1" applyAlignment="1">
      <alignment vertical="top"/>
    </xf>
    <xf numFmtId="0" fontId="64" fillId="14" borderId="0" xfId="5" applyFont="1" applyFill="1" applyAlignment="1">
      <alignment horizontal="center" vertical="top"/>
    </xf>
    <xf numFmtId="0" fontId="75" fillId="14" borderId="0" xfId="5" applyFont="1" applyFill="1" applyAlignment="1">
      <alignment horizontal="center" vertical="top"/>
    </xf>
    <xf numFmtId="0" fontId="59" fillId="0" borderId="0" xfId="5" applyAlignment="1">
      <alignment vertical="top"/>
    </xf>
    <xf numFmtId="0" fontId="18" fillId="0" borderId="0" xfId="9"/>
    <xf numFmtId="4" fontId="77" fillId="0" borderId="0" xfId="9" applyNumberFormat="1" applyFont="1" applyAlignment="1">
      <alignment vertical="top"/>
    </xf>
    <xf numFmtId="0" fontId="78" fillId="0" borderId="0" xfId="0" applyFont="1"/>
    <xf numFmtId="0" fontId="78" fillId="0" borderId="0" xfId="0" applyFont="1" applyAlignment="1">
      <alignment horizontal="center"/>
    </xf>
    <xf numFmtId="0" fontId="78" fillId="0" borderId="0" xfId="0" quotePrefix="1" applyFont="1" applyAlignment="1">
      <alignment horizontal="center"/>
    </xf>
    <xf numFmtId="0" fontId="78" fillId="0" borderId="0" xfId="0" applyFont="1" applyAlignment="1">
      <alignment horizontal="center" vertical="center"/>
    </xf>
    <xf numFmtId="0" fontId="79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center"/>
    </xf>
    <xf numFmtId="0" fontId="78" fillId="0" borderId="0" xfId="0" applyFont="1" applyAlignment="1">
      <alignment horizontal="left"/>
    </xf>
    <xf numFmtId="0" fontId="79" fillId="0" borderId="0" xfId="0" applyFont="1"/>
    <xf numFmtId="0" fontId="80" fillId="0" borderId="0" xfId="0" applyFont="1"/>
    <xf numFmtId="0" fontId="39" fillId="0" borderId="0" xfId="0" applyFont="1" applyAlignment="1">
      <alignment horizontal="center"/>
    </xf>
    <xf numFmtId="43" fontId="0" fillId="0" borderId="0" xfId="8" applyFont="1" applyFill="1" applyBorder="1"/>
    <xf numFmtId="0" fontId="11" fillId="0" borderId="0" xfId="0" applyFont="1"/>
    <xf numFmtId="43" fontId="0" fillId="0" borderId="0" xfId="8" applyFont="1"/>
    <xf numFmtId="6" fontId="59" fillId="0" borderId="0" xfId="5" applyNumberFormat="1"/>
    <xf numFmtId="43" fontId="59" fillId="0" borderId="0" xfId="8" applyFont="1"/>
    <xf numFmtId="0" fontId="82" fillId="0" borderId="0" xfId="0" applyFont="1"/>
    <xf numFmtId="0" fontId="69" fillId="0" borderId="0" xfId="0" applyFont="1"/>
    <xf numFmtId="0" fontId="67" fillId="0" borderId="0" xfId="0" applyFont="1"/>
    <xf numFmtId="0" fontId="83" fillId="0" borderId="0" xfId="0" applyFont="1"/>
    <xf numFmtId="0" fontId="83" fillId="25" borderId="0" xfId="0" applyFont="1" applyFill="1"/>
    <xf numFmtId="0" fontId="72" fillId="0" borderId="0" xfId="0" applyFont="1" applyAlignment="1">
      <alignment horizontal="center"/>
    </xf>
    <xf numFmtId="0" fontId="66" fillId="3" borderId="0" xfId="11" applyFont="1" applyFill="1" applyAlignment="1">
      <alignment vertical="top"/>
    </xf>
    <xf numFmtId="0" fontId="84" fillId="26" borderId="33" xfId="11" applyFont="1" applyFill="1" applyBorder="1" applyAlignment="1">
      <alignment vertical="top"/>
    </xf>
    <xf numFmtId="0" fontId="85" fillId="0" borderId="0" xfId="11" applyFont="1" applyAlignment="1">
      <alignment horizontal="center"/>
    </xf>
    <xf numFmtId="0" fontId="59" fillId="0" borderId="0" xfId="11"/>
    <xf numFmtId="1" fontId="85" fillId="0" borderId="0" xfId="11" applyNumberFormat="1" applyFont="1" applyAlignment="1">
      <alignment horizontal="center"/>
    </xf>
    <xf numFmtId="0" fontId="85" fillId="0" borderId="0" xfId="11" applyFont="1"/>
    <xf numFmtId="0" fontId="69" fillId="0" borderId="0" xfId="5" applyNumberFormat="1" applyFont="1" applyFill="1"/>
    <xf numFmtId="0" fontId="86" fillId="0" borderId="0" xfId="5" applyNumberFormat="1" applyFont="1" applyFill="1"/>
    <xf numFmtId="43" fontId="60" fillId="3" borderId="0" xfId="1" applyFont="1" applyFill="1" applyAlignment="1">
      <alignment horizontal="center" vertical="top"/>
    </xf>
    <xf numFmtId="43" fontId="61" fillId="0" borderId="0" xfId="1" applyFont="1"/>
    <xf numFmtId="43" fontId="71" fillId="0" borderId="0" xfId="1" applyFont="1"/>
    <xf numFmtId="43" fontId="64" fillId="0" borderId="0" xfId="1" applyFont="1"/>
    <xf numFmtId="43" fontId="60" fillId="3" borderId="34" xfId="1" applyFont="1" applyFill="1" applyBorder="1" applyAlignment="1">
      <alignment horizontal="center" vertical="top"/>
    </xf>
    <xf numFmtId="43" fontId="60" fillId="3" borderId="32" xfId="1" applyFont="1" applyFill="1" applyBorder="1" applyAlignment="1">
      <alignment horizontal="center" vertical="top"/>
    </xf>
    <xf numFmtId="43" fontId="61" fillId="0" borderId="35" xfId="1" applyFont="1" applyBorder="1"/>
    <xf numFmtId="43" fontId="61" fillId="0" borderId="25" xfId="1" applyFont="1" applyBorder="1"/>
    <xf numFmtId="43" fontId="61" fillId="0" borderId="36" xfId="1" applyFont="1" applyBorder="1"/>
    <xf numFmtId="43" fontId="64" fillId="0" borderId="30" xfId="1" applyFont="1" applyBorder="1"/>
    <xf numFmtId="43" fontId="73" fillId="23" borderId="0" xfId="1" applyFont="1" applyFill="1"/>
    <xf numFmtId="43" fontId="66" fillId="4" borderId="0" xfId="1" applyFont="1" applyFill="1"/>
    <xf numFmtId="43" fontId="60" fillId="4" borderId="0" xfId="1" applyFont="1" applyFill="1"/>
    <xf numFmtId="43" fontId="64" fillId="3" borderId="0" xfId="1" applyFont="1" applyFill="1"/>
    <xf numFmtId="43" fontId="64" fillId="0" borderId="5" xfId="1" applyFont="1" applyBorder="1"/>
    <xf numFmtId="43" fontId="67" fillId="0" borderId="0" xfId="1" applyFont="1"/>
    <xf numFmtId="43" fontId="64" fillId="14" borderId="0" xfId="1" applyFont="1" applyFill="1" applyAlignment="1">
      <alignment horizontal="center" vertical="top"/>
    </xf>
    <xf numFmtId="43" fontId="83" fillId="0" borderId="0" xfId="1" applyFont="1"/>
    <xf numFmtId="43" fontId="64" fillId="0" borderId="0" xfId="1" applyFont="1" applyFill="1" applyAlignment="1">
      <alignment horizontal="center" vertical="top"/>
    </xf>
    <xf numFmtId="43" fontId="64" fillId="14" borderId="0" xfId="1" applyFont="1" applyFill="1" applyAlignment="1">
      <alignment horizontal="center" vertical="top" wrapText="1"/>
    </xf>
    <xf numFmtId="43" fontId="61" fillId="0" borderId="0" xfId="0" applyNumberFormat="1" applyFont="1"/>
    <xf numFmtId="43" fontId="0" fillId="0" borderId="0" xfId="1" applyFont="1" applyAlignment="1">
      <alignment horizontal="left"/>
    </xf>
    <xf numFmtId="43" fontId="61" fillId="0" borderId="0" xfId="1" applyFont="1" applyAlignment="1">
      <alignment horizontal="left"/>
    </xf>
    <xf numFmtId="0" fontId="68" fillId="3" borderId="0" xfId="5" applyFont="1" applyFill="1" applyAlignment="1">
      <alignment horizontal="left" vertical="top"/>
    </xf>
    <xf numFmtId="0" fontId="71" fillId="0" borderId="0" xfId="5" applyFont="1" applyAlignment="1">
      <alignment horizontal="left"/>
    </xf>
    <xf numFmtId="0" fontId="71" fillId="0" borderId="0" xfId="0" applyFont="1" applyAlignment="1">
      <alignment horizontal="left"/>
    </xf>
    <xf numFmtId="0" fontId="71" fillId="3" borderId="0" xfId="5" applyFont="1" applyFill="1" applyAlignment="1">
      <alignment horizontal="left"/>
    </xf>
    <xf numFmtId="0" fontId="71" fillId="0" borderId="14" xfId="5" applyFont="1" applyBorder="1" applyAlignment="1">
      <alignment horizontal="left"/>
    </xf>
    <xf numFmtId="0" fontId="2" fillId="3" borderId="0" xfId="5" applyFont="1" applyFill="1" applyAlignment="1">
      <alignment horizontal="left"/>
    </xf>
    <xf numFmtId="40" fontId="64" fillId="0" borderId="0" xfId="5" applyNumberFormat="1" applyFont="1" applyAlignment="1">
      <alignment horizontal="left"/>
    </xf>
    <xf numFmtId="0" fontId="67" fillId="0" borderId="0" xfId="5" applyFont="1" applyAlignment="1">
      <alignment horizontal="left"/>
    </xf>
    <xf numFmtId="0" fontId="64" fillId="14" borderId="0" xfId="5" applyFont="1" applyFill="1" applyAlignment="1">
      <alignment horizontal="left" vertical="top"/>
    </xf>
    <xf numFmtId="0" fontId="83" fillId="0" borderId="0" xfId="0" applyFont="1" applyAlignment="1">
      <alignment horizontal="left"/>
    </xf>
    <xf numFmtId="43" fontId="83" fillId="14" borderId="0" xfId="0" applyNumberFormat="1" applyFont="1" applyFill="1"/>
    <xf numFmtId="43" fontId="83" fillId="0" borderId="0" xfId="0" applyNumberFormat="1" applyFont="1"/>
    <xf numFmtId="40" fontId="60" fillId="3" borderId="28" xfId="5" applyNumberFormat="1" applyFont="1" applyFill="1" applyBorder="1" applyAlignment="1">
      <alignment horizontal="center" vertical="top" wrapText="1"/>
    </xf>
    <xf numFmtId="40" fontId="60" fillId="3" borderId="0" xfId="1" applyNumberFormat="1" applyFont="1" applyFill="1" applyAlignment="1">
      <alignment horizontal="center" vertical="top"/>
    </xf>
    <xf numFmtId="40" fontId="61" fillId="0" borderId="0" xfId="1" applyNumberFormat="1" applyFont="1"/>
    <xf numFmtId="40" fontId="71" fillId="0" borderId="0" xfId="1" applyNumberFormat="1" applyFont="1"/>
    <xf numFmtId="40" fontId="72" fillId="0" borderId="0" xfId="1" applyNumberFormat="1" applyFont="1"/>
    <xf numFmtId="40" fontId="60" fillId="3" borderId="32" xfId="1" applyNumberFormat="1" applyFont="1" applyFill="1" applyBorder="1" applyAlignment="1">
      <alignment horizontal="center" vertical="top"/>
    </xf>
    <xf numFmtId="40" fontId="61" fillId="0" borderId="10" xfId="1" applyNumberFormat="1" applyFont="1" applyBorder="1"/>
    <xf numFmtId="40" fontId="64" fillId="0" borderId="5" xfId="1" applyNumberFormat="1" applyFont="1" applyBorder="1"/>
    <xf numFmtId="40" fontId="64" fillId="0" borderId="0" xfId="1" applyNumberFormat="1" applyFont="1"/>
    <xf numFmtId="40" fontId="72" fillId="0" borderId="7" xfId="1" applyNumberFormat="1" applyFont="1" applyBorder="1"/>
    <xf numFmtId="40" fontId="72" fillId="0" borderId="10" xfId="1" applyNumberFormat="1" applyFont="1" applyBorder="1"/>
    <xf numFmtId="40" fontId="72" fillId="0" borderId="8" xfId="1" applyNumberFormat="1" applyFont="1" applyBorder="1"/>
    <xf numFmtId="40" fontId="72" fillId="0" borderId="5" xfId="1" applyNumberFormat="1" applyFont="1" applyBorder="1"/>
    <xf numFmtId="40" fontId="76" fillId="11" borderId="37" xfId="1" applyNumberFormat="1" applyFont="1" applyFill="1" applyBorder="1" applyAlignment="1">
      <alignment horizontal="center" vertical="top"/>
    </xf>
    <xf numFmtId="40" fontId="0" fillId="0" borderId="0" xfId="1" applyNumberFormat="1" applyFont="1" applyFill="1"/>
    <xf numFmtId="40" fontId="67" fillId="0" borderId="0" xfId="1" applyNumberFormat="1" applyFont="1"/>
    <xf numFmtId="40" fontId="83" fillId="0" borderId="0" xfId="0" applyNumberFormat="1" applyFont="1"/>
    <xf numFmtId="43" fontId="49" fillId="0" borderId="0" xfId="1" applyFont="1" applyAlignment="1">
      <alignment vertical="center"/>
    </xf>
    <xf numFmtId="43" fontId="51" fillId="0" borderId="23" xfId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52" fillId="21" borderId="0" xfId="1" applyFont="1" applyFill="1" applyAlignment="1">
      <alignment vertical="center"/>
    </xf>
    <xf numFmtId="43" fontId="55" fillId="21" borderId="0" xfId="1" applyFont="1" applyFill="1" applyAlignment="1">
      <alignment horizontal="center" vertical="top" wrapText="1"/>
    </xf>
    <xf numFmtId="43" fontId="54" fillId="0" borderId="25" xfId="1" applyFont="1" applyBorder="1" applyAlignment="1">
      <alignment vertical="center"/>
    </xf>
    <xf numFmtId="43" fontId="50" fillId="0" borderId="0" xfId="1" applyFont="1" applyAlignment="1">
      <alignment vertical="center"/>
    </xf>
    <xf numFmtId="43" fontId="60" fillId="3" borderId="26" xfId="1" applyFont="1" applyFill="1" applyBorder="1" applyAlignment="1">
      <alignment horizontal="center" vertical="top"/>
    </xf>
    <xf numFmtId="43" fontId="62" fillId="0" borderId="29" xfId="1" applyFont="1" applyBorder="1"/>
    <xf numFmtId="43" fontId="62" fillId="0" borderId="30" xfId="1" applyFont="1" applyBorder="1"/>
    <xf numFmtId="43" fontId="62" fillId="0" borderId="0" xfId="1" applyFont="1"/>
    <xf numFmtId="43" fontId="65" fillId="0" borderId="0" xfId="1" applyFont="1"/>
    <xf numFmtId="43" fontId="66" fillId="23" borderId="0" xfId="1" applyFont="1" applyFill="1"/>
    <xf numFmtId="43" fontId="65" fillId="3" borderId="0" xfId="1" applyFont="1" applyFill="1"/>
    <xf numFmtId="43" fontId="62" fillId="0" borderId="5" xfId="1" applyFont="1" applyBorder="1"/>
    <xf numFmtId="43" fontId="3" fillId="0" borderId="0" xfId="1" applyFont="1"/>
    <xf numFmtId="0" fontId="51" fillId="0" borderId="24" xfId="1" applyNumberFormat="1" applyFont="1" applyBorder="1" applyAlignment="1">
      <alignment horizontal="center" vertical="center"/>
    </xf>
    <xf numFmtId="40" fontId="78" fillId="0" borderId="0" xfId="1" applyNumberFormat="1" applyFont="1" applyFill="1"/>
    <xf numFmtId="0" fontId="0" fillId="0" borderId="0" xfId="0" applyAlignment="1">
      <alignment horizontal="left"/>
    </xf>
    <xf numFmtId="43" fontId="60" fillId="3" borderId="0" xfId="1" applyFont="1" applyFill="1" applyAlignment="1">
      <alignment horizontal="center" vertical="top" wrapText="1"/>
    </xf>
    <xf numFmtId="43" fontId="54" fillId="0" borderId="25" xfId="0" applyNumberFormat="1" applyFont="1" applyBorder="1" applyAlignment="1">
      <alignment vertical="center"/>
    </xf>
    <xf numFmtId="0" fontId="15" fillId="0" borderId="0" xfId="2" applyFont="1" applyAlignment="1">
      <alignment horizontal="center" vertical="center"/>
    </xf>
    <xf numFmtId="3" fontId="15" fillId="16" borderId="0" xfId="2" applyNumberFormat="1" applyFont="1" applyFill="1" applyAlignment="1">
      <alignment horizontal="center" vertical="center"/>
    </xf>
    <xf numFmtId="3" fontId="15" fillId="16" borderId="2" xfId="2" applyNumberFormat="1" applyFont="1" applyFill="1" applyBorder="1" applyAlignment="1">
      <alignment horizontal="center" vertical="center"/>
    </xf>
    <xf numFmtId="3" fontId="15" fillId="8" borderId="0" xfId="2" applyNumberFormat="1" applyFont="1" applyFill="1" applyAlignment="1">
      <alignment horizontal="center" vertical="center"/>
    </xf>
    <xf numFmtId="3" fontId="15" fillId="8" borderId="2" xfId="2" applyNumberFormat="1" applyFont="1" applyFill="1" applyBorder="1" applyAlignment="1">
      <alignment horizontal="center" vertical="center"/>
    </xf>
    <xf numFmtId="0" fontId="15" fillId="5" borderId="0" xfId="2" applyFont="1" applyFill="1" applyAlignment="1">
      <alignment horizontal="left" vertical="center"/>
    </xf>
    <xf numFmtId="0" fontId="13" fillId="0" borderId="0" xfId="2" applyFont="1" applyAlignment="1">
      <alignment horizontal="center" vertical="center"/>
    </xf>
    <xf numFmtId="3" fontId="13" fillId="8" borderId="0" xfId="2" applyNumberFormat="1" applyFont="1" applyFill="1" applyAlignment="1">
      <alignment horizontal="center" vertical="center"/>
    </xf>
    <xf numFmtId="3" fontId="13" fillId="8" borderId="2" xfId="2" applyNumberFormat="1" applyFont="1" applyFill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3" fontId="11" fillId="8" borderId="0" xfId="2" applyNumberFormat="1" applyFont="1" applyFill="1" applyAlignment="1">
      <alignment horizontal="center" vertical="center"/>
    </xf>
    <xf numFmtId="3" fontId="11" fillId="8" borderId="2" xfId="2" applyNumberFormat="1" applyFont="1" applyFill="1" applyBorder="1" applyAlignment="1">
      <alignment horizontal="center" vertical="center"/>
    </xf>
    <xf numFmtId="3" fontId="14" fillId="0" borderId="1" xfId="2" applyNumberFormat="1" applyFont="1" applyBorder="1" applyAlignment="1">
      <alignment horizontal="center" vertical="center"/>
    </xf>
    <xf numFmtId="3" fontId="14" fillId="0" borderId="2" xfId="2" applyNumberFormat="1" applyFont="1" applyBorder="1" applyAlignment="1">
      <alignment horizontal="center" vertical="center"/>
    </xf>
    <xf numFmtId="165" fontId="13" fillId="0" borderId="0" xfId="2" applyNumberFormat="1" applyFont="1" applyAlignment="1">
      <alignment horizontal="left" vertical="center" wrapText="1"/>
    </xf>
    <xf numFmtId="0" fontId="5" fillId="2" borderId="0" xfId="2" applyFont="1" applyFill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12">
    <cellStyle name="Comma" xfId="1" builtinId="3"/>
    <cellStyle name="Comma 4" xfId="8" xr:uid="{A2605521-381D-48A1-8576-54A96F130589}"/>
    <cellStyle name="Currency 5" xfId="10" xr:uid="{4B900A20-FB46-4A43-B298-9BC2E676DEFE}"/>
    <cellStyle name="Normal" xfId="0" builtinId="0"/>
    <cellStyle name="Normal 11" xfId="6" xr:uid="{8556D749-A35D-4C72-A76B-07723BD2E39C}"/>
    <cellStyle name="Normal 16 3" xfId="5" xr:uid="{F6030B83-1F01-4DFB-B2EA-A373332BE886}"/>
    <cellStyle name="Normal 2 2" xfId="2" xr:uid="{E0A1E62E-1AD3-452F-9ACC-C5380D2655C2}"/>
    <cellStyle name="Normal 2 2 4" xfId="11" xr:uid="{4F0A4B9C-1B03-4402-A563-C61FBB151F09}"/>
    <cellStyle name="Normal 2 2 5" xfId="9" xr:uid="{BE584281-C6FA-4FB5-A3B0-DA727454699E}"/>
    <cellStyle name="Normal 3" xfId="4" xr:uid="{5262CFB7-FAB2-4572-B833-90799864CE42}"/>
    <cellStyle name="Normal 3 2" xfId="7" xr:uid="{E335AF85-435F-4A26-B5FA-1E8C2ED07AC1}"/>
    <cellStyle name="Normal 5 3 2" xfId="3" xr:uid="{56EB186D-98FF-41D3-8EF0-F3D5A331FF3B}"/>
  </cellStyles>
  <dxfs count="10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/>
        <i val="0"/>
        <strike val="0"/>
        <outline val="0"/>
        <shadow val="0"/>
        <u val="none"/>
        <vertAlign val="baseline"/>
        <sz val="12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/>
        <i val="0"/>
        <strike val="0"/>
        <outline val="0"/>
        <shadow val="0"/>
        <u val="none"/>
        <vertAlign val="baseline"/>
        <sz val="12"/>
        <name val="Calibri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8" formatCode="#,##0.00_);[Red]\(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5" formatCode="_(* #,##0.00_);_(* \(#,##0.00\);_(* &quot;-&quot;??_);_(@_)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8" formatCode="#,##0.00_);[Red]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numFmt numFmtId="8" formatCode="#,##0.00_);[Red]\(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8" formatCode="#,##0.00_);[Red]\(#,##0.00\)"/>
      <alignment horizontal="center" vertical="bottom" textRotation="0" wrapText="0" indent="0" justifyLastLine="0" shrinkToFit="0" readingOrder="0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8" formatCode="#,##0.00_);[Red]\(#,##0.00\)"/>
      <fill>
        <patternFill patternType="solid">
          <fgColor indexed="64"/>
          <bgColor theme="4" tint="-0.249977111117893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6" formatCode="#,##0_);[Red]\(#,##0\)"/>
      <border diagonalUp="0" diagonalDown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6" formatCode="#,##0_);[Red]\(#,##0\)"/>
      <border diagonalUp="0" diagonalDown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8" formatCode="#,##0.00_);[Red]\(#,##0.00\)"/>
      <fill>
        <patternFill patternType="solid">
          <fgColor indexed="64"/>
          <bgColor theme="4" tint="-0.249977111117893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6" formatCode="#,##0_);[Red]\(#,##0\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Calibri"/>
        <family val="2"/>
        <scheme val="none"/>
      </font>
      <fill>
        <patternFill patternType="solid">
          <fgColor indexed="64"/>
          <bgColor indexed="3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166" formatCode="00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9"/>
        <name val="Arial"/>
        <scheme val="none"/>
      </font>
      <numFmt numFmtId="3" formatCode="#,##0"/>
      <fill>
        <patternFill patternType="solid">
          <fgColor indexed="64"/>
          <bgColor indexed="3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pstlouis_bridgeportedu_net/Documents/Budget%20Manager/Financial%20Condition/OCT%2031%202025%20FINANCIAL%20CONDITION%20REPORT%20POS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Oper Budget Approp"/>
      <sheetName val="2 OPBUD Summary"/>
      <sheetName val="3 OPBUD_Detail"/>
      <sheetName val="4 Grants"/>
      <sheetName val="5 Grant Profile"/>
      <sheetName val="6 FNS Budget"/>
      <sheetName val="SchLocTable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>
            <v>801</v>
          </cell>
          <cell r="B2" t="str">
            <v>Barnum</v>
          </cell>
        </row>
        <row r="3">
          <cell r="A3">
            <v>802</v>
          </cell>
          <cell r="B3" t="str">
            <v>Beardsley</v>
          </cell>
        </row>
        <row r="4">
          <cell r="A4">
            <v>803</v>
          </cell>
          <cell r="B4" t="str">
            <v>Black Rock</v>
          </cell>
        </row>
        <row r="5">
          <cell r="A5">
            <v>804</v>
          </cell>
          <cell r="B5" t="str">
            <v>Bryant</v>
          </cell>
        </row>
        <row r="6">
          <cell r="A6">
            <v>805</v>
          </cell>
          <cell r="B6" t="str">
            <v>Columbus</v>
          </cell>
        </row>
        <row r="7">
          <cell r="A7">
            <v>807</v>
          </cell>
          <cell r="B7" t="str">
            <v>Edison</v>
          </cell>
        </row>
        <row r="8">
          <cell r="A8">
            <v>808</v>
          </cell>
          <cell r="B8" t="str">
            <v>Physical Science HS</v>
          </cell>
        </row>
        <row r="9">
          <cell r="A9">
            <v>810</v>
          </cell>
          <cell r="B9" t="str">
            <v>Marin</v>
          </cell>
        </row>
        <row r="10">
          <cell r="A10">
            <v>811</v>
          </cell>
          <cell r="B10" t="str">
            <v>Hall</v>
          </cell>
        </row>
        <row r="11">
          <cell r="A11">
            <v>812</v>
          </cell>
          <cell r="B11" t="str">
            <v>Hallen</v>
          </cell>
        </row>
        <row r="12">
          <cell r="A12">
            <v>813</v>
          </cell>
          <cell r="B12" t="str">
            <v>Hooker</v>
          </cell>
        </row>
        <row r="13">
          <cell r="A13">
            <v>814</v>
          </cell>
          <cell r="B13" t="str">
            <v>Batalla</v>
          </cell>
        </row>
        <row r="14">
          <cell r="A14">
            <v>815</v>
          </cell>
          <cell r="B14" t="str">
            <v>Info Tech HS</v>
          </cell>
        </row>
        <row r="15">
          <cell r="A15">
            <v>816</v>
          </cell>
          <cell r="B15" t="str">
            <v>BMA HS</v>
          </cell>
        </row>
        <row r="16">
          <cell r="A16">
            <v>817</v>
          </cell>
          <cell r="B16" t="str">
            <v>Park City Magnet</v>
          </cell>
        </row>
        <row r="17">
          <cell r="A17">
            <v>818</v>
          </cell>
          <cell r="B17" t="str">
            <v>Zoo Science HS</v>
          </cell>
        </row>
        <row r="18">
          <cell r="A18">
            <v>820</v>
          </cell>
          <cell r="B18" t="str">
            <v>Madison</v>
          </cell>
        </row>
        <row r="19">
          <cell r="A19">
            <v>821</v>
          </cell>
          <cell r="B19" t="str">
            <v>Classical Studies Academy</v>
          </cell>
        </row>
        <row r="20">
          <cell r="A20">
            <v>822</v>
          </cell>
          <cell r="B20" t="str">
            <v>Tisdale</v>
          </cell>
        </row>
        <row r="21">
          <cell r="A21">
            <v>825</v>
          </cell>
          <cell r="B21" t="str">
            <v>Read</v>
          </cell>
        </row>
        <row r="22">
          <cell r="A22">
            <v>826</v>
          </cell>
          <cell r="B22" t="str">
            <v>Roosevelt</v>
          </cell>
        </row>
        <row r="23">
          <cell r="A23">
            <v>828</v>
          </cell>
          <cell r="B23" t="str">
            <v>Bridgeport Learning Center</v>
          </cell>
        </row>
        <row r="24">
          <cell r="A24">
            <v>830</v>
          </cell>
          <cell r="B24" t="str">
            <v>Waltersville</v>
          </cell>
        </row>
        <row r="25">
          <cell r="A25">
            <v>831</v>
          </cell>
          <cell r="B25" t="str">
            <v>Claytor</v>
          </cell>
        </row>
        <row r="26">
          <cell r="A26">
            <v>832</v>
          </cell>
          <cell r="B26" t="str">
            <v>Johnson</v>
          </cell>
        </row>
        <row r="27">
          <cell r="A27">
            <v>836</v>
          </cell>
          <cell r="B27" t="str">
            <v>Winthrop</v>
          </cell>
        </row>
        <row r="28">
          <cell r="A28">
            <v>837</v>
          </cell>
          <cell r="B28" t="str">
            <v>Discovery</v>
          </cell>
        </row>
        <row r="29">
          <cell r="A29">
            <v>839</v>
          </cell>
          <cell r="B29" t="str">
            <v>Cross</v>
          </cell>
        </row>
        <row r="30">
          <cell r="A30">
            <v>840</v>
          </cell>
          <cell r="B30" t="str">
            <v>Blackham</v>
          </cell>
        </row>
        <row r="31">
          <cell r="A31">
            <v>841</v>
          </cell>
          <cell r="B31" t="str">
            <v>Dunbar</v>
          </cell>
        </row>
        <row r="32">
          <cell r="A32">
            <v>842</v>
          </cell>
          <cell r="B32" t="str">
            <v>Curiale</v>
          </cell>
        </row>
        <row r="33">
          <cell r="A33">
            <v>844</v>
          </cell>
          <cell r="B33" t="str">
            <v>Skane</v>
          </cell>
        </row>
        <row r="34">
          <cell r="A34">
            <v>845</v>
          </cell>
          <cell r="B34" t="str">
            <v>High Horizons Magnet</v>
          </cell>
        </row>
        <row r="35">
          <cell r="A35">
            <v>846</v>
          </cell>
          <cell r="B35" t="str">
            <v>Multicultural Magnet</v>
          </cell>
        </row>
        <row r="36">
          <cell r="A36">
            <v>854</v>
          </cell>
          <cell r="B36" t="str">
            <v>Traveler</v>
          </cell>
        </row>
        <row r="37">
          <cell r="A37">
            <v>861</v>
          </cell>
          <cell r="B37" t="str">
            <v>Bassick HS</v>
          </cell>
        </row>
        <row r="38">
          <cell r="A38">
            <v>862</v>
          </cell>
          <cell r="B38" t="str">
            <v>Central HS</v>
          </cell>
        </row>
        <row r="39">
          <cell r="A39">
            <v>863</v>
          </cell>
          <cell r="B39" t="str">
            <v>Harding HS</v>
          </cell>
        </row>
        <row r="40">
          <cell r="A40">
            <v>864</v>
          </cell>
          <cell r="B40" t="str">
            <v>Aquaculture</v>
          </cell>
        </row>
        <row r="41">
          <cell r="A41">
            <v>879</v>
          </cell>
          <cell r="B41" t="str">
            <v>Juvenile Detention Center</v>
          </cell>
        </row>
        <row r="42">
          <cell r="A42">
            <v>889</v>
          </cell>
          <cell r="B42" t="str">
            <v>Human Resources Office</v>
          </cell>
        </row>
        <row r="43">
          <cell r="A43">
            <v>891</v>
          </cell>
          <cell r="B43" t="str">
            <v>Superintendent's Office</v>
          </cell>
        </row>
        <row r="44">
          <cell r="A44">
            <v>895</v>
          </cell>
          <cell r="B44" t="str">
            <v>Adult Education</v>
          </cell>
        </row>
        <row r="45">
          <cell r="A45">
            <v>905</v>
          </cell>
          <cell r="B45" t="str">
            <v>Office of Specialized Instruction</v>
          </cell>
        </row>
        <row r="46">
          <cell r="A46">
            <v>984</v>
          </cell>
          <cell r="B46" t="str">
            <v>FCW campus</v>
          </cell>
        </row>
        <row r="47">
          <cell r="A47">
            <v>988</v>
          </cell>
          <cell r="B47" t="str">
            <v>CSA Annex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22D03B-55BC-4173-A957-0EAB801D96B3}" name="Table4" displayName="Table4" ref="A7:K113" totalsRowCount="1" headerRowDxfId="105" dataDxfId="104">
  <autoFilter ref="A7:K112" xr:uid="{CC22D03B-55BC-4173-A957-0EAB801D96B3}"/>
  <tableColumns count="11">
    <tableColumn id="1" xr3:uid="{23B64C14-2201-41B2-AD9D-BB939A57B050}" name="ACCOUNT" dataDxfId="103" totalsRowDxfId="102"/>
    <tableColumn id="2" xr3:uid="{B0619D1E-C809-49C9-8A68-617F8A808723}" name="DESCRIPTION" totalsRowLabel="GRAND TOTAL" dataDxfId="101" totalsRowDxfId="100"/>
    <tableColumn id="4" xr3:uid="{9ED38185-17B9-4918-915D-B2AC6BD44B8B}" name="FY2027 REQUESTED BUDGET" totalsRowFunction="sum" dataDxfId="99" totalsRowDxfId="98">
      <calculatedColumnFormula>#REF!</calculatedColumnFormula>
    </tableColumn>
    <tableColumn id="7" xr3:uid="{4B5E50EB-6928-4660-961D-4EB280E6DF57}" name="FY26 BUDGET" totalsRowFunction="sum" dataDxfId="97" totalsRowDxfId="96" dataCellStyle="Comma">
      <calculatedColumnFormula>#REF!</calculatedColumnFormula>
    </tableColumn>
    <tableColumn id="8" xr3:uid="{6A1ADC20-385A-4E4D-A451-AAF0951D2AB9}" name="FY2025" totalsRowFunction="sum" dataDxfId="95" totalsRowDxfId="94" dataCellStyle="Comma">
      <calculatedColumnFormula>#REF!</calculatedColumnFormula>
    </tableColumn>
    <tableColumn id="9" xr3:uid="{D086B636-7B30-49DE-917A-465C76687529}" name="FY2024" totalsRowFunction="sum" dataDxfId="93" totalsRowDxfId="92" dataCellStyle="Comma">
      <calculatedColumnFormula>#REF!</calculatedColumnFormula>
    </tableColumn>
    <tableColumn id="10" xr3:uid="{60515183-C5E6-4E52-A8E9-5FA6E895BDA7}" name="FY2023" totalsRowFunction="sum" dataDxfId="91" totalsRowDxfId="90" dataCellStyle="Comma">
      <calculatedColumnFormula>#REF!</calculatedColumnFormula>
    </tableColumn>
    <tableColumn id="11" xr3:uid="{C2312D5B-E8B1-47FD-B4D8-42B6B59A1AC7}" name="FY2022" totalsRowFunction="sum" dataDxfId="89" totalsRowDxfId="88" dataCellStyle="Comma">
      <calculatedColumnFormula>#REF!</calculatedColumnFormula>
    </tableColumn>
    <tableColumn id="5" xr3:uid="{8514B34B-15FC-4825-BEB3-F9ECCB5F9C04}" name="FY2021" totalsRowFunction="sum" dataDxfId="87" totalsRowDxfId="86" dataCellStyle="Comma"/>
    <tableColumn id="6" xr3:uid="{BDECAE51-6769-4D4B-A381-2411429B6110}" name="FY2020" totalsRowFunction="sum" dataDxfId="85" totalsRowDxfId="84" dataCellStyle="Comma"/>
    <tableColumn id="12" xr3:uid="{4566B2C0-3812-43E7-9A6F-C7F979EA7D3A}" name="VARIANCE" totalsRowFunction="sum" dataDxfId="83" totalsRowDxfId="82">
      <calculatedColumnFormula>Table4[[#This Row],[FY2027 REQUESTED BUDGET]]-H8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4522EB-4293-4972-936C-1CFB8613396C}" name="Table15" displayName="Table15" ref="A115:K120" totalsRowShown="0" headerRowDxfId="81" tableBorderDxfId="80" headerRowCellStyle="Normal 16 3">
  <autoFilter ref="A115:K120" xr:uid="{324522EB-4293-4972-936C-1CFB8613396C}"/>
  <tableColumns count="11">
    <tableColumn id="1" xr3:uid="{17A4F643-C44B-4402-A8AB-435439BE6F91}" name="RANGE" dataDxfId="79" dataCellStyle="Normal 16 3"/>
    <tableColumn id="2" xr3:uid="{6F333EF6-ABA0-4AB3-A053-716AD8C35DE3}" name="BUDGET CATEGORY" dataDxfId="78" dataCellStyle="Normal 16 3"/>
    <tableColumn id="3" xr3:uid="{EFF305DA-F5A1-48B7-9143-F641C924F44D}" name="FY2027 REQUESTED BUDGET" dataDxfId="77" dataCellStyle="Normal 16 3">
      <calculatedColumnFormula>'3 OPBUD Detail'!I111</calculatedColumnFormula>
    </tableColumn>
    <tableColumn id="4" xr3:uid="{23C9ACE1-6384-4B8F-A4C9-E023A7E45E9A}" name="FY26 BUDGET" dataDxfId="76" dataCellStyle="Comma">
      <calculatedColumnFormula>+'3 OPBUD Detail'!J111</calculatedColumnFormula>
    </tableColumn>
    <tableColumn id="5" xr3:uid="{A7FB0F34-82AF-4B62-8587-56E256B807B0}" name="FY2025" dataDxfId="75" dataCellStyle="Comma">
      <calculatedColumnFormula>+'3 OPBUD Detail'!K111</calculatedColumnFormula>
    </tableColumn>
    <tableColumn id="6" xr3:uid="{7F284FC9-CAB4-4364-8A4F-370ADD5681D9}" name="FY2024" dataDxfId="74" dataCellStyle="Comma">
      <calculatedColumnFormula>+'3 OPBUD Detail'!L111</calculatedColumnFormula>
    </tableColumn>
    <tableColumn id="7" xr3:uid="{7F6F8EAF-B0C8-452E-93D9-D21B1AE903F6}" name="FY2023" dataDxfId="73" dataCellStyle="Comma">
      <calculatedColumnFormula>+'3 OPBUD Detail'!M111</calculatedColumnFormula>
    </tableColumn>
    <tableColumn id="8" xr3:uid="{0B67F5CC-3656-4623-9C70-D0E74FF21DD7}" name="FY2022" dataDxfId="72" dataCellStyle="Comma">
      <calculatedColumnFormula>+'3 OPBUD Detail'!N111</calculatedColumnFormula>
    </tableColumn>
    <tableColumn id="10" xr3:uid="{328C1FCE-889F-4A41-8AB2-F6E61E14AD19}" name="FY20222" dataDxfId="71" dataCellStyle="Comma">
      <calculatedColumnFormula>+'3 OPBUD Detail'!O111</calculatedColumnFormula>
    </tableColumn>
    <tableColumn id="11" xr3:uid="{3B4AA69F-76BD-4791-8B41-3498F6239F48}" name="FY20223" dataDxfId="70" dataCellStyle="Comma">
      <calculatedColumnFormula>+'3 OPBUD Detail'!P111</calculatedColumnFormula>
    </tableColumn>
    <tableColumn id="9" xr3:uid="{235921C1-E130-478E-B086-3F1B75B210E9}" name="VARIANCE" dataDxfId="69" dataCellStyle="Normal 16 3">
      <calculatedColumnFormula>D116-C116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012E7C-377D-4CC7-B681-B47D9D78CDAA}" name="Table210" displayName="Table210" ref="D2:Q108" totalsRowCount="1" headerRowDxfId="68" dataDxfId="67">
  <autoFilter ref="D2:Q107" xr:uid="{28012E7C-377D-4CC7-B681-B47D9D78CDAA}"/>
  <tableColumns count="14">
    <tableColumn id="1" xr3:uid="{2CDF62E5-91E4-457E-8434-F62C041FD8F5}" name="Account" totalsRowLabel="Total" totalsRowDxfId="66" dataCellStyle="Normal 16 3"/>
    <tableColumn id="2" xr3:uid="{F25491DE-BFE1-4365-B4FC-608D9F659DEC}" name="." dataDxfId="65" totalsRowDxfId="64" dataCellStyle="Normal 16 3"/>
    <tableColumn id="10" xr3:uid="{4C025368-DAD6-4AE3-8777-E237E07682B3}" name="Account Title" dataDxfId="63" totalsRowDxfId="62" dataCellStyle="Normal 16 3"/>
    <tableColumn id="3" xr3:uid="{4416314D-F6A5-4BCF-8091-A7E4A3DDA18B}" name="FTE" totalsRowFunction="sum" dataDxfId="61" totalsRowDxfId="60" dataCellStyle="Normal 16 3">
      <calculatedColumnFormula>SUMIF($D$127:$D$5679,$D3,#REF!)</calculatedColumnFormula>
    </tableColumn>
    <tableColumn id="4" xr3:uid="{56E55AC5-63DF-4A87-8FB1-2F1F736E4309}" name="…" dataDxfId="59" totalsRowDxfId="58" dataCellStyle="Normal 16 3"/>
    <tableColumn id="5" xr3:uid="{5A0CA779-98A4-4F62-A020-45961DB2EDCC}" name="FY2027 REQUESTED BUDGET" totalsRowFunction="sum" dataDxfId="57" totalsRowDxfId="56" dataCellStyle="Comma"/>
    <tableColumn id="6" xr3:uid="{E32B409D-9D6C-44E6-83A3-74E73B6859D7}" name="FY26 BUDGET" totalsRowFunction="sum" dataDxfId="55" totalsRowDxfId="54" dataCellStyle="Comma"/>
    <tableColumn id="7" xr3:uid="{697C6B87-E43C-4D69-A9D6-B840AF4D8526}" name="FY2025" totalsRowFunction="sum" dataDxfId="53" totalsRowDxfId="52" dataCellStyle="Comma"/>
    <tableColumn id="8" xr3:uid="{F169A3AA-A0D6-424A-BF3C-3918D18EFC5B}" name="FY2024" totalsRowFunction="sum" dataDxfId="51" totalsRowDxfId="50" dataCellStyle="Comma"/>
    <tableColumn id="9" xr3:uid="{2EB6725A-5DE2-40B0-A59F-CA48CC2AE301}" name="FY2023" totalsRowFunction="sum" dataDxfId="49" totalsRowDxfId="48" dataCellStyle="Comma"/>
    <tableColumn id="12" xr3:uid="{B32D4ED4-DE96-40DF-99A0-5EC960C546C1}" name="FY2022" totalsRowFunction="sum" dataDxfId="47" totalsRowDxfId="46" dataCellStyle="Comma">
      <calculatedColumnFormula>SUMIF($D$127:$D$5679,$D3,$N$127:$N$5679)</calculatedColumnFormula>
    </tableColumn>
    <tableColumn id="17" xr3:uid="{4968D055-5296-4409-A940-9901AB9173AA}" name="FY2021" totalsRowFunction="sum" dataDxfId="45" totalsRowDxfId="44" dataCellStyle="Comma">
      <calculatedColumnFormula>SUMIF($D$127:$D$5679,$D3,$O$127:$O$5679)</calculatedColumnFormula>
    </tableColumn>
    <tableColumn id="16" xr3:uid="{6B5D82DE-ABD7-4FBF-8AC6-A90C901ABB7A}" name="FY2020" totalsRowFunction="sum" dataDxfId="43" totalsRowDxfId="42" dataCellStyle="Comma">
      <calculatedColumnFormula>SUMIF($D$127:$D$5679,$D3,$P$127:$P$5679)</calculatedColumnFormula>
    </tableColumn>
    <tableColumn id="13" xr3:uid="{D30A2C39-D0AC-4A00-8C69-048248A47843}" name="VARIANCE" totalsRowFunction="sum" dataDxfId="41" totalsRowDxfId="40" dataCellStyle="Comma" totalsRowCellStyle="Comma">
      <calculatedColumnFormula>+Table210[[#This Row],[FY26 BUDGET]]-Table210[[#This Row],[FY2027 REQUESTED BUDGET]]</calculatedColumnFormula>
    </tableColumn>
  </tableColumns>
  <tableStyleInfo name="TableStyleLight16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65176CB-B8C9-4DE1-B878-28475A798848}" name="Table17" displayName="Table17" ref="A126:Q5099" totalsRowCount="1" dataDxfId="39">
  <tableColumns count="17">
    <tableColumn id="1" xr3:uid="{67187162-4CB2-44E6-AA1B-A433CA6C2B69}" name="SCHOOL" totalsRowLabel="Total" dataDxfId="38" totalsRowDxfId="37" dataCellStyle="Normal 16 3">
      <calculatedColumnFormula>IFERROR(VLOOKUP(RIGHT(E127,3)+0,[1]SchLocTable!$A$2:$B$47,2,FALSE)," ")</calculatedColumnFormula>
    </tableColumn>
    <tableColumn id="2" xr3:uid="{A49C2E4A-1822-4ED0-B129-BE9669147A42}" name="ORG DESCRIPTION" dataDxfId="36" totalsRowDxfId="35" dataCellStyle="Normal 16 3">
      <calculatedColumnFormula>VLOOKUP(VALUE(D127),$D$3:F$106,3,FALSE)</calculatedColumnFormula>
    </tableColumn>
    <tableColumn id="3" xr3:uid="{FAE9F973-C2D1-40FF-B4AF-57DC94C4B480}" name="FUND" dataDxfId="34" totalsRowDxfId="33" dataCellStyle="Normal 2 2 5"/>
    <tableColumn id="4" xr3:uid="{00653368-0E85-4BBF-A20E-559E93677C5C}" name="DEPT" dataDxfId="32" totalsRowDxfId="31" dataCellStyle="Normal 2 2 5"/>
    <tableColumn id="5" xr3:uid="{FAB8ACE9-30F1-4FB1-A8EF-4A70391CF6EE}" name="ORG" dataDxfId="30" totalsRowDxfId="29" dataCellStyle="Normal 2 2 5"/>
    <tableColumn id="6" xr3:uid="{9250A7FA-ED47-4C1C-B518-3502210A7D49}" name="DESC" dataDxfId="28" totalsRowDxfId="27" dataCellStyle="Normal 2 2 5"/>
    <tableColumn id="7" xr3:uid="{D1A37B63-B3F6-4931-98F3-DB68739885F7}" name="FTE" totalsRowFunction="sum" dataDxfId="26" totalsRowDxfId="25" dataCellStyle="Normal 2 2 5"/>
    <tableColumn id="8" xr3:uid="{65E437FE-3F81-410A-AE75-9CE773A3D156}" name="OBJECT" dataDxfId="24" totalsRowDxfId="23" dataCellStyle="Normal 2 2 5"/>
    <tableColumn id="9" xr3:uid="{7C86C5AE-6287-488D-AF4D-D964620694D8}" name="FY2027 REQUESTED BUDGET" totalsRowFunction="custom" dataDxfId="22" totalsRowDxfId="21" dataCellStyle="Comma">
      <totalsRowFormula>SUM(Table17[FY2027 REQUESTED BUDGET])</totalsRowFormula>
    </tableColumn>
    <tableColumn id="10" xr3:uid="{F7276182-B615-425D-BF4F-DE418FABBC48}" name="FY26 BUDGET" totalsRowFunction="custom" dataDxfId="20" totalsRowDxfId="19" dataCellStyle="Comma">
      <totalsRowFormula>SUM(Table17[FY26 BUDGET])</totalsRowFormula>
    </tableColumn>
    <tableColumn id="11" xr3:uid="{60BEB5AF-E166-4C65-AA58-CBCC57F3B054}" name="FY2025" totalsRowFunction="custom" dataDxfId="18" totalsRowDxfId="17" dataCellStyle="Comma">
      <totalsRowFormula>SUM(Table17[FY2025])</totalsRowFormula>
    </tableColumn>
    <tableColumn id="12" xr3:uid="{DBCD16F4-9674-4631-83E2-4125AE4014D3}" name="FY2024" totalsRowFunction="custom" dataDxfId="16" totalsRowDxfId="15" dataCellStyle="Comma">
      <totalsRowFormula>SUM(Table17[FY2024])</totalsRowFormula>
    </tableColumn>
    <tableColumn id="13" xr3:uid="{E12AA2C1-EF8F-41F0-85D8-5600ABE6CE43}" name="FY2023" totalsRowFunction="custom" dataDxfId="14" totalsRowDxfId="13" dataCellStyle="Comma">
      <totalsRowFormula>SUM(Table17[FY2023])</totalsRowFormula>
    </tableColumn>
    <tableColumn id="14" xr3:uid="{EA5F6BB2-86BE-42B7-9212-3546BA412502}" name="FY2022" totalsRowFunction="custom" dataDxfId="12" totalsRowDxfId="11" dataCellStyle="Comma">
      <totalsRowFormula>SUM(Table17[FY2022])</totalsRowFormula>
    </tableColumn>
    <tableColumn id="17" xr3:uid="{9AF5AD43-53E6-42FA-AB91-6AE18818D063}" name="FY2021" totalsRowFunction="custom" dataDxfId="10" totalsRowDxfId="9" dataCellStyle="Comma 4">
      <totalsRowFormula>SUM(Table17[FY2021])</totalsRowFormula>
    </tableColumn>
    <tableColumn id="16" xr3:uid="{E0B50A2B-F443-4E1B-BC5B-0BA0777C0D94}" name="FY2020" totalsRowFunction="custom" dataDxfId="8" totalsRowDxfId="7" dataCellStyle="Comma 4">
      <totalsRowFormula>SUM(Table17[FY2020])</totalsRowFormula>
    </tableColumn>
    <tableColumn id="15" xr3:uid="{A89685D7-4A6E-42F3-802E-55328B7E003B}" name="VARIANCE" totalsRowFunction="custom" dataDxfId="6" totalsRowDxfId="5" dataCellStyle="Comma">
      <calculatedColumnFormula>J127-I127</calculatedColumnFormula>
      <totalsRowFormula>SUM(Table17[VARIANCE])</totalsRowFormula>
    </tableColumn>
  </tableColumns>
  <tableStyleInfo name="TableStyleLight16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831A0A-F83D-4A71-99F1-0E0AF6B0F917}" name="Table24" displayName="Table24" ref="A1:B48" totalsRowShown="0" headerRowDxfId="4" headerRowCellStyle="Normal 2 2">
  <autoFilter ref="A1:B48" xr:uid="{5B831A0A-F83D-4A71-99F1-0E0AF6B0F917}"/>
  <sortState xmlns:xlrd2="http://schemas.microsoft.com/office/spreadsheetml/2017/richdata2" ref="A2:B48">
    <sortCondition ref="A1:A48"/>
  </sortState>
  <tableColumns count="2">
    <tableColumn id="3" xr3:uid="{3E7BD282-7DA3-4434-AE1A-9837EC363612}" name="Loc Code" dataDxfId="3" totalsRowDxfId="2" dataCellStyle="Normal 2 2">
      <calculatedColumnFormula>#REF!</calculatedColumnFormula>
    </tableColumn>
    <tableColumn id="4" xr3:uid="{297F8940-D68E-4771-BF2C-B2D8696A9375}" name="Location" dataDxfId="1" totalsRowDxfId="0" dataCellStyle="Normal 2 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99DC-6096-446D-8AC2-7D51A673E1A1}">
  <dimension ref="A1:V373"/>
  <sheetViews>
    <sheetView topLeftCell="A332" workbookViewId="0">
      <selection activeCell="G352" sqref="G352"/>
    </sheetView>
  </sheetViews>
  <sheetFormatPr defaultColWidth="16.44140625" defaultRowHeight="14.4" x14ac:dyDescent="0.25"/>
  <cols>
    <col min="1" max="1" width="5.5546875" style="205" customWidth="1"/>
    <col min="2" max="2" width="1" style="20" customWidth="1"/>
    <col min="3" max="3" width="12.33203125" style="20" customWidth="1"/>
    <col min="4" max="4" width="8.5546875" style="20" customWidth="1"/>
    <col min="5" max="5" width="9.5546875" style="20" customWidth="1"/>
    <col min="6" max="6" width="12.44140625" style="20" customWidth="1"/>
    <col min="7" max="7" width="12.5546875" style="20" customWidth="1"/>
    <col min="8" max="8" width="5.44140625" style="20" customWidth="1"/>
    <col min="9" max="9" width="15" style="20" customWidth="1"/>
    <col min="10" max="10" width="1.6640625" style="20" customWidth="1"/>
    <col min="11" max="11" width="7.6640625" style="20" customWidth="1"/>
    <col min="12" max="12" width="13.33203125" style="20" customWidth="1"/>
    <col min="13" max="13" width="10.6640625" style="20" customWidth="1"/>
    <col min="14" max="14" width="3.6640625" style="20" customWidth="1"/>
    <col min="15" max="15" width="14.44140625" style="22" customWidth="1"/>
    <col min="16" max="16" width="14" style="315" customWidth="1"/>
    <col min="17" max="16384" width="16.44140625" style="2"/>
  </cols>
  <sheetData>
    <row r="1" spans="1:16" s="1" customFormat="1" ht="23.7" customHeight="1" x14ac:dyDescent="0.25">
      <c r="A1" s="520" t="s">
        <v>0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</row>
    <row r="2" spans="1:16" ht="23.7" customHeight="1" x14ac:dyDescent="0.25">
      <c r="A2" s="521" t="s">
        <v>1</v>
      </c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3"/>
    </row>
    <row r="3" spans="1:16" ht="5.25" customHeight="1" x14ac:dyDescent="0.25">
      <c r="A3" s="524"/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5"/>
      <c r="P3" s="3"/>
    </row>
    <row r="4" spans="1:16" s="9" customFormat="1" ht="19.5" customHeight="1" thickBot="1" x14ac:dyDescent="0.3">
      <c r="A4" s="4" t="s">
        <v>2</v>
      </c>
      <c r="B4" s="5"/>
      <c r="C4" s="6" t="s">
        <v>3</v>
      </c>
      <c r="D4" s="6"/>
      <c r="E4" s="6"/>
      <c r="F4" s="6"/>
      <c r="G4" s="5" t="s">
        <v>4</v>
      </c>
      <c r="H4" s="7"/>
      <c r="I4" s="5" t="s">
        <v>4</v>
      </c>
      <c r="J4" s="5"/>
      <c r="K4" s="5"/>
      <c r="L4" s="5" t="s">
        <v>4</v>
      </c>
      <c r="M4" s="5"/>
      <c r="N4" s="5"/>
      <c r="O4" s="5"/>
      <c r="P4" s="8"/>
    </row>
    <row r="5" spans="1:16" ht="18.75" customHeight="1" thickBot="1" x14ac:dyDescent="0.3">
      <c r="A5" s="10" t="s">
        <v>5</v>
      </c>
      <c r="B5" s="11"/>
      <c r="C5" s="11" t="s">
        <v>6</v>
      </c>
      <c r="D5" s="11"/>
      <c r="E5" s="11"/>
      <c r="F5" s="11"/>
      <c r="G5" s="12"/>
      <c r="H5" s="12"/>
      <c r="I5" s="13"/>
      <c r="J5" s="13"/>
      <c r="K5" s="12"/>
      <c r="L5" s="14">
        <v>215843895</v>
      </c>
      <c r="M5" s="15"/>
      <c r="N5" s="15"/>
      <c r="O5" s="15"/>
      <c r="P5" s="16"/>
    </row>
    <row r="6" spans="1:16" ht="5.25" customHeight="1" x14ac:dyDescent="0.25">
      <c r="A6" s="17"/>
      <c r="B6" s="18"/>
      <c r="C6" s="19"/>
      <c r="D6" s="19"/>
      <c r="E6" s="19"/>
      <c r="F6" s="19"/>
      <c r="L6" s="21"/>
      <c r="M6" s="21"/>
      <c r="N6" s="21"/>
      <c r="P6" s="3"/>
    </row>
    <row r="7" spans="1:16" ht="12" customHeight="1" x14ac:dyDescent="0.25">
      <c r="A7" s="17"/>
      <c r="B7" s="18"/>
      <c r="C7" s="23" t="s">
        <v>7</v>
      </c>
      <c r="D7" s="23"/>
      <c r="E7" s="19"/>
      <c r="F7" s="19"/>
      <c r="G7" s="24">
        <v>51648551</v>
      </c>
      <c r="I7" s="25"/>
      <c r="L7" s="21"/>
      <c r="M7" s="26">
        <f>G7/$L$5</f>
        <v>0.23928659645434958</v>
      </c>
      <c r="N7" s="26"/>
      <c r="P7" s="3"/>
    </row>
    <row r="8" spans="1:16" ht="5.25" customHeight="1" x14ac:dyDescent="0.25">
      <c r="A8" s="17"/>
      <c r="B8" s="18"/>
      <c r="C8" s="19"/>
      <c r="D8" s="19"/>
      <c r="E8" s="19"/>
      <c r="F8" s="19"/>
      <c r="I8" s="25"/>
      <c r="L8" s="21"/>
      <c r="P8" s="3"/>
    </row>
    <row r="9" spans="1:16" ht="12" customHeight="1" x14ac:dyDescent="0.25">
      <c r="A9" s="17"/>
      <c r="B9" s="18"/>
      <c r="C9" s="23" t="s">
        <v>8</v>
      </c>
      <c r="D9" s="23"/>
      <c r="E9" s="19"/>
      <c r="F9" s="19"/>
      <c r="G9" s="24">
        <v>164195344</v>
      </c>
      <c r="I9" s="25"/>
      <c r="L9" s="21"/>
      <c r="M9" s="26">
        <f>G9/$L$5</f>
        <v>0.76071340354565042</v>
      </c>
      <c r="N9" s="26"/>
      <c r="P9" s="3"/>
    </row>
    <row r="10" spans="1:16" ht="4.5" customHeight="1" x14ac:dyDescent="0.25">
      <c r="A10" s="17"/>
      <c r="B10" s="27"/>
      <c r="C10" s="18"/>
      <c r="D10" s="18"/>
      <c r="E10" s="18"/>
      <c r="F10" s="18"/>
      <c r="G10" s="21"/>
      <c r="I10" s="26"/>
      <c r="J10" s="26"/>
      <c r="L10" s="21"/>
      <c r="M10" s="21"/>
      <c r="N10" s="21"/>
      <c r="O10" s="21"/>
      <c r="P10" s="28"/>
    </row>
    <row r="11" spans="1:16" ht="6" customHeight="1" thickBot="1" x14ac:dyDescent="0.3">
      <c r="A11" s="29"/>
      <c r="B11" s="30"/>
      <c r="C11" s="30"/>
      <c r="D11" s="30"/>
      <c r="E11" s="30"/>
      <c r="F11" s="30"/>
      <c r="G11" s="31"/>
      <c r="H11" s="31"/>
      <c r="I11" s="31"/>
      <c r="J11" s="31"/>
      <c r="K11" s="31"/>
      <c r="L11" s="32"/>
      <c r="M11" s="32"/>
      <c r="N11" s="32"/>
      <c r="O11" s="32"/>
      <c r="P11" s="33"/>
    </row>
    <row r="12" spans="1:16" ht="18.75" customHeight="1" thickBot="1" x14ac:dyDescent="0.3">
      <c r="A12" s="34" t="s">
        <v>9</v>
      </c>
      <c r="B12" s="18"/>
      <c r="C12" s="18" t="s">
        <v>6</v>
      </c>
      <c r="D12" s="18"/>
      <c r="E12" s="18"/>
      <c r="F12" s="18"/>
      <c r="I12" s="35"/>
      <c r="L12" s="14">
        <f>224218122+16502</f>
        <v>224234624</v>
      </c>
      <c r="M12" s="21"/>
      <c r="N12" s="21"/>
      <c r="P12" s="3"/>
    </row>
    <row r="13" spans="1:16" ht="5.25" customHeight="1" x14ac:dyDescent="0.25">
      <c r="A13" s="17"/>
      <c r="B13" s="19"/>
      <c r="C13" s="19"/>
      <c r="D13" s="19"/>
      <c r="E13" s="19"/>
      <c r="F13" s="19"/>
      <c r="G13" s="35"/>
      <c r="H13" s="35"/>
      <c r="I13" s="35"/>
      <c r="J13" s="35"/>
      <c r="K13" s="35"/>
      <c r="P13" s="3"/>
    </row>
    <row r="14" spans="1:16" ht="17.25" customHeight="1" x14ac:dyDescent="0.25">
      <c r="A14" s="17"/>
      <c r="B14" s="18"/>
      <c r="C14" s="18" t="s">
        <v>7</v>
      </c>
      <c r="D14" s="18"/>
      <c r="E14" s="18"/>
      <c r="F14" s="18"/>
      <c r="G14" s="24">
        <v>55635053</v>
      </c>
      <c r="L14" s="21"/>
      <c r="M14" s="36">
        <f>G14/$L$12</f>
        <v>0.24811089388229357</v>
      </c>
      <c r="N14" s="36"/>
      <c r="O14" s="37"/>
      <c r="P14" s="3"/>
    </row>
    <row r="15" spans="1:16" ht="17.25" customHeight="1" x14ac:dyDescent="0.25">
      <c r="A15" s="17"/>
      <c r="B15" s="18"/>
      <c r="C15" s="19" t="s">
        <v>10</v>
      </c>
      <c r="D15" s="19"/>
      <c r="E15" s="38" t="s">
        <v>11</v>
      </c>
      <c r="F15" s="18"/>
      <c r="I15" s="35">
        <f>G14-G7</f>
        <v>3986502</v>
      </c>
      <c r="J15" s="35"/>
      <c r="K15" s="39">
        <f>I15/G7</f>
        <v>7.7185166336999469E-2</v>
      </c>
      <c r="L15" s="35" t="s">
        <v>12</v>
      </c>
      <c r="M15" s="21"/>
      <c r="N15" s="38"/>
      <c r="O15" s="37"/>
      <c r="P15" s="3"/>
    </row>
    <row r="16" spans="1:16" ht="5.25" customHeight="1" thickBot="1" x14ac:dyDescent="0.3">
      <c r="A16" s="17"/>
      <c r="B16" s="18"/>
      <c r="C16" s="19"/>
      <c r="D16" s="19"/>
      <c r="E16" s="19"/>
      <c r="F16" s="19"/>
      <c r="L16" s="21"/>
      <c r="M16" s="21"/>
      <c r="N16" s="21"/>
      <c r="P16" s="3"/>
    </row>
    <row r="17" spans="1:16" ht="17.25" customHeight="1" x14ac:dyDescent="0.25">
      <c r="A17" s="17"/>
      <c r="B17" s="18"/>
      <c r="C17" s="19" t="s">
        <v>13</v>
      </c>
      <c r="D17" s="19"/>
      <c r="E17" s="18"/>
      <c r="F17" s="18"/>
      <c r="G17" s="40">
        <v>164195344</v>
      </c>
      <c r="I17" s="35"/>
      <c r="L17" s="21"/>
      <c r="M17" s="36">
        <f>F19/$L$12</f>
        <v>0.75188910611770643</v>
      </c>
      <c r="N17" s="36"/>
      <c r="P17" s="3"/>
    </row>
    <row r="18" spans="1:16" ht="17.25" customHeight="1" thickBot="1" x14ac:dyDescent="0.3">
      <c r="A18" s="17"/>
      <c r="B18" s="18"/>
      <c r="C18" s="19" t="s">
        <v>14</v>
      </c>
      <c r="D18" s="19"/>
      <c r="E18" s="23"/>
      <c r="F18" s="23"/>
      <c r="G18" s="41">
        <v>4404227</v>
      </c>
      <c r="L18" s="21"/>
      <c r="M18" s="36"/>
      <c r="N18" s="36"/>
      <c r="P18" s="3"/>
    </row>
    <row r="19" spans="1:16" ht="17.25" customHeight="1" thickBot="1" x14ac:dyDescent="0.3">
      <c r="A19" s="17"/>
      <c r="B19" s="18"/>
      <c r="C19" s="19"/>
      <c r="D19" s="511" t="s">
        <v>15</v>
      </c>
      <c r="E19" s="511"/>
      <c r="F19" s="42">
        <f>SUM(G17:G18)</f>
        <v>168599571</v>
      </c>
      <c r="G19" s="24"/>
      <c r="L19" s="21"/>
      <c r="M19" s="36"/>
      <c r="N19" s="36"/>
      <c r="P19" s="3"/>
    </row>
    <row r="20" spans="1:16" ht="17.25" customHeight="1" thickBot="1" x14ac:dyDescent="0.3">
      <c r="A20" s="17"/>
      <c r="B20" s="19"/>
      <c r="C20" s="19" t="s">
        <v>10</v>
      </c>
      <c r="D20" s="19"/>
      <c r="E20" s="18"/>
      <c r="F20" s="18"/>
      <c r="G20" s="43"/>
      <c r="I20" s="35">
        <f>F19-G9</f>
        <v>4404227</v>
      </c>
      <c r="J20" s="35"/>
      <c r="K20" s="39">
        <f>I20/G9</f>
        <v>2.6823093107926372E-2</v>
      </c>
      <c r="L20" s="35" t="s">
        <v>12</v>
      </c>
      <c r="O20" s="44">
        <f>I20</f>
        <v>4404227</v>
      </c>
      <c r="P20" s="45" t="s">
        <v>16</v>
      </c>
    </row>
    <row r="21" spans="1:16" ht="16.2" customHeight="1" thickBot="1" x14ac:dyDescent="0.3">
      <c r="A21" s="46"/>
      <c r="C21" s="47" t="s">
        <v>17</v>
      </c>
      <c r="D21" s="47"/>
      <c r="E21" s="47"/>
      <c r="F21" s="47"/>
      <c r="G21" s="25"/>
      <c r="H21" s="19"/>
      <c r="J21" s="48"/>
      <c r="K21" s="512" t="s">
        <v>18</v>
      </c>
      <c r="L21" s="512"/>
      <c r="M21" s="512"/>
      <c r="N21" s="513"/>
      <c r="O21" s="49">
        <f>L12-L5</f>
        <v>8390729</v>
      </c>
      <c r="P21" s="50">
        <f>O21/L5</f>
        <v>3.8874062201295988E-2</v>
      </c>
    </row>
    <row r="22" spans="1:16" ht="4.5" customHeight="1" x14ac:dyDescent="0.25">
      <c r="A22" s="17"/>
      <c r="B22" s="19"/>
      <c r="C22" s="19"/>
      <c r="D22" s="19"/>
      <c r="E22" s="19"/>
      <c r="F22" s="19"/>
      <c r="G22" s="35"/>
      <c r="H22" s="35"/>
      <c r="I22" s="35"/>
      <c r="J22" s="35"/>
      <c r="K22" s="35"/>
      <c r="P22" s="3"/>
    </row>
    <row r="23" spans="1:16" ht="6" customHeight="1" thickBot="1" x14ac:dyDescent="0.3">
      <c r="A23" s="29"/>
      <c r="B23" s="30"/>
      <c r="C23" s="30"/>
      <c r="D23" s="30"/>
      <c r="E23" s="30"/>
      <c r="F23" s="30"/>
      <c r="G23" s="31"/>
      <c r="H23" s="31"/>
      <c r="I23" s="31"/>
      <c r="J23" s="31"/>
      <c r="K23" s="31"/>
      <c r="L23" s="32"/>
      <c r="M23" s="32"/>
      <c r="N23" s="32"/>
      <c r="O23" s="32"/>
      <c r="P23" s="33"/>
    </row>
    <row r="24" spans="1:16" ht="18.75" customHeight="1" thickBot="1" x14ac:dyDescent="0.3">
      <c r="A24" s="34" t="s">
        <v>19</v>
      </c>
      <c r="B24" s="18"/>
      <c r="C24" s="18" t="s">
        <v>20</v>
      </c>
      <c r="D24" s="18"/>
      <c r="E24" s="18"/>
      <c r="F24" s="18"/>
      <c r="L24" s="14">
        <f>L12+I26+I32</f>
        <v>232641042</v>
      </c>
      <c r="M24" s="21"/>
      <c r="N24" s="21"/>
      <c r="P24" s="3"/>
    </row>
    <row r="25" spans="1:16" ht="17.25" customHeight="1" x14ac:dyDescent="0.25">
      <c r="A25" s="17"/>
      <c r="B25" s="19"/>
      <c r="C25" s="19" t="s">
        <v>21</v>
      </c>
      <c r="D25" s="19"/>
      <c r="E25" s="19"/>
      <c r="F25" s="19"/>
      <c r="G25" s="24">
        <f>G14+I26</f>
        <v>58916756</v>
      </c>
      <c r="H25" s="35" t="s">
        <v>22</v>
      </c>
      <c r="I25" s="35"/>
      <c r="J25" s="35"/>
      <c r="K25" s="35"/>
      <c r="M25" s="36">
        <f>G25/$L$24</f>
        <v>0.25325177145656008</v>
      </c>
      <c r="N25" s="36"/>
      <c r="P25" s="3"/>
    </row>
    <row r="26" spans="1:16" ht="17.25" customHeight="1" x14ac:dyDescent="0.25">
      <c r="A26" s="17"/>
      <c r="B26" s="19"/>
      <c r="C26" s="19" t="s">
        <v>10</v>
      </c>
      <c r="D26" s="19"/>
      <c r="E26" s="19"/>
      <c r="F26" s="19"/>
      <c r="G26" s="35"/>
      <c r="H26" s="35"/>
      <c r="I26" s="35">
        <v>3281703</v>
      </c>
      <c r="J26" s="35"/>
      <c r="K26" s="51">
        <f>I26/G14</f>
        <v>5.8986247393347499E-2</v>
      </c>
      <c r="L26" s="52" t="s">
        <v>12</v>
      </c>
      <c r="P26" s="3"/>
    </row>
    <row r="27" spans="1:16" ht="17.25" customHeight="1" x14ac:dyDescent="0.25">
      <c r="A27" s="17"/>
      <c r="B27" s="19"/>
      <c r="C27" s="53" t="s">
        <v>23</v>
      </c>
      <c r="D27" s="53"/>
      <c r="E27" s="19"/>
      <c r="F27" s="19"/>
      <c r="G27" s="35"/>
      <c r="H27" s="35"/>
      <c r="I27" s="35"/>
      <c r="J27" s="35"/>
      <c r="K27" s="51"/>
      <c r="L27" s="52"/>
      <c r="M27" s="54">
        <v>1212273</v>
      </c>
      <c r="P27" s="3"/>
    </row>
    <row r="28" spans="1:16" ht="16.5" customHeight="1" thickBot="1" x14ac:dyDescent="0.3">
      <c r="A28" s="17"/>
      <c r="B28" s="19"/>
      <c r="C28" s="53" t="s">
        <v>24</v>
      </c>
      <c r="D28" s="53"/>
      <c r="E28" s="55"/>
      <c r="F28" s="55"/>
      <c r="G28" s="56"/>
      <c r="H28" s="56"/>
      <c r="I28" s="57"/>
      <c r="J28" s="57"/>
      <c r="K28" s="58"/>
      <c r="L28" s="59" t="s">
        <v>25</v>
      </c>
      <c r="M28" s="57"/>
      <c r="N28" s="57"/>
      <c r="P28" s="3"/>
    </row>
    <row r="29" spans="1:16" ht="17.25" customHeight="1" x14ac:dyDescent="0.25">
      <c r="A29" s="46"/>
      <c r="C29" s="19" t="s">
        <v>26</v>
      </c>
      <c r="D29" s="19"/>
      <c r="E29" s="23"/>
      <c r="F29" s="23"/>
      <c r="G29" s="40">
        <v>164195344</v>
      </c>
      <c r="K29" s="60"/>
      <c r="L29" s="61"/>
      <c r="M29" s="36">
        <f>F31/L24</f>
        <v>0.74674822854343992</v>
      </c>
      <c r="N29" s="36"/>
      <c r="P29" s="3"/>
    </row>
    <row r="30" spans="1:16" ht="17.25" customHeight="1" thickBot="1" x14ac:dyDescent="0.3">
      <c r="A30" s="46"/>
      <c r="C30" s="19" t="s">
        <v>27</v>
      </c>
      <c r="D30" s="19"/>
      <c r="E30" s="23"/>
      <c r="F30" s="23"/>
      <c r="G30" s="41">
        <v>9528942</v>
      </c>
      <c r="I30" s="62"/>
      <c r="K30" s="60"/>
      <c r="L30" s="61"/>
      <c r="M30" s="36"/>
      <c r="N30" s="36"/>
      <c r="P30" s="3"/>
    </row>
    <row r="31" spans="1:16" ht="17.25" customHeight="1" thickBot="1" x14ac:dyDescent="0.3">
      <c r="A31" s="46"/>
      <c r="C31" s="19"/>
      <c r="D31" s="511" t="s">
        <v>15</v>
      </c>
      <c r="E31" s="511"/>
      <c r="F31" s="42">
        <f>SUM(G29:G30)</f>
        <v>173724286</v>
      </c>
      <c r="G31" s="24"/>
      <c r="K31" s="60"/>
      <c r="L31" s="61"/>
      <c r="M31" s="36"/>
      <c r="N31" s="36"/>
      <c r="P31" s="3"/>
    </row>
    <row r="32" spans="1:16" ht="17.25" customHeight="1" x14ac:dyDescent="0.25">
      <c r="A32" s="17"/>
      <c r="B32" s="19"/>
      <c r="C32" s="19" t="s">
        <v>10</v>
      </c>
      <c r="D32" s="19"/>
      <c r="E32" s="19"/>
      <c r="F32" s="19"/>
      <c r="G32" s="24"/>
      <c r="H32" s="35"/>
      <c r="I32" s="35">
        <f>F31-F19</f>
        <v>5124715</v>
      </c>
      <c r="J32" s="35"/>
      <c r="K32" s="51">
        <f>I32/F19</f>
        <v>3.0395777222944415E-2</v>
      </c>
      <c r="L32" s="52" t="s">
        <v>12</v>
      </c>
      <c r="O32" s="44">
        <v>9528942</v>
      </c>
      <c r="P32" s="45" t="s">
        <v>16</v>
      </c>
    </row>
    <row r="33" spans="1:16" ht="5.25" customHeight="1" thickBot="1" x14ac:dyDescent="0.3">
      <c r="A33" s="46"/>
      <c r="C33" s="18"/>
      <c r="D33" s="18"/>
      <c r="E33" s="18"/>
      <c r="F33" s="18"/>
      <c r="G33" s="19"/>
      <c r="H33" s="35"/>
      <c r="I33" s="48"/>
      <c r="J33" s="48"/>
      <c r="P33" s="3"/>
    </row>
    <row r="34" spans="1:16" ht="16.2" customHeight="1" thickBot="1" x14ac:dyDescent="0.3">
      <c r="A34" s="46"/>
      <c r="C34" s="47" t="s">
        <v>28</v>
      </c>
      <c r="D34" s="47"/>
      <c r="E34" s="47"/>
      <c r="F34" s="47"/>
      <c r="G34" s="25"/>
      <c r="H34" s="19"/>
      <c r="J34" s="48"/>
      <c r="K34" s="512" t="s">
        <v>18</v>
      </c>
      <c r="L34" s="512"/>
      <c r="M34" s="512"/>
      <c r="N34" s="513"/>
      <c r="O34" s="49">
        <f>L24-L12</f>
        <v>8406418</v>
      </c>
      <c r="P34" s="50">
        <f>O34/L12</f>
        <v>3.7489384333438174E-2</v>
      </c>
    </row>
    <row r="35" spans="1:16" ht="4.5" customHeight="1" x14ac:dyDescent="0.25">
      <c r="A35" s="17"/>
      <c r="B35" s="19"/>
      <c r="C35" s="19"/>
      <c r="D35" s="19"/>
      <c r="E35" s="19"/>
      <c r="F35" s="19"/>
      <c r="G35" s="35"/>
      <c r="H35" s="35"/>
      <c r="I35" s="35"/>
      <c r="J35" s="35"/>
      <c r="K35" s="35"/>
      <c r="P35" s="3"/>
    </row>
    <row r="36" spans="1:16" ht="19.2" customHeight="1" thickBot="1" x14ac:dyDescent="0.3">
      <c r="A36" s="63"/>
      <c r="B36" s="64"/>
      <c r="C36" s="65" t="s">
        <v>29</v>
      </c>
      <c r="H36" s="66" t="s">
        <v>30</v>
      </c>
      <c r="I36" s="67"/>
      <c r="J36" s="67"/>
      <c r="K36" s="67"/>
      <c r="L36" s="68">
        <v>-1078805</v>
      </c>
      <c r="M36" s="69" t="s">
        <v>31</v>
      </c>
      <c r="N36" s="64"/>
      <c r="O36" s="64"/>
      <c r="P36" s="70"/>
    </row>
    <row r="37" spans="1:16" ht="15" customHeight="1" x14ac:dyDescent="0.25">
      <c r="A37" s="63"/>
      <c r="B37" s="64"/>
      <c r="C37" s="71">
        <v>1200000</v>
      </c>
      <c r="D37" s="72" t="s">
        <v>32</v>
      </c>
      <c r="G37" s="64"/>
      <c r="H37" s="64"/>
      <c r="I37" s="64"/>
      <c r="J37" s="64"/>
      <c r="K37" s="64"/>
      <c r="L37" s="73">
        <v>-1019400</v>
      </c>
      <c r="M37" s="74" t="s">
        <v>33</v>
      </c>
      <c r="N37" s="64"/>
      <c r="O37" s="64"/>
      <c r="P37" s="70"/>
    </row>
    <row r="38" spans="1:16" ht="15" customHeight="1" x14ac:dyDescent="0.25">
      <c r="A38" s="63"/>
      <c r="B38" s="64"/>
      <c r="C38" s="75">
        <v>1019400</v>
      </c>
      <c r="D38" s="72" t="s">
        <v>34</v>
      </c>
      <c r="G38" s="64"/>
      <c r="H38" s="64"/>
      <c r="I38" s="64"/>
      <c r="J38" s="64"/>
      <c r="K38" s="64"/>
      <c r="L38" s="76">
        <f>-O32</f>
        <v>-9528942</v>
      </c>
      <c r="M38" s="74" t="s">
        <v>35</v>
      </c>
      <c r="N38" s="64"/>
      <c r="O38" s="64"/>
      <c r="P38" s="70"/>
    </row>
    <row r="39" spans="1:16" ht="15" customHeight="1" thickBot="1" x14ac:dyDescent="0.3">
      <c r="A39" s="63"/>
      <c r="B39" s="64"/>
      <c r="C39" s="77">
        <v>1062303</v>
      </c>
      <c r="D39" s="72" t="s">
        <v>36</v>
      </c>
      <c r="G39" s="64"/>
      <c r="H39" s="64"/>
      <c r="I39" s="64"/>
      <c r="J39" s="64"/>
      <c r="K39" s="64"/>
      <c r="L39" s="78">
        <f>SUM(L24,L36:L38)</f>
        <v>221013895</v>
      </c>
      <c r="M39" s="79" t="s">
        <v>37</v>
      </c>
      <c r="N39" s="64"/>
      <c r="O39" s="64"/>
      <c r="P39" s="70"/>
    </row>
    <row r="40" spans="1:16" ht="15" customHeight="1" thickTop="1" thickBot="1" x14ac:dyDescent="0.3">
      <c r="A40" s="63"/>
      <c r="B40" s="64"/>
      <c r="C40" s="80">
        <f>SUM(C37:C39)</f>
        <v>3281703</v>
      </c>
      <c r="D40" s="72" t="s">
        <v>38</v>
      </c>
      <c r="G40" s="64"/>
      <c r="H40" s="64"/>
      <c r="I40" s="64"/>
      <c r="J40" s="64"/>
      <c r="K40" s="64"/>
      <c r="L40" s="64"/>
      <c r="M40" s="72"/>
      <c r="N40" s="64"/>
      <c r="O40" s="64"/>
      <c r="P40" s="70"/>
    </row>
    <row r="41" spans="1:16" ht="15" customHeight="1" thickBot="1" x14ac:dyDescent="0.3">
      <c r="A41" s="63"/>
      <c r="B41" s="64"/>
      <c r="C41" s="81">
        <f>219830397-219813895</f>
        <v>16502</v>
      </c>
      <c r="D41" s="72" t="s">
        <v>39</v>
      </c>
      <c r="G41" s="64"/>
      <c r="H41" s="64"/>
      <c r="I41" s="64"/>
      <c r="J41" s="64"/>
      <c r="K41" s="64"/>
      <c r="L41" s="82">
        <f>L39+O32</f>
        <v>230542837</v>
      </c>
      <c r="M41" s="72" t="s">
        <v>40</v>
      </c>
      <c r="N41" s="64"/>
      <c r="O41" s="64"/>
      <c r="P41" s="70"/>
    </row>
    <row r="42" spans="1:16" ht="15" customHeight="1" thickBot="1" x14ac:dyDescent="0.3">
      <c r="A42" s="63"/>
      <c r="B42" s="72"/>
      <c r="C42" s="83">
        <f>SUM(C40:C41)</f>
        <v>3298205</v>
      </c>
      <c r="D42" s="72"/>
      <c r="E42" s="72"/>
      <c r="F42" s="72"/>
      <c r="G42" s="64"/>
      <c r="H42" s="64"/>
      <c r="I42" s="64"/>
      <c r="J42" s="64"/>
      <c r="K42" s="64"/>
      <c r="L42" s="64"/>
      <c r="M42" s="64"/>
      <c r="N42" s="64"/>
      <c r="O42" s="64"/>
      <c r="P42" s="70"/>
    </row>
    <row r="43" spans="1:16" ht="9" customHeight="1" thickBot="1" x14ac:dyDescent="0.3">
      <c r="A43" s="84"/>
      <c r="B43" s="85"/>
      <c r="C43" s="85"/>
      <c r="D43" s="85"/>
      <c r="E43" s="85"/>
      <c r="F43" s="85"/>
      <c r="G43" s="86"/>
      <c r="H43" s="86"/>
      <c r="I43" s="86"/>
      <c r="J43" s="86"/>
      <c r="K43" s="86"/>
      <c r="L43" s="87"/>
      <c r="M43" s="87"/>
      <c r="N43" s="87"/>
      <c r="O43" s="88"/>
      <c r="P43" s="89"/>
    </row>
    <row r="44" spans="1:16" ht="7.2" customHeight="1" thickBot="1" x14ac:dyDescent="0.3">
      <c r="A44" s="90"/>
      <c r="B44" s="91"/>
      <c r="C44" s="91"/>
      <c r="D44" s="91"/>
      <c r="E44" s="91"/>
      <c r="F44" s="91"/>
      <c r="G44" s="92"/>
      <c r="H44" s="92"/>
      <c r="I44" s="92"/>
      <c r="J44" s="92"/>
      <c r="K44" s="92"/>
      <c r="L44" s="93"/>
      <c r="M44" s="93"/>
      <c r="N44" s="93"/>
      <c r="O44" s="93"/>
      <c r="P44" s="94"/>
    </row>
    <row r="45" spans="1:16" ht="18.75" customHeight="1" thickBot="1" x14ac:dyDescent="0.3">
      <c r="A45" s="10" t="s">
        <v>41</v>
      </c>
      <c r="B45" s="11"/>
      <c r="C45" s="11" t="s">
        <v>20</v>
      </c>
      <c r="D45" s="11"/>
      <c r="E45" s="11"/>
      <c r="F45" s="11"/>
      <c r="G45" s="12"/>
      <c r="H45" s="12"/>
      <c r="I45" s="12"/>
      <c r="J45" s="12"/>
      <c r="K45" s="12"/>
      <c r="L45" s="14">
        <f>SUM(G46+F51)</f>
        <v>239526866</v>
      </c>
      <c r="M45" s="15"/>
      <c r="N45" s="15"/>
      <c r="P45" s="3"/>
    </row>
    <row r="46" spans="1:16" ht="17.25" customHeight="1" x14ac:dyDescent="0.25">
      <c r="A46" s="17"/>
      <c r="B46" s="19"/>
      <c r="C46" s="19" t="s">
        <v>21</v>
      </c>
      <c r="D46" s="19"/>
      <c r="E46" s="19"/>
      <c r="F46" s="19"/>
      <c r="G46" s="24">
        <f>G25+1693460+16502</f>
        <v>60626718</v>
      </c>
      <c r="H46" s="35"/>
      <c r="I46" s="35"/>
      <c r="J46" s="35"/>
      <c r="K46" s="35"/>
      <c r="M46" s="36">
        <f>G46/$L$24</f>
        <v>0.26060198784701111</v>
      </c>
      <c r="N46" s="36"/>
      <c r="P46" s="3"/>
    </row>
    <row r="47" spans="1:16" ht="17.25" customHeight="1" x14ac:dyDescent="0.25">
      <c r="A47" s="17"/>
      <c r="B47" s="19"/>
      <c r="C47" s="19" t="s">
        <v>10</v>
      </c>
      <c r="D47" s="19"/>
      <c r="E47" s="19"/>
      <c r="F47" s="19"/>
      <c r="G47" s="35"/>
      <c r="H47" s="35"/>
      <c r="I47" s="35">
        <v>1693460</v>
      </c>
      <c r="J47" s="35"/>
      <c r="K47" s="51">
        <f>I47/G25</f>
        <v>2.8743266177112672E-2</v>
      </c>
      <c r="L47" s="52" t="s">
        <v>12</v>
      </c>
      <c r="P47" s="3"/>
    </row>
    <row r="48" spans="1:16" ht="5.25" customHeight="1" thickBot="1" x14ac:dyDescent="0.3">
      <c r="A48" s="17"/>
      <c r="B48" s="19"/>
      <c r="C48" s="19"/>
      <c r="D48" s="19"/>
      <c r="E48" s="19"/>
      <c r="F48" s="19"/>
      <c r="G48" s="35"/>
      <c r="H48" s="35"/>
      <c r="I48" s="25"/>
      <c r="J48" s="25"/>
      <c r="K48" s="60"/>
      <c r="L48" s="61"/>
      <c r="P48" s="3"/>
    </row>
    <row r="49" spans="1:22" ht="17.25" customHeight="1" x14ac:dyDescent="0.25">
      <c r="A49" s="46"/>
      <c r="C49" s="19" t="s">
        <v>42</v>
      </c>
      <c r="D49" s="19"/>
      <c r="E49" s="23"/>
      <c r="F49" s="23"/>
      <c r="G49" s="40">
        <v>164195344</v>
      </c>
      <c r="K49" s="60"/>
      <c r="L49" s="61"/>
      <c r="M49" s="36">
        <f>F51/L45</f>
        <v>0.74688969545487227</v>
      </c>
      <c r="N49" s="36"/>
      <c r="P49" s="3"/>
    </row>
    <row r="50" spans="1:22" ht="17.25" customHeight="1" thickBot="1" x14ac:dyDescent="0.3">
      <c r="A50" s="46"/>
      <c r="C50" s="19" t="s">
        <v>43</v>
      </c>
      <c r="D50" s="19"/>
      <c r="E50" s="23"/>
      <c r="F50" s="23"/>
      <c r="G50" s="41">
        <v>14704804</v>
      </c>
      <c r="I50" s="62"/>
      <c r="K50" s="60"/>
      <c r="L50" s="61"/>
      <c r="M50" s="36"/>
      <c r="N50" s="36"/>
      <c r="P50" s="3"/>
    </row>
    <row r="51" spans="1:22" ht="17.25" customHeight="1" thickBot="1" x14ac:dyDescent="0.3">
      <c r="A51" s="46"/>
      <c r="C51" s="19"/>
      <c r="D51" s="511" t="s">
        <v>15</v>
      </c>
      <c r="E51" s="511"/>
      <c r="F51" s="42">
        <f>SUM(G49:G50)</f>
        <v>178900148</v>
      </c>
      <c r="G51" s="24"/>
      <c r="K51" s="60"/>
      <c r="L51" s="61"/>
      <c r="M51" s="36"/>
      <c r="N51" s="36"/>
      <c r="P51" s="3"/>
    </row>
    <row r="52" spans="1:22" ht="17.25" customHeight="1" x14ac:dyDescent="0.25">
      <c r="A52" s="17"/>
      <c r="B52" s="19"/>
      <c r="C52" s="19" t="s">
        <v>10</v>
      </c>
      <c r="D52" s="19"/>
      <c r="E52" s="19"/>
      <c r="F52" s="19"/>
      <c r="G52" s="35"/>
      <c r="H52" s="35"/>
      <c r="I52" s="35">
        <f>4284548+891314</f>
        <v>5175862</v>
      </c>
      <c r="J52" s="35"/>
      <c r="K52" s="51">
        <f>I52/F31</f>
        <v>2.9793543085852716E-2</v>
      </c>
      <c r="L52" s="52" t="s">
        <v>12</v>
      </c>
      <c r="O52" s="44">
        <v>14704804</v>
      </c>
      <c r="P52" s="45" t="s">
        <v>16</v>
      </c>
    </row>
    <row r="53" spans="1:22" ht="5.25" customHeight="1" thickBot="1" x14ac:dyDescent="0.3">
      <c r="A53" s="46"/>
      <c r="C53" s="18"/>
      <c r="D53" s="18"/>
      <c r="E53" s="18"/>
      <c r="F53" s="18"/>
      <c r="G53" s="19"/>
      <c r="H53" s="35"/>
      <c r="I53" s="48"/>
      <c r="J53" s="48"/>
      <c r="P53" s="3"/>
    </row>
    <row r="54" spans="1:22" ht="17.25" customHeight="1" thickBot="1" x14ac:dyDescent="0.3">
      <c r="A54" s="46"/>
      <c r="C54" s="47" t="s">
        <v>44</v>
      </c>
      <c r="D54" s="47"/>
      <c r="E54" s="47"/>
      <c r="F54" s="47"/>
      <c r="G54" s="25"/>
      <c r="H54" s="19"/>
      <c r="J54" s="48"/>
      <c r="K54" s="512" t="s">
        <v>18</v>
      </c>
      <c r="L54" s="512"/>
      <c r="M54" s="512"/>
      <c r="N54" s="513"/>
      <c r="O54" s="49">
        <f>L45-L24</f>
        <v>6885824</v>
      </c>
      <c r="P54" s="50">
        <f>O54/L24</f>
        <v>2.9598491911844171E-2</v>
      </c>
    </row>
    <row r="55" spans="1:22" ht="5.25" customHeight="1" x14ac:dyDescent="0.25">
      <c r="A55" s="17"/>
      <c r="B55" s="19"/>
      <c r="C55" s="19"/>
      <c r="D55" s="19"/>
      <c r="E55" s="19"/>
      <c r="F55" s="19"/>
      <c r="G55" s="35"/>
      <c r="H55" s="35"/>
      <c r="I55" s="35"/>
      <c r="J55" s="35"/>
      <c r="K55" s="35"/>
      <c r="P55" s="3"/>
    </row>
    <row r="56" spans="1:22" ht="19.2" customHeight="1" thickBot="1" x14ac:dyDescent="0.3">
      <c r="A56" s="63"/>
      <c r="B56" s="64"/>
      <c r="C56" s="65" t="s">
        <v>29</v>
      </c>
      <c r="H56" s="66" t="s">
        <v>30</v>
      </c>
      <c r="I56" s="67"/>
      <c r="J56" s="67"/>
      <c r="K56" s="67"/>
      <c r="L56" s="68">
        <v>-1078805</v>
      </c>
      <c r="M56" s="69" t="s">
        <v>31</v>
      </c>
      <c r="N56" s="64"/>
      <c r="O56" s="64"/>
      <c r="P56" s="70"/>
    </row>
    <row r="57" spans="1:22" ht="15" customHeight="1" x14ac:dyDescent="0.25">
      <c r="A57" s="63"/>
      <c r="B57" s="64"/>
      <c r="C57" s="71">
        <v>1200000</v>
      </c>
      <c r="D57" s="72" t="s">
        <v>45</v>
      </c>
      <c r="G57" s="64"/>
      <c r="H57" s="64"/>
      <c r="I57" s="64"/>
      <c r="J57" s="64"/>
      <c r="K57" s="64"/>
      <c r="L57" s="73">
        <v>-1019400</v>
      </c>
      <c r="M57" s="74" t="s">
        <v>33</v>
      </c>
      <c r="N57" s="64"/>
      <c r="O57" s="64"/>
      <c r="P57" s="70"/>
    </row>
    <row r="58" spans="1:22" ht="15" customHeight="1" thickBot="1" x14ac:dyDescent="0.3">
      <c r="A58" s="63"/>
      <c r="B58" s="64"/>
      <c r="C58" s="75">
        <v>1019400</v>
      </c>
      <c r="D58" s="72" t="s">
        <v>34</v>
      </c>
      <c r="G58" s="64"/>
      <c r="H58" s="64"/>
      <c r="I58" s="64"/>
      <c r="J58" s="64"/>
      <c r="K58" s="64"/>
      <c r="L58" s="73">
        <f>-O52</f>
        <v>-14704804</v>
      </c>
      <c r="M58" s="74" t="s">
        <v>35</v>
      </c>
      <c r="N58" s="64"/>
      <c r="O58" s="64"/>
      <c r="P58" s="70"/>
    </row>
    <row r="59" spans="1:22" ht="15" customHeight="1" thickBot="1" x14ac:dyDescent="0.35">
      <c r="A59" s="63"/>
      <c r="B59" s="64"/>
      <c r="C59" s="77">
        <v>1062303</v>
      </c>
      <c r="D59" s="72" t="s">
        <v>36</v>
      </c>
      <c r="G59" s="64"/>
      <c r="H59" s="64"/>
      <c r="I59" s="64"/>
      <c r="J59" s="64"/>
      <c r="K59" s="64"/>
      <c r="L59" s="95">
        <f>SUM(L45,L56:L58)</f>
        <v>222723857</v>
      </c>
      <c r="M59" s="96" t="s">
        <v>46</v>
      </c>
      <c r="N59" s="97"/>
      <c r="O59" s="97"/>
      <c r="P59" s="70"/>
    </row>
    <row r="60" spans="1:22" ht="15" customHeight="1" thickTop="1" thickBot="1" x14ac:dyDescent="0.35">
      <c r="A60" s="63"/>
      <c r="B60" s="64"/>
      <c r="C60" s="80">
        <f>SUM(C57:C59)</f>
        <v>3281703</v>
      </c>
      <c r="D60" s="72" t="s">
        <v>38</v>
      </c>
      <c r="G60" s="64"/>
      <c r="H60" s="64"/>
      <c r="I60" s="64"/>
      <c r="J60" s="64"/>
      <c r="K60" s="64"/>
      <c r="L60" s="98">
        <v>-9962</v>
      </c>
      <c r="M60" s="99" t="s">
        <v>47</v>
      </c>
      <c r="N60" s="100"/>
      <c r="O60" s="100"/>
      <c r="P60" s="70"/>
    </row>
    <row r="61" spans="1:22" ht="15" customHeight="1" thickBot="1" x14ac:dyDescent="0.35">
      <c r="A61" s="63"/>
      <c r="B61" s="64"/>
      <c r="C61" s="81">
        <f>219830397-219813895</f>
        <v>16502</v>
      </c>
      <c r="D61" s="72" t="s">
        <v>39</v>
      </c>
      <c r="G61" s="64"/>
      <c r="H61" s="64"/>
      <c r="I61" s="64"/>
      <c r="J61" s="64"/>
      <c r="K61" s="64"/>
      <c r="L61" s="48">
        <f>SUM(L59:L60)</f>
        <v>222713895</v>
      </c>
      <c r="M61" s="96" t="s">
        <v>48</v>
      </c>
      <c r="N61" s="97"/>
      <c r="O61" s="97"/>
      <c r="P61" s="70"/>
    </row>
    <row r="62" spans="1:22" ht="15" customHeight="1" thickBot="1" x14ac:dyDescent="0.35">
      <c r="A62" s="63"/>
      <c r="B62" s="64"/>
      <c r="C62" s="83">
        <f>SUM(C60:C61)</f>
        <v>3298205</v>
      </c>
      <c r="D62" s="72"/>
      <c r="G62" s="64"/>
      <c r="H62" s="64"/>
      <c r="I62" s="64"/>
      <c r="J62" s="64"/>
      <c r="K62" s="64"/>
      <c r="L62" s="101">
        <f>M63+O63</f>
        <v>2098205</v>
      </c>
      <c r="M62" s="102" t="s">
        <v>49</v>
      </c>
      <c r="N62" s="103"/>
      <c r="O62" s="104"/>
      <c r="P62" s="70"/>
    </row>
    <row r="63" spans="1:22" ht="15" customHeight="1" x14ac:dyDescent="0.25">
      <c r="A63" s="63"/>
      <c r="B63" s="72"/>
      <c r="C63" s="2"/>
      <c r="D63" s="72"/>
      <c r="G63" s="64"/>
      <c r="H63" s="64"/>
      <c r="I63" s="64"/>
      <c r="J63" s="64"/>
      <c r="K63" s="64"/>
      <c r="L63" s="64"/>
      <c r="M63" s="105">
        <v>1078805</v>
      </c>
      <c r="N63" s="105" t="s">
        <v>50</v>
      </c>
      <c r="O63" s="105">
        <f>C58</f>
        <v>1019400</v>
      </c>
      <c r="P63" s="70"/>
    </row>
    <row r="64" spans="1:22" s="113" customFormat="1" ht="8.25" customHeight="1" thickBot="1" x14ac:dyDescent="0.3">
      <c r="A64" s="106"/>
      <c r="B64" s="107"/>
      <c r="C64" s="108"/>
      <c r="D64" s="107"/>
      <c r="E64" s="109"/>
      <c r="F64" s="109"/>
      <c r="G64" s="110"/>
      <c r="H64" s="110"/>
      <c r="I64" s="110"/>
      <c r="J64" s="110"/>
      <c r="K64" s="110"/>
      <c r="L64" s="110"/>
      <c r="M64" s="111"/>
      <c r="N64" s="111"/>
      <c r="O64" s="111"/>
      <c r="P64" s="112"/>
      <c r="R64" s="2"/>
      <c r="S64" s="2"/>
      <c r="T64" s="2"/>
      <c r="U64" s="2"/>
      <c r="V64" s="2"/>
    </row>
    <row r="65" spans="1:16" ht="15" customHeight="1" thickBot="1" x14ac:dyDescent="0.3">
      <c r="A65" s="114"/>
      <c r="B65" s="72"/>
      <c r="C65" s="72"/>
      <c r="D65" s="72"/>
      <c r="E65" s="72"/>
      <c r="F65" s="72"/>
      <c r="G65" s="64"/>
      <c r="H65" s="64"/>
      <c r="I65" s="64"/>
      <c r="J65" s="64"/>
      <c r="K65" s="64"/>
      <c r="L65" s="83">
        <f>SUM(L61:L62)</f>
        <v>224812100</v>
      </c>
      <c r="M65" s="72" t="s">
        <v>51</v>
      </c>
      <c r="N65" s="64"/>
      <c r="O65" s="64"/>
      <c r="P65" s="70"/>
    </row>
    <row r="66" spans="1:16" ht="8.25" customHeight="1" thickBot="1" x14ac:dyDescent="0.3">
      <c r="A66" s="114"/>
      <c r="B66" s="72"/>
      <c r="C66" s="72"/>
      <c r="D66" s="72"/>
      <c r="E66" s="72"/>
      <c r="F66" s="72"/>
      <c r="G66" s="64"/>
      <c r="H66" s="64"/>
      <c r="I66" s="64"/>
      <c r="J66" s="64"/>
      <c r="K66" s="64"/>
      <c r="L66" s="64"/>
      <c r="M66" s="64"/>
      <c r="N66" s="64"/>
      <c r="O66" s="64"/>
      <c r="P66" s="70"/>
    </row>
    <row r="67" spans="1:16" ht="15" customHeight="1" thickBot="1" x14ac:dyDescent="0.3">
      <c r="A67" s="114"/>
      <c r="B67" s="72"/>
      <c r="C67" s="72"/>
      <c r="D67" s="72"/>
      <c r="E67" s="72"/>
      <c r="F67" s="72"/>
      <c r="G67" s="64"/>
      <c r="H67" s="64"/>
      <c r="I67" s="64"/>
      <c r="J67" s="64"/>
      <c r="K67" s="64"/>
      <c r="L67" s="82">
        <f>L65+O52</f>
        <v>239516904</v>
      </c>
      <c r="M67" s="72" t="s">
        <v>40</v>
      </c>
      <c r="N67" s="64"/>
      <c r="O67" s="64"/>
      <c r="P67" s="70"/>
    </row>
    <row r="68" spans="1:16" ht="15" customHeight="1" x14ac:dyDescent="0.25">
      <c r="A68" s="114"/>
      <c r="B68" s="72"/>
      <c r="C68" s="72"/>
      <c r="D68" s="72"/>
      <c r="E68" s="72"/>
      <c r="F68" s="72"/>
      <c r="G68" s="64"/>
      <c r="H68" s="64"/>
      <c r="I68" s="64"/>
      <c r="J68" s="64"/>
      <c r="K68" s="64"/>
      <c r="L68" s="64"/>
      <c r="M68" s="72"/>
      <c r="N68" s="64"/>
      <c r="O68" s="64"/>
      <c r="P68" s="70"/>
    </row>
    <row r="69" spans="1:16" ht="7.2" customHeight="1" thickBot="1" x14ac:dyDescent="0.3">
      <c r="A69" s="90"/>
      <c r="B69" s="91"/>
      <c r="C69" s="91"/>
      <c r="D69" s="91"/>
      <c r="E69" s="91"/>
      <c r="F69" s="91"/>
      <c r="G69" s="92"/>
      <c r="H69" s="92"/>
      <c r="I69" s="92"/>
      <c r="J69" s="92"/>
      <c r="K69" s="92"/>
      <c r="L69" s="93"/>
      <c r="M69" s="93"/>
      <c r="N69" s="93"/>
      <c r="O69" s="93"/>
      <c r="P69" s="94"/>
    </row>
    <row r="70" spans="1:16" ht="18.75" customHeight="1" x14ac:dyDescent="0.25">
      <c r="A70" s="34" t="s">
        <v>52</v>
      </c>
      <c r="B70" s="18"/>
      <c r="C70" s="18" t="s">
        <v>53</v>
      </c>
      <c r="D70" s="18"/>
      <c r="E70" s="18"/>
      <c r="F70" s="18"/>
      <c r="L70" s="25"/>
      <c r="M70" s="25"/>
      <c r="N70" s="25"/>
      <c r="O70" s="25"/>
      <c r="P70" s="115"/>
    </row>
    <row r="71" spans="1:16" ht="9" customHeight="1" thickBot="1" x14ac:dyDescent="0.3">
      <c r="A71" s="17"/>
      <c r="B71" s="18"/>
      <c r="C71" s="18"/>
      <c r="D71" s="23"/>
      <c r="E71" s="25"/>
      <c r="F71" s="25"/>
      <c r="M71" s="21"/>
      <c r="N71" s="21"/>
      <c r="O71" s="21"/>
      <c r="P71" s="28"/>
    </row>
    <row r="72" spans="1:16" ht="18.75" customHeight="1" x14ac:dyDescent="0.25">
      <c r="A72" s="17"/>
      <c r="B72" s="18"/>
      <c r="C72" s="116" t="s">
        <v>7</v>
      </c>
      <c r="D72" s="11"/>
      <c r="E72" s="117" t="s">
        <v>54</v>
      </c>
      <c r="F72" s="11"/>
      <c r="G72" s="12"/>
      <c r="H72" s="12"/>
      <c r="I72" s="118">
        <f>G46</f>
        <v>60626718</v>
      </c>
      <c r="J72" s="12"/>
      <c r="K72" s="12"/>
      <c r="L72" s="119"/>
      <c r="M72" s="15"/>
      <c r="N72" s="15"/>
      <c r="O72" s="16"/>
      <c r="P72" s="28"/>
    </row>
    <row r="73" spans="1:16" s="125" customFormat="1" ht="15" customHeight="1" thickBot="1" x14ac:dyDescent="0.25">
      <c r="A73" s="17"/>
      <c r="B73" s="23"/>
      <c r="C73" s="120"/>
      <c r="D73" s="23" t="s">
        <v>55</v>
      </c>
      <c r="E73" s="23"/>
      <c r="F73" s="23"/>
      <c r="G73" s="121"/>
      <c r="H73" s="121" t="s">
        <v>56</v>
      </c>
      <c r="I73" s="122">
        <v>-9962</v>
      </c>
      <c r="J73" s="121"/>
      <c r="K73" s="121"/>
      <c r="L73" s="123"/>
      <c r="M73" s="123"/>
      <c r="N73" s="123"/>
      <c r="O73" s="124"/>
      <c r="P73" s="124"/>
    </row>
    <row r="74" spans="1:16" s="125" customFormat="1" ht="15" customHeight="1" thickBot="1" x14ac:dyDescent="0.25">
      <c r="A74" s="17"/>
      <c r="B74" s="23"/>
      <c r="C74" s="120"/>
      <c r="D74" s="23"/>
      <c r="E74" s="23"/>
      <c r="F74" s="23"/>
      <c r="G74" s="121"/>
      <c r="H74" s="121"/>
      <c r="I74" s="122"/>
      <c r="J74" s="121"/>
      <c r="K74" s="121"/>
      <c r="L74" s="42">
        <f>SUM(I72:I73)</f>
        <v>60616756</v>
      </c>
      <c r="M74" s="517" t="s">
        <v>57</v>
      </c>
      <c r="N74" s="518"/>
      <c r="O74" s="126">
        <f>SUM(L74,G49)+SUM(L56:L58)</f>
        <v>208009091</v>
      </c>
      <c r="P74" s="127" t="s">
        <v>58</v>
      </c>
    </row>
    <row r="75" spans="1:16" s="125" customFormat="1" ht="15" customHeight="1" x14ac:dyDescent="0.2">
      <c r="A75" s="17"/>
      <c r="B75" s="23"/>
      <c r="C75" s="120"/>
      <c r="D75" s="23" t="s">
        <v>59</v>
      </c>
      <c r="E75" s="23"/>
      <c r="F75" s="23"/>
      <c r="G75" s="121"/>
      <c r="H75" s="121" t="s">
        <v>56</v>
      </c>
      <c r="I75" s="122">
        <f>SUM(L56:L57)</f>
        <v>-2098205</v>
      </c>
      <c r="J75" s="121"/>
      <c r="K75" s="121"/>
      <c r="L75" s="123"/>
      <c r="M75" s="123"/>
      <c r="N75" s="123"/>
      <c r="O75" s="124"/>
      <c r="P75" s="124"/>
    </row>
    <row r="76" spans="1:16" s="125" customFormat="1" ht="15" customHeight="1" x14ac:dyDescent="0.2">
      <c r="A76" s="17"/>
      <c r="B76" s="23"/>
      <c r="C76" s="120"/>
      <c r="D76" s="23" t="s">
        <v>60</v>
      </c>
      <c r="E76" s="23"/>
      <c r="F76" s="23"/>
      <c r="G76" s="121"/>
      <c r="H76" s="121"/>
      <c r="I76" s="35">
        <f>SUM(I72:I75)</f>
        <v>58518551</v>
      </c>
      <c r="J76" s="121"/>
      <c r="K76" s="121"/>
      <c r="L76" s="123"/>
      <c r="M76" s="123"/>
      <c r="N76" s="123"/>
      <c r="O76" s="124"/>
      <c r="P76" s="124"/>
    </row>
    <row r="77" spans="1:16" s="125" customFormat="1" ht="15" customHeight="1" x14ac:dyDescent="0.2">
      <c r="A77" s="17"/>
      <c r="B77" s="23"/>
      <c r="C77" s="17" t="s">
        <v>61</v>
      </c>
      <c r="D77" s="23"/>
      <c r="E77" s="19" t="s">
        <v>62</v>
      </c>
      <c r="F77" s="23" t="s">
        <v>63</v>
      </c>
      <c r="G77" s="121"/>
      <c r="H77" s="121"/>
      <c r="I77" s="35">
        <v>1000000</v>
      </c>
      <c r="J77" s="121"/>
      <c r="K77" s="121"/>
      <c r="L77" s="123"/>
      <c r="M77" s="123"/>
      <c r="N77" s="123"/>
      <c r="O77" s="124"/>
      <c r="P77" s="124"/>
    </row>
    <row r="78" spans="1:16" ht="18.75" customHeight="1" thickBot="1" x14ac:dyDescent="0.3">
      <c r="A78" s="17"/>
      <c r="B78" s="18"/>
      <c r="C78" s="128" t="s">
        <v>61</v>
      </c>
      <c r="D78" s="129"/>
      <c r="E78" s="130" t="s">
        <v>62</v>
      </c>
      <c r="F78" s="129"/>
      <c r="G78" s="131"/>
      <c r="H78" s="131"/>
      <c r="I78" s="132">
        <v>3800000</v>
      </c>
      <c r="K78" s="133" t="s">
        <v>22</v>
      </c>
      <c r="L78" s="123" t="s">
        <v>64</v>
      </c>
      <c r="M78" s="21"/>
      <c r="N78" s="21"/>
      <c r="O78" s="28"/>
      <c r="P78" s="28"/>
    </row>
    <row r="79" spans="1:16" ht="18.75" customHeight="1" thickTop="1" thickBot="1" x14ac:dyDescent="0.3">
      <c r="A79" s="17"/>
      <c r="B79" s="18"/>
      <c r="C79" s="84" t="s">
        <v>7</v>
      </c>
      <c r="D79" s="134"/>
      <c r="E79" s="85" t="s">
        <v>62</v>
      </c>
      <c r="F79" s="134"/>
      <c r="G79" s="134" t="s">
        <v>65</v>
      </c>
      <c r="H79" s="87"/>
      <c r="I79" s="135">
        <f>SUM(I76:I78)</f>
        <v>63318551</v>
      </c>
      <c r="J79" s="87"/>
      <c r="K79" s="87"/>
      <c r="L79" s="136"/>
      <c r="M79" s="136"/>
      <c r="N79" s="136"/>
      <c r="O79" s="137"/>
      <c r="P79" s="28"/>
    </row>
    <row r="80" spans="1:16" ht="8.25" customHeight="1" thickBot="1" x14ac:dyDescent="0.3">
      <c r="A80" s="17"/>
      <c r="B80" s="18"/>
      <c r="C80" s="18"/>
      <c r="D80" s="18"/>
      <c r="E80" s="18"/>
      <c r="F80" s="18"/>
      <c r="L80" s="21"/>
      <c r="M80" s="21"/>
      <c r="N80" s="21"/>
      <c r="O80" s="21"/>
      <c r="P80" s="28"/>
    </row>
    <row r="81" spans="1:18" ht="16.5" customHeight="1" x14ac:dyDescent="0.25">
      <c r="A81" s="116"/>
      <c r="B81" s="11"/>
      <c r="C81" s="138" t="s">
        <v>66</v>
      </c>
      <c r="D81" s="139" t="s">
        <v>67</v>
      </c>
      <c r="E81" s="139"/>
      <c r="F81" s="139"/>
      <c r="G81" s="140"/>
      <c r="H81" s="12"/>
      <c r="I81" s="12"/>
      <c r="J81" s="12"/>
      <c r="K81" s="12"/>
      <c r="L81" s="15"/>
      <c r="M81" s="15"/>
      <c r="N81" s="15"/>
      <c r="O81" s="15"/>
      <c r="P81" s="16"/>
    </row>
    <row r="82" spans="1:18" ht="16.5" customHeight="1" x14ac:dyDescent="0.25">
      <c r="A82" s="17"/>
      <c r="B82" s="18"/>
      <c r="C82" s="18"/>
      <c r="D82" s="141"/>
      <c r="E82" s="142" t="s">
        <v>68</v>
      </c>
      <c r="F82" s="142"/>
      <c r="G82" s="143"/>
      <c r="L82" s="21"/>
      <c r="M82" s="21"/>
      <c r="N82" s="21"/>
      <c r="O82" s="21"/>
      <c r="P82" s="28"/>
    </row>
    <row r="83" spans="1:18" ht="16.5" customHeight="1" x14ac:dyDescent="0.25">
      <c r="A83" s="17"/>
      <c r="B83" s="18"/>
      <c r="C83" s="18"/>
      <c r="D83" s="142" t="s">
        <v>69</v>
      </c>
      <c r="E83" s="142"/>
      <c r="F83" s="142"/>
      <c r="G83" s="143"/>
      <c r="L83" s="21"/>
      <c r="M83" s="21"/>
      <c r="N83" s="21"/>
      <c r="O83" s="21"/>
      <c r="P83" s="28"/>
    </row>
    <row r="84" spans="1:18" ht="7.5" customHeight="1" thickBot="1" x14ac:dyDescent="0.3">
      <c r="A84" s="17"/>
      <c r="B84" s="18"/>
      <c r="C84" s="18"/>
      <c r="D84" s="18"/>
      <c r="E84" s="18"/>
      <c r="F84" s="18"/>
      <c r="G84" s="23"/>
      <c r="L84" s="21"/>
      <c r="M84" s="21"/>
      <c r="N84" s="21"/>
      <c r="O84" s="21"/>
      <c r="P84" s="28"/>
    </row>
    <row r="85" spans="1:18" ht="18.75" customHeight="1" thickBot="1" x14ac:dyDescent="0.3">
      <c r="A85" s="17"/>
      <c r="B85" s="18"/>
      <c r="C85" s="144" t="s">
        <v>70</v>
      </c>
      <c r="D85" s="144"/>
      <c r="E85" s="144"/>
      <c r="F85" s="144"/>
      <c r="G85" s="145"/>
      <c r="H85" s="145"/>
      <c r="I85" s="145"/>
      <c r="J85" s="145"/>
      <c r="K85" s="145"/>
      <c r="L85" s="14">
        <f>SUM(G86,G89:G90)</f>
        <v>245590744</v>
      </c>
      <c r="M85" s="21"/>
      <c r="N85" s="21"/>
      <c r="P85" s="3"/>
      <c r="R85" s="146"/>
    </row>
    <row r="86" spans="1:18" ht="17.25" customHeight="1" x14ac:dyDescent="0.25">
      <c r="A86" s="17"/>
      <c r="B86" s="19"/>
      <c r="C86" s="19" t="s">
        <v>21</v>
      </c>
      <c r="D86" s="19"/>
      <c r="E86" s="19" t="s">
        <v>71</v>
      </c>
      <c r="F86" s="19"/>
      <c r="G86" s="24">
        <f>I79+5469</f>
        <v>63324020</v>
      </c>
      <c r="I86" s="35"/>
      <c r="J86" s="35"/>
      <c r="K86" s="35"/>
      <c r="M86" s="36">
        <f>G86/$L$85</f>
        <v>0.2578436750857353</v>
      </c>
      <c r="N86" s="36"/>
      <c r="P86" s="3"/>
    </row>
    <row r="87" spans="1:18" ht="17.25" customHeight="1" x14ac:dyDescent="0.25">
      <c r="A87" s="17"/>
      <c r="B87" s="19"/>
      <c r="C87" s="19" t="s">
        <v>72</v>
      </c>
      <c r="D87" s="19"/>
      <c r="E87" s="19"/>
      <c r="F87" s="19"/>
      <c r="G87" s="35"/>
      <c r="H87" s="133" t="s">
        <v>73</v>
      </c>
      <c r="I87" s="24">
        <f>(G86-L74)-(2300000+I75)</f>
        <v>2505469</v>
      </c>
      <c r="J87" s="35"/>
      <c r="K87" s="51">
        <f>I87/G46</f>
        <v>4.1326152604863088E-2</v>
      </c>
      <c r="L87" s="52" t="s">
        <v>12</v>
      </c>
      <c r="P87" s="3"/>
    </row>
    <row r="88" spans="1:18" ht="6.75" customHeight="1" thickBot="1" x14ac:dyDescent="0.3">
      <c r="A88" s="17"/>
      <c r="B88" s="19"/>
      <c r="C88" s="19"/>
      <c r="D88" s="19"/>
      <c r="E88" s="19"/>
      <c r="F88" s="19"/>
      <c r="G88" s="35"/>
      <c r="H88" s="35"/>
      <c r="I88" s="25"/>
      <c r="J88" s="25"/>
      <c r="K88" s="60"/>
      <c r="L88" s="61"/>
      <c r="P88" s="3"/>
    </row>
    <row r="89" spans="1:18" ht="17.25" customHeight="1" x14ac:dyDescent="0.25">
      <c r="A89" s="46"/>
      <c r="C89" s="19" t="s">
        <v>74</v>
      </c>
      <c r="D89" s="19"/>
      <c r="E89" s="23"/>
      <c r="F89" s="23"/>
      <c r="G89" s="40">
        <f>167561920-3366576</f>
        <v>164195344</v>
      </c>
      <c r="K89" s="60"/>
      <c r="L89" s="61"/>
      <c r="N89" s="36"/>
      <c r="P89" s="3"/>
    </row>
    <row r="90" spans="1:18" ht="17.25" customHeight="1" thickBot="1" x14ac:dyDescent="0.3">
      <c r="A90" s="46"/>
      <c r="C90" s="19" t="s">
        <v>75</v>
      </c>
      <c r="D90" s="19"/>
      <c r="E90" s="23"/>
      <c r="F90" s="23"/>
      <c r="G90" s="41">
        <f>O52+3366576</f>
        <v>18071380</v>
      </c>
      <c r="K90" s="60"/>
      <c r="L90" s="61"/>
      <c r="M90" s="36"/>
      <c r="N90" s="36"/>
      <c r="P90" s="3"/>
    </row>
    <row r="91" spans="1:18" ht="17.25" customHeight="1" thickBot="1" x14ac:dyDescent="0.3">
      <c r="A91" s="46"/>
      <c r="C91" s="19"/>
      <c r="D91" s="511" t="s">
        <v>15</v>
      </c>
      <c r="E91" s="511"/>
      <c r="F91" s="42">
        <f>SUM(G89:G90)</f>
        <v>182266724</v>
      </c>
      <c r="G91" s="24"/>
      <c r="K91" s="60"/>
      <c r="L91" s="61"/>
      <c r="M91" s="36">
        <f>F91/$L$85</f>
        <v>0.74215632491426464</v>
      </c>
      <c r="N91" s="36"/>
      <c r="P91" s="3"/>
    </row>
    <row r="92" spans="1:18" ht="17.25" customHeight="1" x14ac:dyDescent="0.25">
      <c r="A92" s="17"/>
      <c r="B92" s="19"/>
      <c r="C92" s="19" t="s">
        <v>10</v>
      </c>
      <c r="D92" s="19"/>
      <c r="E92" s="19"/>
      <c r="F92" s="19"/>
      <c r="G92" s="35"/>
      <c r="H92" s="35"/>
      <c r="I92" s="24">
        <f>F91-F51</f>
        <v>3366576</v>
      </c>
      <c r="J92" s="35"/>
      <c r="K92" s="51">
        <f>I92/F51</f>
        <v>1.8818184543927821E-2</v>
      </c>
      <c r="L92" s="52" t="s">
        <v>12</v>
      </c>
      <c r="O92" s="44">
        <v>18071380</v>
      </c>
      <c r="P92" s="45" t="s">
        <v>16</v>
      </c>
    </row>
    <row r="93" spans="1:18" ht="6.75" customHeight="1" thickBot="1" x14ac:dyDescent="0.3">
      <c r="A93" s="46"/>
      <c r="C93" s="18"/>
      <c r="D93" s="18"/>
      <c r="E93" s="18"/>
      <c r="F93" s="18"/>
      <c r="G93" s="19"/>
      <c r="H93" s="35"/>
      <c r="I93" s="48"/>
      <c r="J93" s="48"/>
      <c r="P93" s="3"/>
    </row>
    <row r="94" spans="1:18" ht="17.25" customHeight="1" thickBot="1" x14ac:dyDescent="0.3">
      <c r="A94" s="46"/>
      <c r="C94" s="47" t="s">
        <v>76</v>
      </c>
      <c r="D94" s="47"/>
      <c r="E94" s="47"/>
      <c r="F94" s="47"/>
      <c r="G94" s="25"/>
      <c r="H94" s="19"/>
      <c r="J94" s="48"/>
      <c r="K94" s="512" t="s">
        <v>18</v>
      </c>
      <c r="L94" s="512"/>
      <c r="M94" s="512"/>
      <c r="N94" s="513"/>
      <c r="O94" s="49">
        <f>L85-L45-(2300000+I75+I73)</f>
        <v>5872045</v>
      </c>
      <c r="P94" s="50">
        <f>O94/L45</f>
        <v>2.4515183194523157E-2</v>
      </c>
    </row>
    <row r="95" spans="1:18" ht="14.25" customHeight="1" x14ac:dyDescent="0.25">
      <c r="A95" s="17"/>
      <c r="B95" s="19"/>
      <c r="C95" s="19"/>
      <c r="D95" s="19"/>
      <c r="E95" s="19"/>
      <c r="F95" s="19"/>
      <c r="G95" s="35"/>
      <c r="H95" s="35"/>
      <c r="I95" s="35"/>
      <c r="J95" s="35"/>
      <c r="K95" s="35"/>
      <c r="L95" s="147"/>
      <c r="O95" s="148" t="s">
        <v>77</v>
      </c>
      <c r="P95" s="3"/>
    </row>
    <row r="96" spans="1:18" ht="18" customHeight="1" x14ac:dyDescent="0.25">
      <c r="A96" s="63"/>
      <c r="B96" s="64"/>
      <c r="C96" s="81"/>
      <c r="D96" s="81"/>
      <c r="E96" s="25"/>
      <c r="F96" s="25"/>
      <c r="H96" s="149"/>
      <c r="I96" s="150"/>
      <c r="J96" s="150"/>
      <c r="K96" s="150"/>
      <c r="L96" s="151">
        <f>-O92</f>
        <v>-18071380</v>
      </c>
      <c r="M96" s="74" t="s">
        <v>35</v>
      </c>
      <c r="N96" s="64"/>
      <c r="O96" s="64"/>
      <c r="P96" s="70"/>
    </row>
    <row r="97" spans="1:18" ht="6.75" customHeight="1" thickBot="1" x14ac:dyDescent="0.3">
      <c r="A97" s="63"/>
      <c r="B97" s="64"/>
      <c r="C97" s="81"/>
      <c r="D97" s="81"/>
      <c r="E97" s="25"/>
      <c r="F97" s="25"/>
      <c r="H97" s="152"/>
      <c r="I97" s="153"/>
      <c r="J97" s="153"/>
      <c r="K97" s="153"/>
      <c r="L97" s="73"/>
      <c r="M97" s="74"/>
      <c r="N97" s="64"/>
      <c r="O97" s="64"/>
      <c r="P97" s="70"/>
    </row>
    <row r="98" spans="1:18" s="25" customFormat="1" ht="18" customHeight="1" thickBot="1" x14ac:dyDescent="0.35">
      <c r="A98" s="154" t="s">
        <v>78</v>
      </c>
      <c r="B98" s="155"/>
      <c r="C98" s="156"/>
      <c r="E98" s="64"/>
      <c r="F98" s="64"/>
      <c r="G98" s="64"/>
      <c r="H98" s="66" t="s">
        <v>30</v>
      </c>
      <c r="I98" s="67"/>
      <c r="J98" s="67"/>
      <c r="K98" s="67"/>
      <c r="L98" s="95">
        <f>SUM(L85,L96)</f>
        <v>227519364</v>
      </c>
      <c r="M98" s="72" t="s">
        <v>79</v>
      </c>
      <c r="N98" s="64"/>
      <c r="O98" s="64"/>
      <c r="P98" s="70"/>
    </row>
    <row r="99" spans="1:18" s="25" customFormat="1" ht="18" customHeight="1" thickBot="1" x14ac:dyDescent="0.35">
      <c r="A99" s="157" t="s">
        <v>80</v>
      </c>
      <c r="B99" s="81"/>
      <c r="G99" s="64"/>
      <c r="H99" s="64"/>
      <c r="I99" s="64"/>
      <c r="J99" s="64"/>
      <c r="K99" s="64"/>
      <c r="L99" s="64"/>
      <c r="M99" s="72"/>
      <c r="N99" s="64"/>
      <c r="O99" s="64"/>
      <c r="P99" s="70"/>
    </row>
    <row r="100" spans="1:18" s="25" customFormat="1" ht="30" customHeight="1" thickBot="1" x14ac:dyDescent="0.35">
      <c r="A100" s="519" t="s">
        <v>81</v>
      </c>
      <c r="B100" s="519"/>
      <c r="C100" s="519"/>
      <c r="D100" s="519"/>
      <c r="E100" s="519"/>
      <c r="F100" s="519"/>
      <c r="G100" s="519"/>
      <c r="I100" s="64"/>
      <c r="J100" s="64"/>
      <c r="K100" s="64"/>
      <c r="L100" s="158">
        <f>L98+O92</f>
        <v>245590744</v>
      </c>
      <c r="M100" s="72" t="s">
        <v>40</v>
      </c>
      <c r="N100" s="64"/>
      <c r="O100" s="64"/>
      <c r="P100" s="70"/>
    </row>
    <row r="101" spans="1:18" s="25" customFormat="1" ht="23.25" customHeight="1" x14ac:dyDescent="0.3">
      <c r="A101" s="157" t="s">
        <v>82</v>
      </c>
      <c r="B101" s="81"/>
      <c r="C101" s="72"/>
      <c r="D101" s="72"/>
      <c r="E101" s="64"/>
      <c r="F101" s="64"/>
      <c r="P101" s="70"/>
      <c r="R101" s="159"/>
    </row>
    <row r="102" spans="1:18" ht="11.25" customHeight="1" x14ac:dyDescent="0.25">
      <c r="A102" s="63"/>
      <c r="B102" s="64"/>
      <c r="C102" s="79"/>
      <c r="D102" s="81"/>
      <c r="E102" s="72"/>
      <c r="F102" s="72"/>
      <c r="G102" s="64"/>
      <c r="H102" s="64"/>
      <c r="I102" s="64"/>
      <c r="J102" s="64"/>
      <c r="K102" s="64"/>
      <c r="L102" s="25"/>
      <c r="M102" s="25"/>
      <c r="N102" s="64"/>
      <c r="O102" s="64"/>
      <c r="P102" s="70"/>
    </row>
    <row r="103" spans="1:18" ht="7.2" customHeight="1" thickBot="1" x14ac:dyDescent="0.3">
      <c r="A103" s="160"/>
      <c r="B103" s="91"/>
      <c r="C103" s="91"/>
      <c r="D103" s="91"/>
      <c r="E103" s="91"/>
      <c r="F103" s="91"/>
      <c r="G103" s="92"/>
      <c r="H103" s="92"/>
      <c r="I103" s="92"/>
      <c r="J103" s="92"/>
      <c r="K103" s="92"/>
      <c r="L103" s="93"/>
      <c r="M103" s="93"/>
      <c r="N103" s="93"/>
      <c r="O103" s="93"/>
      <c r="P103" s="94"/>
    </row>
    <row r="104" spans="1:18" ht="18" customHeight="1" thickBot="1" x14ac:dyDescent="0.3">
      <c r="A104" s="10" t="s">
        <v>83</v>
      </c>
      <c r="B104" s="11"/>
      <c r="C104" s="11" t="s">
        <v>20</v>
      </c>
      <c r="D104" s="11"/>
      <c r="E104" s="11"/>
      <c r="F104" s="11"/>
      <c r="G104" s="12"/>
      <c r="H104" s="12"/>
      <c r="I104" s="12"/>
      <c r="J104" s="12"/>
      <c r="K104" s="12"/>
      <c r="L104" s="14">
        <f>SUM(G105,F111)</f>
        <v>244488960</v>
      </c>
      <c r="M104" s="15"/>
      <c r="N104" s="15"/>
      <c r="P104" s="3"/>
    </row>
    <row r="105" spans="1:18" ht="12" customHeight="1" x14ac:dyDescent="0.25">
      <c r="A105" s="17"/>
      <c r="B105" s="19"/>
      <c r="C105" s="19" t="s">
        <v>21</v>
      </c>
      <c r="D105" s="19"/>
      <c r="E105" s="19" t="s">
        <v>84</v>
      </c>
      <c r="F105" s="19"/>
      <c r="G105" s="24">
        <f>G86+59550</f>
        <v>63383570</v>
      </c>
      <c r="H105" s="35"/>
      <c r="I105" s="35"/>
      <c r="J105" s="35"/>
      <c r="K105" s="35"/>
      <c r="M105" s="36"/>
      <c r="N105" s="36"/>
      <c r="P105" s="3"/>
    </row>
    <row r="106" spans="1:18" ht="12" customHeight="1" x14ac:dyDescent="0.25">
      <c r="A106" s="17"/>
      <c r="B106" s="19"/>
      <c r="C106" s="19" t="s">
        <v>10</v>
      </c>
      <c r="D106" s="19"/>
      <c r="E106" s="19"/>
      <c r="F106" s="19"/>
      <c r="G106" s="35"/>
      <c r="H106" s="35"/>
      <c r="I106" s="24">
        <f>G105-G86</f>
        <v>59550</v>
      </c>
      <c r="J106" s="35"/>
      <c r="K106" s="51">
        <f>I106/G86</f>
        <v>9.4040144640217098E-4</v>
      </c>
      <c r="L106" s="52" t="s">
        <v>12</v>
      </c>
      <c r="M106" s="36">
        <f>G105/L104</f>
        <v>0.25924921108912241</v>
      </c>
      <c r="P106" s="3"/>
    </row>
    <row r="107" spans="1:18" ht="12" customHeight="1" thickBot="1" x14ac:dyDescent="0.3">
      <c r="A107" s="17"/>
      <c r="B107" s="19"/>
      <c r="C107" s="19"/>
      <c r="D107" s="19"/>
      <c r="E107" s="19"/>
      <c r="F107" s="19"/>
      <c r="G107" s="35"/>
      <c r="H107" s="35"/>
      <c r="I107" s="25"/>
      <c r="J107" s="25"/>
      <c r="K107" s="60"/>
      <c r="L107" s="61"/>
      <c r="P107" s="3"/>
    </row>
    <row r="108" spans="1:18" ht="16.5" customHeight="1" x14ac:dyDescent="0.25">
      <c r="A108" s="46"/>
      <c r="C108" s="19" t="s">
        <v>85</v>
      </c>
      <c r="D108" s="19"/>
      <c r="E108" s="23"/>
      <c r="F108" s="23"/>
      <c r="G108" s="40">
        <f>167561920-3366576</f>
        <v>164195344</v>
      </c>
      <c r="K108" s="60"/>
      <c r="L108" s="61"/>
      <c r="N108" s="36"/>
      <c r="P108" s="3"/>
    </row>
    <row r="109" spans="1:18" ht="16.5" customHeight="1" x14ac:dyDescent="0.25">
      <c r="A109" s="46"/>
      <c r="C109" s="19" t="s">
        <v>86</v>
      </c>
      <c r="D109" s="19"/>
      <c r="E109" s="23"/>
      <c r="F109" s="23"/>
      <c r="G109" s="161">
        <f>18071380-911334-250000</f>
        <v>16910046</v>
      </c>
      <c r="K109" s="60"/>
      <c r="L109" s="61"/>
      <c r="N109" s="36"/>
      <c r="P109" s="3"/>
    </row>
    <row r="110" spans="1:18" ht="16.5" customHeight="1" thickBot="1" x14ac:dyDescent="0.3">
      <c r="A110" s="46"/>
      <c r="C110" s="162" t="s">
        <v>87</v>
      </c>
      <c r="D110" s="162"/>
      <c r="E110" s="163"/>
      <c r="F110" s="163"/>
      <c r="G110" s="164">
        <v>0</v>
      </c>
      <c r="K110" s="60"/>
      <c r="L110" s="61"/>
      <c r="M110" s="36"/>
      <c r="N110" s="36"/>
      <c r="P110" s="3"/>
    </row>
    <row r="111" spans="1:18" ht="16.5" customHeight="1" thickBot="1" x14ac:dyDescent="0.3">
      <c r="A111" s="46"/>
      <c r="C111" s="19"/>
      <c r="D111" s="511" t="s">
        <v>15</v>
      </c>
      <c r="E111" s="511"/>
      <c r="F111" s="42">
        <f>SUM(G108:G110)</f>
        <v>181105390</v>
      </c>
      <c r="G111" s="165" t="s">
        <v>22</v>
      </c>
      <c r="K111" s="60"/>
      <c r="L111" s="61"/>
      <c r="M111" s="36">
        <f>F111/L104</f>
        <v>0.74075078891087764</v>
      </c>
      <c r="N111" s="36"/>
      <c r="P111" s="3"/>
    </row>
    <row r="112" spans="1:18" ht="16.5" customHeight="1" x14ac:dyDescent="0.25">
      <c r="A112" s="46"/>
      <c r="B112" s="19"/>
      <c r="C112" s="19" t="s">
        <v>10</v>
      </c>
      <c r="D112" s="19"/>
      <c r="E112" s="19"/>
      <c r="F112" s="19"/>
      <c r="G112" s="35"/>
      <c r="H112" s="35"/>
      <c r="I112" s="166">
        <f>F111-F91</f>
        <v>-1161334</v>
      </c>
      <c r="J112" s="35"/>
      <c r="K112" s="167">
        <f>I112/F91</f>
        <v>-6.3716183322634363E-3</v>
      </c>
      <c r="L112" s="52" t="s">
        <v>88</v>
      </c>
      <c r="O112" s="44">
        <f>SUM(G109:G110)</f>
        <v>16910046</v>
      </c>
      <c r="P112" s="45" t="s">
        <v>16</v>
      </c>
    </row>
    <row r="113" spans="1:16" ht="9.75" customHeight="1" thickBot="1" x14ac:dyDescent="0.3">
      <c r="A113" s="46"/>
      <c r="C113" s="18"/>
      <c r="D113" s="18"/>
      <c r="E113" s="18"/>
      <c r="F113" s="18"/>
      <c r="G113" s="19"/>
      <c r="H113" s="35"/>
      <c r="I113" s="48"/>
      <c r="J113" s="48"/>
      <c r="P113" s="3"/>
    </row>
    <row r="114" spans="1:16" ht="16.5" customHeight="1" thickBot="1" x14ac:dyDescent="0.3">
      <c r="A114" s="46"/>
      <c r="C114" s="47" t="s">
        <v>89</v>
      </c>
      <c r="D114" s="47"/>
      <c r="E114" s="47"/>
      <c r="F114" s="47"/>
      <c r="G114" s="25"/>
      <c r="H114" s="19"/>
      <c r="J114" s="48"/>
      <c r="K114" s="512" t="s">
        <v>18</v>
      </c>
      <c r="L114" s="512"/>
      <c r="M114" s="512"/>
      <c r="N114" s="513"/>
      <c r="O114" s="168">
        <f>L104-L85</f>
        <v>-1101784</v>
      </c>
      <c r="P114" s="169">
        <f>O114/L85</f>
        <v>-4.4862602802327109E-3</v>
      </c>
    </row>
    <row r="115" spans="1:16" ht="16.5" customHeight="1" thickBot="1" x14ac:dyDescent="0.3">
      <c r="A115" s="46"/>
      <c r="B115" s="25"/>
      <c r="C115" s="25"/>
      <c r="D115" s="25"/>
      <c r="E115" s="25"/>
      <c r="F115" s="25"/>
      <c r="G115" s="25"/>
      <c r="H115" s="35"/>
      <c r="I115" s="35"/>
      <c r="J115" s="35"/>
      <c r="K115" s="35"/>
      <c r="L115" s="147"/>
      <c r="O115" s="64"/>
      <c r="P115" s="70"/>
    </row>
    <row r="116" spans="1:16" ht="16.5" customHeight="1" thickBot="1" x14ac:dyDescent="0.3">
      <c r="A116" s="46"/>
      <c r="B116" s="25"/>
      <c r="C116" s="25"/>
      <c r="D116" s="25"/>
      <c r="E116" s="25"/>
      <c r="F116" s="25"/>
      <c r="G116" s="25"/>
      <c r="H116" s="149"/>
      <c r="I116" s="170">
        <f>SUM(I106,I112)</f>
        <v>-1101784</v>
      </c>
      <c r="J116" s="150"/>
      <c r="K116" s="150"/>
      <c r="L116" s="151">
        <f>-O112</f>
        <v>-16910046</v>
      </c>
      <c r="M116" s="74" t="s">
        <v>35</v>
      </c>
      <c r="O116" s="64"/>
      <c r="P116" s="70"/>
    </row>
    <row r="117" spans="1:16" ht="7.5" customHeight="1" thickBot="1" x14ac:dyDescent="0.3">
      <c r="A117" s="46"/>
      <c r="B117" s="25"/>
      <c r="C117" s="25"/>
      <c r="D117" s="25"/>
      <c r="E117" s="25"/>
      <c r="F117" s="25"/>
      <c r="G117" s="25"/>
      <c r="H117" s="152"/>
      <c r="I117" s="153"/>
      <c r="J117" s="153"/>
      <c r="K117" s="153"/>
      <c r="L117" s="73"/>
      <c r="M117" s="74"/>
      <c r="O117" s="64"/>
      <c r="P117" s="70"/>
    </row>
    <row r="118" spans="1:16" ht="16.5" customHeight="1" thickBot="1" x14ac:dyDescent="0.3">
      <c r="A118" s="46"/>
      <c r="B118" s="25"/>
      <c r="C118" s="25"/>
      <c r="D118" s="25"/>
      <c r="E118" s="25"/>
      <c r="F118" s="25"/>
      <c r="G118" s="25"/>
      <c r="H118" s="66" t="s">
        <v>30</v>
      </c>
      <c r="I118" s="67"/>
      <c r="J118" s="67"/>
      <c r="K118" s="67"/>
      <c r="L118" s="95">
        <f>SUM(L104,L116)</f>
        <v>227578914</v>
      </c>
      <c r="M118" s="72" t="s">
        <v>90</v>
      </c>
      <c r="O118" s="64"/>
      <c r="P118" s="70"/>
    </row>
    <row r="119" spans="1:16" ht="16.5" customHeight="1" thickBot="1" x14ac:dyDescent="0.3">
      <c r="A119" s="46"/>
      <c r="B119" s="25"/>
      <c r="C119" s="25"/>
      <c r="D119" s="25"/>
      <c r="E119" s="25"/>
      <c r="F119" s="25"/>
      <c r="G119" s="25"/>
      <c r="H119" s="19"/>
      <c r="O119" s="64"/>
      <c r="P119" s="70"/>
    </row>
    <row r="120" spans="1:16" ht="16.5" customHeight="1" thickBot="1" x14ac:dyDescent="0.3">
      <c r="A120" s="46"/>
      <c r="B120" s="25"/>
      <c r="C120" s="171" t="s">
        <v>78</v>
      </c>
      <c r="D120" s="81"/>
      <c r="E120" s="25"/>
      <c r="F120" s="25"/>
      <c r="G120" s="64"/>
      <c r="H120" s="64"/>
      <c r="I120" s="172" t="s">
        <v>91</v>
      </c>
      <c r="L120" s="158">
        <f>L104</f>
        <v>244488960</v>
      </c>
      <c r="M120" s="72" t="s">
        <v>40</v>
      </c>
      <c r="N120" s="64"/>
      <c r="O120" s="64"/>
      <c r="P120" s="70"/>
    </row>
    <row r="121" spans="1:16" ht="19.5" customHeight="1" x14ac:dyDescent="0.25">
      <c r="A121" s="46"/>
      <c r="B121" s="72"/>
      <c r="C121" s="72" t="s">
        <v>92</v>
      </c>
      <c r="D121" s="81"/>
      <c r="E121" s="25"/>
      <c r="F121" s="25"/>
      <c r="G121" s="25"/>
      <c r="H121" s="25"/>
      <c r="I121" s="64"/>
      <c r="J121" s="64"/>
      <c r="K121" s="64"/>
      <c r="P121" s="70"/>
    </row>
    <row r="122" spans="1:16" ht="15" customHeight="1" x14ac:dyDescent="0.25">
      <c r="A122" s="46"/>
      <c r="C122" s="519" t="s">
        <v>93</v>
      </c>
      <c r="D122" s="519"/>
      <c r="E122" s="519"/>
      <c r="F122" s="519"/>
      <c r="G122" s="519"/>
      <c r="H122" s="519"/>
      <c r="P122" s="70"/>
    </row>
    <row r="123" spans="1:16" ht="15" customHeight="1" x14ac:dyDescent="0.25">
      <c r="A123" s="46"/>
      <c r="C123" s="142" t="s">
        <v>94</v>
      </c>
      <c r="D123" s="173"/>
      <c r="E123" s="173"/>
      <c r="F123" s="173"/>
      <c r="G123" s="173"/>
      <c r="H123" s="173"/>
      <c r="P123" s="70"/>
    </row>
    <row r="124" spans="1:16" ht="15" customHeight="1" x14ac:dyDescent="0.25">
      <c r="A124" s="46"/>
      <c r="C124" s="173"/>
      <c r="D124" s="173"/>
      <c r="E124" s="173"/>
      <c r="F124" s="173"/>
      <c r="G124" s="173"/>
      <c r="H124" s="173"/>
      <c r="P124" s="70"/>
    </row>
    <row r="125" spans="1:16" ht="15" customHeight="1" x14ac:dyDescent="0.25">
      <c r="A125" s="46"/>
      <c r="C125" s="174" t="s">
        <v>95</v>
      </c>
      <c r="D125" s="175"/>
      <c r="E125" s="173"/>
      <c r="F125" s="173"/>
      <c r="G125" s="173"/>
      <c r="H125" s="173"/>
      <c r="P125" s="70"/>
    </row>
    <row r="126" spans="1:16" ht="15" customHeight="1" x14ac:dyDescent="0.25">
      <c r="A126" s="46"/>
      <c r="C126" s="72" t="s">
        <v>96</v>
      </c>
      <c r="D126" s="173"/>
      <c r="E126" s="173"/>
      <c r="F126" s="173"/>
      <c r="G126" s="173"/>
      <c r="H126" s="173"/>
      <c r="L126" s="72" t="s">
        <v>97</v>
      </c>
      <c r="P126" s="70"/>
    </row>
    <row r="127" spans="1:16" ht="15" customHeight="1" x14ac:dyDescent="0.25">
      <c r="A127" s="46"/>
      <c r="C127" s="72" t="s">
        <v>98</v>
      </c>
      <c r="D127" s="173"/>
      <c r="E127" s="173"/>
      <c r="F127" s="173"/>
      <c r="G127" s="173"/>
      <c r="H127" s="173"/>
      <c r="P127" s="70"/>
    </row>
    <row r="128" spans="1:16" ht="15" customHeight="1" x14ac:dyDescent="0.25">
      <c r="A128" s="46"/>
      <c r="C128" s="176"/>
      <c r="D128" s="72" t="s">
        <v>99</v>
      </c>
      <c r="E128" s="173"/>
      <c r="F128" s="173"/>
      <c r="G128" s="173"/>
      <c r="H128" s="177" t="s">
        <v>100</v>
      </c>
      <c r="P128" s="70"/>
    </row>
    <row r="129" spans="1:16" ht="16.5" customHeight="1" thickBot="1" x14ac:dyDescent="0.3">
      <c r="A129" s="178"/>
      <c r="B129" s="179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  <c r="O129" s="180"/>
      <c r="P129" s="181"/>
    </row>
    <row r="130" spans="1:16" ht="5.25" customHeight="1" thickTop="1" thickBot="1" x14ac:dyDescent="0.3">
      <c r="A130" s="160"/>
      <c r="B130" s="91"/>
      <c r="C130" s="91"/>
      <c r="D130" s="91"/>
      <c r="E130" s="91"/>
      <c r="F130" s="91"/>
      <c r="G130" s="92"/>
      <c r="H130" s="92"/>
      <c r="I130" s="92"/>
      <c r="J130" s="92"/>
      <c r="K130" s="92"/>
      <c r="L130" s="93"/>
      <c r="M130" s="93"/>
      <c r="N130" s="93"/>
      <c r="O130" s="93"/>
      <c r="P130" s="94"/>
    </row>
    <row r="131" spans="1:16" ht="15" customHeight="1" thickBot="1" x14ac:dyDescent="0.3">
      <c r="A131" s="10" t="s">
        <v>101</v>
      </c>
      <c r="B131" s="11"/>
      <c r="C131" s="11" t="s">
        <v>20</v>
      </c>
      <c r="D131" s="11"/>
      <c r="E131" s="11"/>
      <c r="F131" s="11"/>
      <c r="G131" s="12"/>
      <c r="H131" s="12"/>
      <c r="I131" s="12"/>
      <c r="J131" s="12"/>
      <c r="K131" s="12"/>
      <c r="L131" s="14">
        <f>SUM(G132,F138)</f>
        <v>244626553</v>
      </c>
      <c r="M131" s="15"/>
      <c r="N131" s="15"/>
      <c r="P131" s="3"/>
    </row>
    <row r="132" spans="1:16" ht="15" customHeight="1" x14ac:dyDescent="0.25">
      <c r="A132" s="17"/>
      <c r="B132" s="19"/>
      <c r="C132" s="19" t="s">
        <v>21</v>
      </c>
      <c r="D132" s="19"/>
      <c r="E132" s="19" t="s">
        <v>84</v>
      </c>
      <c r="F132" s="19"/>
      <c r="G132" s="24">
        <f>G105+387593</f>
        <v>63771163</v>
      </c>
      <c r="H132" s="35"/>
      <c r="I132" s="35"/>
      <c r="J132" s="35"/>
      <c r="K132" s="35"/>
      <c r="M132" s="36"/>
      <c r="N132" s="36"/>
      <c r="P132" s="3"/>
    </row>
    <row r="133" spans="1:16" ht="15" customHeight="1" x14ac:dyDescent="0.25">
      <c r="A133" s="17"/>
      <c r="B133" s="19"/>
      <c r="C133" s="19" t="s">
        <v>10</v>
      </c>
      <c r="D133" s="19"/>
      <c r="E133" s="19"/>
      <c r="F133" s="19"/>
      <c r="G133" s="35"/>
      <c r="H133" s="35"/>
      <c r="I133" s="35">
        <f>G132-G105</f>
        <v>387593</v>
      </c>
      <c r="J133" s="35"/>
      <c r="K133" s="51">
        <f>I133/G105</f>
        <v>6.1150389604119806E-3</v>
      </c>
      <c r="L133" s="52" t="s">
        <v>12</v>
      </c>
      <c r="M133" s="36">
        <f>G132/L131</f>
        <v>0.26068782075345681</v>
      </c>
      <c r="P133" s="3"/>
    </row>
    <row r="134" spans="1:16" ht="15" customHeight="1" thickBot="1" x14ac:dyDescent="0.3">
      <c r="A134" s="17"/>
      <c r="B134" s="19"/>
      <c r="C134" s="19"/>
      <c r="D134" s="19"/>
      <c r="E134" s="19"/>
      <c r="F134" s="19"/>
      <c r="G134" s="35"/>
      <c r="H134" s="35"/>
      <c r="I134" s="25"/>
      <c r="J134" s="25"/>
      <c r="K134" s="60"/>
      <c r="L134" s="61"/>
      <c r="P134" s="3"/>
    </row>
    <row r="135" spans="1:16" ht="15" customHeight="1" thickBot="1" x14ac:dyDescent="0.3">
      <c r="A135" s="46"/>
      <c r="C135" s="19" t="s">
        <v>102</v>
      </c>
      <c r="D135" s="19"/>
      <c r="E135" s="23"/>
      <c r="F135" s="23"/>
      <c r="G135" s="40">
        <f>167561920-3366576-250000</f>
        <v>163945344</v>
      </c>
      <c r="K135" s="60"/>
      <c r="L135" s="61"/>
      <c r="N135" s="36"/>
      <c r="P135" s="3"/>
    </row>
    <row r="136" spans="1:16" ht="15" customHeight="1" x14ac:dyDescent="0.25">
      <c r="A136" s="46"/>
      <c r="C136" s="19" t="s">
        <v>103</v>
      </c>
      <c r="D136" s="19"/>
      <c r="E136" s="23"/>
      <c r="F136" s="23"/>
      <c r="G136" s="40">
        <f>18071380-911334-250000</f>
        <v>16910046</v>
      </c>
      <c r="K136" s="60"/>
      <c r="L136" s="61"/>
      <c r="N136" s="36"/>
      <c r="P136" s="3"/>
    </row>
    <row r="137" spans="1:16" ht="15" customHeight="1" thickBot="1" x14ac:dyDescent="0.3">
      <c r="A137" s="46"/>
      <c r="C137" s="162" t="s">
        <v>104</v>
      </c>
      <c r="D137" s="162"/>
      <c r="E137" s="163"/>
      <c r="F137" s="163"/>
      <c r="G137" s="164">
        <v>0</v>
      </c>
      <c r="K137" s="60"/>
      <c r="L137" s="61"/>
      <c r="M137" s="36"/>
      <c r="N137" s="36"/>
      <c r="P137" s="3"/>
    </row>
    <row r="138" spans="1:16" ht="15" customHeight="1" thickBot="1" x14ac:dyDescent="0.3">
      <c r="A138" s="46"/>
      <c r="C138" s="19"/>
      <c r="D138" s="511" t="s">
        <v>15</v>
      </c>
      <c r="E138" s="511"/>
      <c r="F138" s="42">
        <f>SUM(G135:G137)</f>
        <v>180855390</v>
      </c>
      <c r="G138" s="24"/>
      <c r="K138" s="60"/>
      <c r="L138" s="61"/>
      <c r="M138" s="36">
        <f>F138/L131</f>
        <v>0.73931217924654324</v>
      </c>
      <c r="N138" s="36"/>
      <c r="P138" s="3"/>
    </row>
    <row r="139" spans="1:16" ht="15" customHeight="1" x14ac:dyDescent="0.25">
      <c r="A139" s="46"/>
      <c r="B139" s="19"/>
      <c r="C139" s="19" t="s">
        <v>10</v>
      </c>
      <c r="D139" s="19"/>
      <c r="E139" s="19"/>
      <c r="F139" s="19"/>
      <c r="G139" s="35"/>
      <c r="H139" s="182" t="s">
        <v>105</v>
      </c>
      <c r="I139" s="166">
        <f>F138-F111</f>
        <v>-250000</v>
      </c>
      <c r="J139" s="35"/>
      <c r="K139" s="183">
        <f>I139/F111</f>
        <v>-1.3804117039255431E-3</v>
      </c>
      <c r="L139" s="52" t="s">
        <v>88</v>
      </c>
      <c r="O139" s="44">
        <f>SUM(G136:G137)</f>
        <v>16910046</v>
      </c>
      <c r="P139" s="45" t="s">
        <v>16</v>
      </c>
    </row>
    <row r="140" spans="1:16" ht="15" customHeight="1" thickBot="1" x14ac:dyDescent="0.3">
      <c r="A140" s="46"/>
      <c r="C140" s="18"/>
      <c r="D140" s="18"/>
      <c r="E140" s="18"/>
      <c r="F140" s="18"/>
      <c r="G140" s="19"/>
      <c r="H140" s="35"/>
      <c r="I140" s="48"/>
      <c r="J140" s="48"/>
      <c r="P140" s="3"/>
    </row>
    <row r="141" spans="1:16" ht="15" customHeight="1" thickBot="1" x14ac:dyDescent="0.3">
      <c r="A141" s="46"/>
      <c r="C141" s="47" t="s">
        <v>106</v>
      </c>
      <c r="D141" s="47"/>
      <c r="E141" s="47"/>
      <c r="F141" s="47"/>
      <c r="G141" s="25"/>
      <c r="H141" s="19"/>
      <c r="J141" s="48"/>
      <c r="K141" s="512" t="s">
        <v>18</v>
      </c>
      <c r="L141" s="512"/>
      <c r="M141" s="512"/>
      <c r="N141" s="513"/>
      <c r="O141" s="184">
        <f>L131-L104</f>
        <v>137593</v>
      </c>
      <c r="P141" s="50">
        <f>(L131-L104)/L104</f>
        <v>5.6277796756139828E-4</v>
      </c>
    </row>
    <row r="142" spans="1:16" ht="15" customHeight="1" thickBot="1" x14ac:dyDescent="0.3">
      <c r="A142" s="46"/>
      <c r="B142" s="25"/>
      <c r="C142" s="25"/>
      <c r="D142" s="25"/>
      <c r="E142" s="25"/>
      <c r="F142" s="25"/>
      <c r="G142" s="25"/>
      <c r="H142" s="35"/>
      <c r="I142" s="35"/>
      <c r="J142" s="35"/>
      <c r="K142" s="35"/>
      <c r="L142" s="147"/>
      <c r="O142" s="64"/>
      <c r="P142" s="70"/>
    </row>
    <row r="143" spans="1:16" ht="15" customHeight="1" thickBot="1" x14ac:dyDescent="0.3">
      <c r="A143" s="46"/>
      <c r="B143" s="25"/>
      <c r="C143" s="25"/>
      <c r="D143" s="25"/>
      <c r="E143" s="25"/>
      <c r="F143" s="25"/>
      <c r="G143" s="25"/>
      <c r="H143" s="149"/>
      <c r="I143" s="170">
        <f>SUM(I133,I139)</f>
        <v>137593</v>
      </c>
      <c r="J143" s="150"/>
      <c r="K143" s="150"/>
      <c r="L143" s="151">
        <f>-O139</f>
        <v>-16910046</v>
      </c>
      <c r="M143" s="74" t="s">
        <v>35</v>
      </c>
      <c r="O143" s="64"/>
      <c r="P143" s="70"/>
    </row>
    <row r="144" spans="1:16" ht="15" customHeight="1" thickBot="1" x14ac:dyDescent="0.3">
      <c r="A144" s="46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73"/>
      <c r="M144" s="74"/>
      <c r="O144" s="64"/>
      <c r="P144" s="70"/>
    </row>
    <row r="145" spans="1:16" ht="15" customHeight="1" thickBot="1" x14ac:dyDescent="0.3">
      <c r="A145" s="46"/>
      <c r="B145" s="25"/>
      <c r="C145" s="25"/>
      <c r="D145" s="25"/>
      <c r="E145" s="25"/>
      <c r="F145" s="25"/>
      <c r="G145" s="25"/>
      <c r="H145" s="66" t="s">
        <v>30</v>
      </c>
      <c r="I145" s="67"/>
      <c r="J145" s="67"/>
      <c r="K145" s="67"/>
      <c r="L145" s="95">
        <f>SUM(L131,L143)</f>
        <v>227716507</v>
      </c>
      <c r="M145" s="72" t="s">
        <v>107</v>
      </c>
      <c r="O145" s="64"/>
      <c r="P145" s="70"/>
    </row>
    <row r="146" spans="1:16" ht="15" customHeight="1" thickBot="1" x14ac:dyDescent="0.3">
      <c r="A146" s="46"/>
      <c r="B146" s="25"/>
      <c r="C146" s="25"/>
      <c r="D146" s="25"/>
      <c r="E146" s="25"/>
      <c r="F146" s="25"/>
      <c r="G146" s="25"/>
      <c r="H146" s="19"/>
      <c r="O146" s="64"/>
      <c r="P146" s="70"/>
    </row>
    <row r="147" spans="1:16" ht="15" customHeight="1" thickBot="1" x14ac:dyDescent="0.3">
      <c r="A147" s="46"/>
      <c r="B147" s="25"/>
      <c r="D147" s="81"/>
      <c r="E147" s="25"/>
      <c r="F147" s="25"/>
      <c r="G147" s="64"/>
      <c r="H147" s="64"/>
      <c r="I147" s="172" t="s">
        <v>91</v>
      </c>
      <c r="L147" s="158">
        <f>L131</f>
        <v>244626553</v>
      </c>
      <c r="M147" s="72" t="s">
        <v>40</v>
      </c>
      <c r="N147" s="64"/>
      <c r="O147" s="64"/>
      <c r="P147" s="70"/>
    </row>
    <row r="148" spans="1:16" ht="15" customHeight="1" x14ac:dyDescent="0.25">
      <c r="A148" s="46"/>
      <c r="P148" s="70"/>
    </row>
    <row r="149" spans="1:16" ht="15" customHeight="1" x14ac:dyDescent="0.25">
      <c r="A149" s="46"/>
      <c r="C149" s="171" t="s">
        <v>78</v>
      </c>
      <c r="P149" s="70"/>
    </row>
    <row r="150" spans="1:16" ht="15" customHeight="1" x14ac:dyDescent="0.25">
      <c r="A150" s="46"/>
      <c r="C150" s="72" t="s">
        <v>108</v>
      </c>
      <c r="D150" s="81"/>
      <c r="E150" s="25"/>
      <c r="F150" s="25"/>
      <c r="G150" s="25"/>
      <c r="H150" s="25"/>
      <c r="P150" s="70"/>
    </row>
    <row r="151" spans="1:16" ht="15" customHeight="1" x14ac:dyDescent="0.25">
      <c r="A151" s="46"/>
      <c r="C151" s="48" t="s">
        <v>109</v>
      </c>
      <c r="D151" s="48"/>
      <c r="E151" s="81">
        <v>349393</v>
      </c>
      <c r="F151" s="48"/>
      <c r="G151" s="48"/>
      <c r="H151" s="48"/>
      <c r="P151" s="70"/>
    </row>
    <row r="152" spans="1:16" ht="15" customHeight="1" thickBot="1" x14ac:dyDescent="0.3">
      <c r="A152" s="46"/>
      <c r="C152" s="130" t="s">
        <v>110</v>
      </c>
      <c r="D152" s="185"/>
      <c r="E152" s="186">
        <v>45000</v>
      </c>
      <c r="F152" s="173"/>
      <c r="G152" s="173"/>
      <c r="H152" s="173"/>
      <c r="P152" s="70"/>
    </row>
    <row r="153" spans="1:16" ht="15" customHeight="1" thickTop="1" x14ac:dyDescent="0.25">
      <c r="A153" s="46"/>
      <c r="C153" s="173" t="s">
        <v>111</v>
      </c>
      <c r="D153" s="173"/>
      <c r="E153" s="187">
        <f>SUM(E151:E152)</f>
        <v>394393</v>
      </c>
      <c r="F153" s="173"/>
      <c r="G153" s="173"/>
      <c r="H153" s="173"/>
      <c r="P153" s="70"/>
    </row>
    <row r="154" spans="1:16" ht="14.25" customHeight="1" x14ac:dyDescent="0.25">
      <c r="A154" s="46"/>
      <c r="C154" s="173"/>
      <c r="D154" s="173"/>
      <c r="E154" s="173"/>
      <c r="F154" s="173"/>
      <c r="G154" s="173"/>
      <c r="H154" s="173"/>
      <c r="P154" s="70"/>
    </row>
    <row r="155" spans="1:16" ht="14.25" customHeight="1" x14ac:dyDescent="0.25">
      <c r="A155" s="182" t="s">
        <v>105</v>
      </c>
      <c r="C155" s="72" t="s">
        <v>112</v>
      </c>
      <c r="D155" s="173"/>
      <c r="E155" s="173"/>
      <c r="F155" s="173"/>
      <c r="G155" s="173"/>
      <c r="H155" s="173"/>
      <c r="P155" s="70"/>
    </row>
    <row r="156" spans="1:16" ht="12" customHeight="1" x14ac:dyDescent="0.25">
      <c r="A156" s="46"/>
      <c r="C156" s="173"/>
      <c r="D156" s="173"/>
      <c r="E156" s="173"/>
      <c r="F156" s="173"/>
      <c r="G156" s="173"/>
      <c r="H156" s="173"/>
      <c r="P156" s="70"/>
    </row>
    <row r="157" spans="1:16" ht="5.25" customHeight="1" thickBot="1" x14ac:dyDescent="0.3">
      <c r="A157" s="160"/>
      <c r="B157" s="91"/>
      <c r="C157" s="91"/>
      <c r="D157" s="91"/>
      <c r="E157" s="91"/>
      <c r="F157" s="91"/>
      <c r="G157" s="92"/>
      <c r="H157" s="92"/>
      <c r="I157" s="92"/>
      <c r="J157" s="92"/>
      <c r="K157" s="92"/>
      <c r="L157" s="93"/>
      <c r="M157" s="93"/>
      <c r="N157" s="93"/>
      <c r="O157" s="93"/>
      <c r="P157" s="94"/>
    </row>
    <row r="158" spans="1:16" ht="15" customHeight="1" thickBot="1" x14ac:dyDescent="0.3">
      <c r="A158" s="10" t="s">
        <v>113</v>
      </c>
      <c r="B158" s="11"/>
      <c r="C158" s="11" t="s">
        <v>20</v>
      </c>
      <c r="D158" s="11"/>
      <c r="E158" s="11"/>
      <c r="F158" s="11"/>
      <c r="G158" s="12"/>
      <c r="H158" s="12"/>
      <c r="I158" s="12"/>
      <c r="J158" s="12"/>
      <c r="K158" s="12"/>
      <c r="L158" s="14">
        <f>SUM(G159,F166)</f>
        <v>247944797</v>
      </c>
      <c r="M158" s="15"/>
      <c r="N158" s="15"/>
      <c r="P158" s="3"/>
    </row>
    <row r="159" spans="1:16" ht="15" customHeight="1" x14ac:dyDescent="0.25">
      <c r="A159" s="17"/>
      <c r="B159" s="19"/>
      <c r="C159" s="19" t="s">
        <v>21</v>
      </c>
      <c r="D159" s="19"/>
      <c r="E159" s="19" t="s">
        <v>84</v>
      </c>
      <c r="F159" s="19"/>
      <c r="G159" s="24">
        <f>G132+1039419+680049</f>
        <v>65490631</v>
      </c>
      <c r="H159" s="35"/>
      <c r="I159" s="35"/>
      <c r="J159" s="35"/>
      <c r="K159" s="35"/>
      <c r="M159" s="36"/>
      <c r="N159" s="36"/>
      <c r="P159" s="3"/>
    </row>
    <row r="160" spans="1:16" ht="15" customHeight="1" x14ac:dyDescent="0.25">
      <c r="A160" s="17"/>
      <c r="B160" s="19"/>
      <c r="C160" s="19" t="s">
        <v>10</v>
      </c>
      <c r="D160" s="19"/>
      <c r="E160" s="19"/>
      <c r="F160" s="19"/>
      <c r="G160" s="35"/>
      <c r="H160" s="35"/>
      <c r="I160" s="24">
        <f>G159-G132</f>
        <v>1719468</v>
      </c>
      <c r="J160" s="35"/>
      <c r="K160" s="51">
        <f>I160/G132</f>
        <v>2.6963096156800526E-2</v>
      </c>
      <c r="L160" s="52" t="s">
        <v>12</v>
      </c>
      <c r="M160" s="36">
        <f>G159/L158</f>
        <v>0.26413391929333369</v>
      </c>
      <c r="P160" s="3"/>
    </row>
    <row r="161" spans="1:19" ht="15" customHeight="1" thickBot="1" x14ac:dyDescent="0.3">
      <c r="A161" s="17"/>
      <c r="B161" s="19"/>
      <c r="C161" s="19"/>
      <c r="D161" s="19"/>
      <c r="E161" s="19"/>
      <c r="F161" s="19"/>
      <c r="G161" s="35"/>
      <c r="H161" s="35"/>
      <c r="I161" s="25"/>
      <c r="J161" s="25"/>
      <c r="K161" s="60"/>
      <c r="L161" s="61"/>
      <c r="P161" s="3"/>
    </row>
    <row r="162" spans="1:19" ht="15" customHeight="1" x14ac:dyDescent="0.25">
      <c r="A162" s="46"/>
      <c r="C162" s="19" t="s">
        <v>114</v>
      </c>
      <c r="D162" s="19"/>
      <c r="E162" s="23"/>
      <c r="F162" s="23"/>
      <c r="G162" s="40">
        <f>G135+250000</f>
        <v>164195344</v>
      </c>
      <c r="K162" s="60"/>
      <c r="L162" s="61"/>
      <c r="N162" s="36"/>
      <c r="P162" s="3"/>
    </row>
    <row r="163" spans="1:19" ht="15" customHeight="1" thickBot="1" x14ac:dyDescent="0.3">
      <c r="A163" s="46"/>
      <c r="C163" s="162" t="s">
        <v>115</v>
      </c>
      <c r="D163" s="162"/>
      <c r="E163" s="163"/>
      <c r="F163" s="163"/>
      <c r="G163" s="164">
        <v>222810</v>
      </c>
      <c r="K163" s="60"/>
      <c r="L163" s="61"/>
      <c r="M163" s="36"/>
      <c r="N163" s="36"/>
      <c r="P163" s="3"/>
    </row>
    <row r="164" spans="1:19" ht="15" customHeight="1" x14ac:dyDescent="0.25">
      <c r="A164" s="46"/>
      <c r="C164" s="19" t="s">
        <v>116</v>
      </c>
      <c r="D164" s="19"/>
      <c r="E164" s="23"/>
      <c r="F164" s="23"/>
      <c r="G164" s="40">
        <f>G136</f>
        <v>16910046</v>
      </c>
      <c r="K164" s="60"/>
      <c r="L164" s="61"/>
      <c r="N164" s="36"/>
      <c r="P164" s="3"/>
    </row>
    <row r="165" spans="1:19" ht="15" customHeight="1" thickBot="1" x14ac:dyDescent="0.3">
      <c r="A165" s="46"/>
      <c r="C165" s="162" t="s">
        <v>117</v>
      </c>
      <c r="D165" s="162"/>
      <c r="E165" s="163"/>
      <c r="F165" s="163"/>
      <c r="G165" s="164">
        <v>1125966</v>
      </c>
      <c r="K165" s="60"/>
      <c r="L165" s="61"/>
      <c r="N165" s="36"/>
      <c r="P165" s="3"/>
    </row>
    <row r="166" spans="1:19" ht="15" customHeight="1" thickBot="1" x14ac:dyDescent="0.3">
      <c r="A166" s="46"/>
      <c r="C166" s="19"/>
      <c r="D166" s="511" t="s">
        <v>15</v>
      </c>
      <c r="E166" s="511"/>
      <c r="F166" s="42">
        <f>SUM(G162:G165)</f>
        <v>182454166</v>
      </c>
      <c r="G166" s="24"/>
      <c r="K166" s="60"/>
      <c r="L166" s="61"/>
      <c r="M166" s="36">
        <f>F166/L158</f>
        <v>0.73586608070666637</v>
      </c>
      <c r="N166" s="36"/>
      <c r="P166" s="3"/>
    </row>
    <row r="167" spans="1:19" ht="15" customHeight="1" x14ac:dyDescent="0.25">
      <c r="A167" s="46"/>
      <c r="B167" s="19"/>
      <c r="C167" s="19" t="s">
        <v>10</v>
      </c>
      <c r="D167" s="19"/>
      <c r="E167" s="19"/>
      <c r="F167" s="19"/>
      <c r="G167" s="35"/>
      <c r="H167" s="35"/>
      <c r="I167" s="166">
        <f>F166-F138</f>
        <v>1598776</v>
      </c>
      <c r="J167" s="35"/>
      <c r="K167" s="188">
        <f>I167/F138</f>
        <v>8.840079358431065E-3</v>
      </c>
      <c r="L167" s="52" t="s">
        <v>12</v>
      </c>
      <c r="O167" s="44">
        <f>SUM(G164:G165)</f>
        <v>18036012</v>
      </c>
      <c r="P167" s="45" t="s">
        <v>16</v>
      </c>
    </row>
    <row r="168" spans="1:19" ht="15" customHeight="1" thickBot="1" x14ac:dyDescent="0.3">
      <c r="A168" s="46"/>
      <c r="C168" s="18"/>
      <c r="D168" s="18"/>
      <c r="E168" s="18"/>
      <c r="F168" s="18"/>
      <c r="G168" s="19"/>
      <c r="H168" s="35"/>
      <c r="I168" s="48"/>
      <c r="J168" s="48"/>
      <c r="P168" s="3"/>
      <c r="S168" s="146"/>
    </row>
    <row r="169" spans="1:19" ht="15" customHeight="1" thickBot="1" x14ac:dyDescent="0.3">
      <c r="A169" s="46"/>
      <c r="C169" s="47" t="s">
        <v>118</v>
      </c>
      <c r="D169" s="47"/>
      <c r="E169" s="47"/>
      <c r="F169" s="47"/>
      <c r="G169" s="25"/>
      <c r="H169" s="19"/>
      <c r="J169" s="48"/>
      <c r="K169" s="512" t="s">
        <v>18</v>
      </c>
      <c r="L169" s="512"/>
      <c r="M169" s="512"/>
      <c r="N169" s="513"/>
      <c r="O169" s="184">
        <f>L158-L131</f>
        <v>3318244</v>
      </c>
      <c r="P169" s="50">
        <f>O169/L131</f>
        <v>1.356452911307629E-2</v>
      </c>
    </row>
    <row r="170" spans="1:19" ht="15" customHeight="1" thickBot="1" x14ac:dyDescent="0.3">
      <c r="A170" s="46"/>
      <c r="B170" s="25"/>
      <c r="C170" s="25"/>
      <c r="D170" s="25"/>
      <c r="E170" s="25"/>
      <c r="F170" s="25"/>
      <c r="G170" s="25"/>
      <c r="H170" s="35"/>
      <c r="I170" s="35"/>
      <c r="J170" s="35"/>
      <c r="K170" s="35"/>
      <c r="L170" s="147"/>
      <c r="O170" s="64"/>
      <c r="P170" s="70"/>
    </row>
    <row r="171" spans="1:19" ht="15" customHeight="1" thickBot="1" x14ac:dyDescent="0.3">
      <c r="A171" s="46"/>
      <c r="B171" s="25"/>
      <c r="C171" s="25"/>
      <c r="D171" s="25"/>
      <c r="E171" s="25"/>
      <c r="F171" s="25"/>
      <c r="G171" s="25"/>
      <c r="H171" s="149"/>
      <c r="I171" s="170">
        <f>SUM(I160,I167)</f>
        <v>3318244</v>
      </c>
      <c r="J171" s="150"/>
      <c r="K171" s="150"/>
      <c r="L171" s="151">
        <f>-SUM(G164:G165)</f>
        <v>-18036012</v>
      </c>
      <c r="M171" s="74" t="s">
        <v>35</v>
      </c>
      <c r="O171" s="64"/>
      <c r="P171" s="70"/>
    </row>
    <row r="172" spans="1:19" ht="15" customHeight="1" thickBot="1" x14ac:dyDescent="0.3">
      <c r="A172" s="46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73"/>
      <c r="M172" s="74"/>
      <c r="O172" s="64"/>
      <c r="P172" s="70"/>
      <c r="Q172" s="189"/>
    </row>
    <row r="173" spans="1:19" ht="15" customHeight="1" thickBot="1" x14ac:dyDescent="0.3">
      <c r="A173" s="46"/>
      <c r="B173" s="25"/>
      <c r="C173" s="25"/>
      <c r="D173" s="25"/>
      <c r="E173" s="25"/>
      <c r="F173" s="25"/>
      <c r="G173" s="25"/>
      <c r="H173" s="66" t="s">
        <v>30</v>
      </c>
      <c r="I173" s="67"/>
      <c r="J173" s="67"/>
      <c r="K173" s="67"/>
      <c r="L173" s="95">
        <f>SUM(L158,L171)</f>
        <v>229908785</v>
      </c>
      <c r="M173" s="72" t="s">
        <v>107</v>
      </c>
      <c r="O173" s="64"/>
      <c r="P173" s="70"/>
    </row>
    <row r="174" spans="1:19" ht="15" customHeight="1" thickBot="1" x14ac:dyDescent="0.3">
      <c r="A174" s="46"/>
      <c r="B174" s="25"/>
      <c r="C174" s="25"/>
      <c r="D174" s="25"/>
      <c r="E174" s="25"/>
      <c r="F174" s="25"/>
      <c r="G174" s="25"/>
      <c r="H174" s="19"/>
      <c r="O174" s="64"/>
      <c r="P174" s="70"/>
    </row>
    <row r="175" spans="1:19" ht="15" customHeight="1" thickBot="1" x14ac:dyDescent="0.3">
      <c r="A175" s="46"/>
      <c r="B175" s="25"/>
      <c r="D175" s="81"/>
      <c r="E175" s="25"/>
      <c r="F175" s="25"/>
      <c r="G175" s="64"/>
      <c r="H175" s="64"/>
      <c r="I175" s="172" t="s">
        <v>91</v>
      </c>
      <c r="L175" s="158">
        <f>L158</f>
        <v>247944797</v>
      </c>
      <c r="M175" s="72" t="s">
        <v>40</v>
      </c>
      <c r="N175" s="64"/>
      <c r="O175" s="64"/>
      <c r="P175" s="70"/>
    </row>
    <row r="176" spans="1:19" ht="15" customHeight="1" x14ac:dyDescent="0.25">
      <c r="A176" s="46"/>
      <c r="P176" s="70"/>
    </row>
    <row r="177" spans="1:16" ht="15" customHeight="1" x14ac:dyDescent="0.25">
      <c r="A177" s="46"/>
      <c r="C177" s="171" t="s">
        <v>78</v>
      </c>
      <c r="P177" s="70"/>
    </row>
    <row r="178" spans="1:16" ht="15" customHeight="1" x14ac:dyDescent="0.25">
      <c r="A178" s="46"/>
      <c r="C178" s="72" t="s">
        <v>119</v>
      </c>
      <c r="D178" s="81"/>
      <c r="E178" s="25"/>
      <c r="F178" s="25"/>
      <c r="G178" s="25"/>
      <c r="H178" s="25"/>
      <c r="P178" s="70"/>
    </row>
    <row r="179" spans="1:16" ht="15" customHeight="1" x14ac:dyDescent="0.25">
      <c r="A179" s="46"/>
      <c r="C179" s="48" t="s">
        <v>109</v>
      </c>
      <c r="D179" s="48"/>
      <c r="E179" s="81">
        <v>349393</v>
      </c>
      <c r="F179" s="48"/>
      <c r="G179" s="48"/>
      <c r="H179" s="48"/>
      <c r="P179" s="70"/>
    </row>
    <row r="180" spans="1:16" ht="15" customHeight="1" thickBot="1" x14ac:dyDescent="0.3">
      <c r="A180" s="46"/>
      <c r="C180" s="130" t="s">
        <v>110</v>
      </c>
      <c r="D180" s="185"/>
      <c r="E180" s="186">
        <v>45000</v>
      </c>
      <c r="F180" s="173"/>
      <c r="G180" s="173"/>
      <c r="H180" s="173"/>
      <c r="P180" s="70"/>
    </row>
    <row r="181" spans="1:16" ht="15" customHeight="1" thickTop="1" x14ac:dyDescent="0.25">
      <c r="A181" s="46"/>
      <c r="C181" s="173" t="s">
        <v>111</v>
      </c>
      <c r="D181" s="173"/>
      <c r="E181" s="187">
        <f>SUM(E179:E180)</f>
        <v>394393</v>
      </c>
      <c r="F181" s="173"/>
      <c r="G181" s="173"/>
      <c r="H181" s="173"/>
      <c r="P181" s="70"/>
    </row>
    <row r="182" spans="1:16" ht="14.25" customHeight="1" x14ac:dyDescent="0.25">
      <c r="A182" s="46"/>
      <c r="C182" s="173"/>
      <c r="D182" s="173"/>
      <c r="E182" s="173"/>
      <c r="F182" s="173"/>
      <c r="G182" s="173"/>
      <c r="H182" s="173"/>
      <c r="P182" s="70"/>
    </row>
    <row r="183" spans="1:16" ht="14.25" customHeight="1" x14ac:dyDescent="0.3">
      <c r="A183" s="46"/>
      <c r="C183" s="190" t="s">
        <v>120</v>
      </c>
      <c r="D183" s="173"/>
      <c r="E183" s="173"/>
      <c r="F183" s="173"/>
      <c r="H183" s="173"/>
      <c r="P183" s="70"/>
    </row>
    <row r="184" spans="1:16" ht="14.25" customHeight="1" x14ac:dyDescent="0.3">
      <c r="A184" s="46"/>
      <c r="C184" s="190" t="s">
        <v>121</v>
      </c>
      <c r="D184" s="173"/>
      <c r="E184" s="173"/>
      <c r="F184" s="173"/>
      <c r="H184" s="173"/>
      <c r="P184" s="70"/>
    </row>
    <row r="185" spans="1:16" ht="14.25" customHeight="1" x14ac:dyDescent="0.3">
      <c r="A185" s="46"/>
      <c r="C185" s="190" t="s">
        <v>122</v>
      </c>
      <c r="D185" s="173"/>
      <c r="E185" s="173"/>
      <c r="F185" s="173"/>
      <c r="H185" s="173"/>
      <c r="P185" s="70"/>
    </row>
    <row r="186" spans="1:16" ht="14.25" customHeight="1" x14ac:dyDescent="0.25">
      <c r="A186" s="46"/>
      <c r="C186" s="191" t="s">
        <v>123</v>
      </c>
      <c r="D186" s="173"/>
      <c r="E186" s="173"/>
      <c r="F186" s="173"/>
      <c r="G186" s="173"/>
      <c r="H186" s="173"/>
      <c r="P186" s="70"/>
    </row>
    <row r="187" spans="1:16" ht="12" customHeight="1" x14ac:dyDescent="0.25">
      <c r="A187" s="46"/>
      <c r="C187" s="79"/>
      <c r="D187" s="81"/>
      <c r="E187" s="72"/>
      <c r="F187" s="72"/>
      <c r="G187" s="64"/>
      <c r="H187" s="64"/>
      <c r="P187" s="70"/>
    </row>
    <row r="188" spans="1:16" ht="12" customHeight="1" thickBot="1" x14ac:dyDescent="0.3">
      <c r="A188" s="160"/>
      <c r="B188" s="91"/>
      <c r="C188" s="91"/>
      <c r="D188" s="91"/>
      <c r="E188" s="91"/>
      <c r="F188" s="91"/>
      <c r="G188" s="92"/>
      <c r="H188" s="92"/>
      <c r="I188" s="92"/>
      <c r="J188" s="92"/>
      <c r="K188" s="92"/>
      <c r="L188" s="93"/>
      <c r="M188" s="93"/>
      <c r="N188" s="93"/>
      <c r="O188" s="93"/>
      <c r="P188" s="94"/>
    </row>
    <row r="189" spans="1:16" ht="13.5" customHeight="1" thickBot="1" x14ac:dyDescent="0.3">
      <c r="A189" s="10" t="s">
        <v>124</v>
      </c>
      <c r="B189" s="11"/>
      <c r="C189" s="11" t="s">
        <v>20</v>
      </c>
      <c r="D189" s="11"/>
      <c r="E189" s="11"/>
      <c r="F189" s="11"/>
      <c r="G189" s="12"/>
      <c r="H189" s="12"/>
      <c r="I189" s="12"/>
      <c r="J189" s="12"/>
      <c r="K189" s="12"/>
      <c r="L189" s="14">
        <f>SUM(G190,F197)</f>
        <v>251881473</v>
      </c>
      <c r="M189" s="15"/>
      <c r="N189" s="15"/>
      <c r="P189" s="3"/>
    </row>
    <row r="190" spans="1:16" ht="13.5" customHeight="1" x14ac:dyDescent="0.25">
      <c r="A190" s="17"/>
      <c r="B190" s="19"/>
      <c r="C190" s="19" t="s">
        <v>21</v>
      </c>
      <c r="D190" s="19"/>
      <c r="E190" s="19" t="s">
        <v>84</v>
      </c>
      <c r="F190" s="19"/>
      <c r="G190" s="24">
        <f>G159+1300000</f>
        <v>66790631</v>
      </c>
      <c r="H190" s="35"/>
      <c r="I190" s="35"/>
      <c r="J190" s="35"/>
      <c r="K190" s="35"/>
      <c r="M190" s="36"/>
      <c r="N190" s="36"/>
      <c r="P190" s="3"/>
    </row>
    <row r="191" spans="1:16" ht="13.5" customHeight="1" x14ac:dyDescent="0.25">
      <c r="A191" s="17"/>
      <c r="B191" s="19"/>
      <c r="C191" s="19" t="s">
        <v>10</v>
      </c>
      <c r="D191" s="19"/>
      <c r="E191" s="19"/>
      <c r="F191" s="19"/>
      <c r="G191" s="35"/>
      <c r="H191" s="35"/>
      <c r="I191" s="24">
        <f>G190-G159</f>
        <v>1300000</v>
      </c>
      <c r="J191" s="35"/>
      <c r="K191" s="51">
        <f>I191/G159</f>
        <v>1.9850167575878142E-2</v>
      </c>
      <c r="L191" s="52" t="s">
        <v>12</v>
      </c>
      <c r="M191" s="36">
        <f>G190/L189</f>
        <v>0.26516690649970909</v>
      </c>
      <c r="P191" s="3"/>
    </row>
    <row r="192" spans="1:16" ht="13.5" customHeight="1" thickBot="1" x14ac:dyDescent="0.3">
      <c r="A192" s="17"/>
      <c r="B192" s="19"/>
      <c r="C192" s="19"/>
      <c r="D192" s="19"/>
      <c r="E192" s="19"/>
      <c r="F192" s="19"/>
      <c r="G192" s="35"/>
      <c r="H192" s="35"/>
      <c r="I192" s="25"/>
      <c r="J192" s="25"/>
      <c r="K192" s="60"/>
      <c r="L192" s="61"/>
      <c r="P192" s="3"/>
    </row>
    <row r="193" spans="1:16" ht="13.5" customHeight="1" x14ac:dyDescent="0.25">
      <c r="A193" s="46"/>
      <c r="C193" s="19" t="s">
        <v>125</v>
      </c>
      <c r="D193" s="19"/>
      <c r="E193" s="23"/>
      <c r="F193" s="23"/>
      <c r="G193" s="40">
        <f>G162</f>
        <v>164195344</v>
      </c>
      <c r="K193" s="60"/>
      <c r="L193" s="61"/>
      <c r="N193" s="36"/>
      <c r="P193" s="3"/>
    </row>
    <row r="194" spans="1:16" ht="13.5" customHeight="1" thickBot="1" x14ac:dyDescent="0.3">
      <c r="A194" s="46"/>
      <c r="C194" s="162" t="s">
        <v>126</v>
      </c>
      <c r="D194" s="162"/>
      <c r="E194" s="163"/>
      <c r="F194" s="163"/>
      <c r="G194" s="164">
        <v>0</v>
      </c>
      <c r="K194" s="60"/>
      <c r="L194" s="61"/>
      <c r="M194" s="36"/>
      <c r="N194" s="36"/>
      <c r="P194" s="3"/>
    </row>
    <row r="195" spans="1:16" ht="13.5" customHeight="1" thickBot="1" x14ac:dyDescent="0.3">
      <c r="A195" s="46"/>
      <c r="C195" s="19" t="s">
        <v>127</v>
      </c>
      <c r="D195" s="19"/>
      <c r="E195" s="23"/>
      <c r="F195" s="23"/>
      <c r="G195" s="40">
        <f>SUM(G164:G165)</f>
        <v>18036012</v>
      </c>
      <c r="K195" s="60"/>
      <c r="L195" s="61"/>
      <c r="N195" s="36"/>
      <c r="P195" s="3"/>
    </row>
    <row r="196" spans="1:16" ht="13.5" customHeight="1" thickBot="1" x14ac:dyDescent="0.35">
      <c r="A196" s="46"/>
      <c r="C196" s="162" t="s">
        <v>128</v>
      </c>
      <c r="D196" s="162"/>
      <c r="E196" s="163"/>
      <c r="F196" s="163"/>
      <c r="G196" s="192">
        <v>2859486</v>
      </c>
      <c r="K196" s="60"/>
      <c r="L196" s="61"/>
      <c r="N196" s="36"/>
      <c r="P196" s="3"/>
    </row>
    <row r="197" spans="1:16" ht="13.5" customHeight="1" thickBot="1" x14ac:dyDescent="0.3">
      <c r="A197" s="46"/>
      <c r="C197" s="19"/>
      <c r="D197" s="511" t="s">
        <v>15</v>
      </c>
      <c r="E197" s="511"/>
      <c r="F197" s="42">
        <f>SUM(G193:G196)</f>
        <v>185090842</v>
      </c>
      <c r="G197" s="24"/>
      <c r="K197" s="60"/>
      <c r="L197" s="61"/>
      <c r="M197" s="36">
        <f>F197/L189</f>
        <v>0.73483309350029091</v>
      </c>
      <c r="N197" s="36"/>
      <c r="P197" s="3"/>
    </row>
    <row r="198" spans="1:16" ht="13.5" customHeight="1" x14ac:dyDescent="0.25">
      <c r="A198" s="46"/>
      <c r="B198" s="19"/>
      <c r="C198" s="19" t="s">
        <v>10</v>
      </c>
      <c r="D198" s="19"/>
      <c r="E198" s="19"/>
      <c r="F198" s="19"/>
      <c r="G198" s="35"/>
      <c r="H198" s="35"/>
      <c r="I198" s="166">
        <f>F197-F166</f>
        <v>2636676</v>
      </c>
      <c r="J198" s="35"/>
      <c r="K198" s="188">
        <f>I198/F166</f>
        <v>1.4451169067852361E-2</v>
      </c>
      <c r="L198" s="52" t="s">
        <v>12</v>
      </c>
      <c r="O198" s="44">
        <f>SUM(G195:G196)</f>
        <v>20895498</v>
      </c>
      <c r="P198" s="45" t="s">
        <v>16</v>
      </c>
    </row>
    <row r="199" spans="1:16" ht="13.5" customHeight="1" thickBot="1" x14ac:dyDescent="0.3">
      <c r="A199" s="46"/>
      <c r="C199" s="18"/>
      <c r="D199" s="18"/>
      <c r="E199" s="18"/>
      <c r="F199" s="18"/>
      <c r="G199" s="19"/>
      <c r="H199" s="35"/>
      <c r="I199" s="48"/>
      <c r="J199" s="48"/>
      <c r="P199" s="3"/>
    </row>
    <row r="200" spans="1:16" ht="13.5" customHeight="1" thickBot="1" x14ac:dyDescent="0.3">
      <c r="A200" s="46"/>
      <c r="C200" s="47" t="s">
        <v>129</v>
      </c>
      <c r="D200" s="47"/>
      <c r="E200" s="47"/>
      <c r="F200" s="47"/>
      <c r="G200" s="25"/>
      <c r="H200" s="19"/>
      <c r="J200" s="48"/>
      <c r="K200" s="512" t="s">
        <v>18</v>
      </c>
      <c r="L200" s="512"/>
      <c r="M200" s="512"/>
      <c r="N200" s="513"/>
      <c r="O200" s="184">
        <f>I202</f>
        <v>3936676</v>
      </c>
      <c r="P200" s="50">
        <f>O200/L158</f>
        <v>1.5877227704036073E-2</v>
      </c>
    </row>
    <row r="201" spans="1:16" ht="13.5" customHeight="1" thickBot="1" x14ac:dyDescent="0.3">
      <c r="A201" s="46"/>
      <c r="B201" s="25"/>
      <c r="C201" s="25"/>
      <c r="D201" s="25"/>
      <c r="E201" s="25"/>
      <c r="F201" s="25"/>
      <c r="G201" s="25"/>
      <c r="H201" s="35"/>
      <c r="I201" s="35"/>
      <c r="J201" s="35"/>
      <c r="K201" s="35"/>
      <c r="L201" s="147"/>
      <c r="O201" s="64"/>
      <c r="P201" s="70"/>
    </row>
    <row r="202" spans="1:16" ht="13.5" customHeight="1" thickBot="1" x14ac:dyDescent="0.3">
      <c r="A202" s="46"/>
      <c r="B202" s="25"/>
      <c r="C202" s="25"/>
      <c r="D202" s="25"/>
      <c r="E202" s="25"/>
      <c r="F202" s="25"/>
      <c r="G202" s="25"/>
      <c r="H202" s="149"/>
      <c r="I202" s="170">
        <f>SUM(I191,I198)</f>
        <v>3936676</v>
      </c>
      <c r="J202" s="150"/>
      <c r="K202" s="150"/>
      <c r="L202" s="151">
        <f>-SUM(G195:G196)</f>
        <v>-20895498</v>
      </c>
      <c r="M202" s="74" t="s">
        <v>35</v>
      </c>
      <c r="O202" s="64"/>
      <c r="P202" s="70"/>
    </row>
    <row r="203" spans="1:16" ht="13.5" customHeight="1" thickBot="1" x14ac:dyDescent="0.3">
      <c r="A203" s="46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73"/>
      <c r="M203" s="74"/>
      <c r="O203" s="64"/>
      <c r="P203" s="70"/>
    </row>
    <row r="204" spans="1:16" ht="16.5" customHeight="1" thickBot="1" x14ac:dyDescent="0.3">
      <c r="A204" s="46"/>
      <c r="B204" s="25"/>
      <c r="C204" s="25"/>
      <c r="D204" s="25"/>
      <c r="E204" s="25"/>
      <c r="F204" s="25"/>
      <c r="G204" s="25"/>
      <c r="H204" s="66" t="s">
        <v>30</v>
      </c>
      <c r="I204" s="67"/>
      <c r="J204" s="67"/>
      <c r="K204" s="67"/>
      <c r="L204" s="95">
        <f>SUM(L189,L202)</f>
        <v>230985975</v>
      </c>
      <c r="M204" s="72" t="s">
        <v>107</v>
      </c>
      <c r="O204" s="64"/>
      <c r="P204" s="70"/>
    </row>
    <row r="205" spans="1:16" ht="13.5" customHeight="1" thickBot="1" x14ac:dyDescent="0.3">
      <c r="A205" s="46"/>
      <c r="B205" s="25"/>
      <c r="C205" s="25"/>
      <c r="D205" s="25"/>
      <c r="E205" s="25"/>
      <c r="F205" s="25"/>
      <c r="G205" s="25"/>
      <c r="H205" s="19"/>
      <c r="O205" s="64"/>
      <c r="P205" s="70"/>
    </row>
    <row r="206" spans="1:16" ht="13.5" customHeight="1" thickBot="1" x14ac:dyDescent="0.3">
      <c r="A206" s="46"/>
      <c r="B206" s="25"/>
      <c r="D206" s="81"/>
      <c r="E206" s="25"/>
      <c r="F206" s="25"/>
      <c r="G206" s="64"/>
      <c r="H206" s="64"/>
      <c r="I206" s="172" t="s">
        <v>91</v>
      </c>
      <c r="L206" s="158">
        <f>L189</f>
        <v>251881473</v>
      </c>
      <c r="M206" s="72" t="s">
        <v>40</v>
      </c>
      <c r="N206" s="64"/>
      <c r="O206" s="64"/>
      <c r="P206" s="70"/>
    </row>
    <row r="207" spans="1:16" ht="13.5" customHeight="1" x14ac:dyDescent="0.25">
      <c r="A207" s="46"/>
      <c r="P207" s="70"/>
    </row>
    <row r="208" spans="1:16" ht="13.5" customHeight="1" x14ac:dyDescent="0.25">
      <c r="A208" s="46"/>
      <c r="C208" s="171" t="s">
        <v>78</v>
      </c>
      <c r="P208" s="70"/>
    </row>
    <row r="209" spans="1:16" ht="13.5" customHeight="1" x14ac:dyDescent="0.25">
      <c r="A209" s="46"/>
      <c r="C209" s="72" t="s">
        <v>119</v>
      </c>
      <c r="D209" s="81"/>
      <c r="E209" s="25"/>
      <c r="F209" s="25"/>
      <c r="G209" s="25"/>
      <c r="H209" s="25"/>
      <c r="P209" s="70"/>
    </row>
    <row r="210" spans="1:16" ht="13.5" customHeight="1" x14ac:dyDescent="0.25">
      <c r="A210" s="46"/>
      <c r="C210" s="48" t="s">
        <v>109</v>
      </c>
      <c r="D210" s="48"/>
      <c r="E210" s="81">
        <v>349393</v>
      </c>
      <c r="F210" s="48"/>
      <c r="G210" s="48"/>
      <c r="H210" s="48"/>
      <c r="P210" s="70"/>
    </row>
    <row r="211" spans="1:16" ht="13.5" customHeight="1" thickBot="1" x14ac:dyDescent="0.3">
      <c r="A211" s="46"/>
      <c r="C211" s="130" t="s">
        <v>110</v>
      </c>
      <c r="D211" s="185"/>
      <c r="E211" s="186">
        <v>45000</v>
      </c>
      <c r="F211" s="173"/>
      <c r="G211" s="173"/>
      <c r="H211" s="173"/>
      <c r="P211" s="70"/>
    </row>
    <row r="212" spans="1:16" ht="13.5" customHeight="1" thickTop="1" x14ac:dyDescent="0.25">
      <c r="A212" s="46"/>
      <c r="C212" s="173" t="s">
        <v>111</v>
      </c>
      <c r="D212" s="173"/>
      <c r="E212" s="187">
        <f>SUM(E210:E211)</f>
        <v>394393</v>
      </c>
      <c r="F212" s="173"/>
      <c r="G212" s="173"/>
      <c r="H212" s="173"/>
      <c r="P212" s="70"/>
    </row>
    <row r="213" spans="1:16" ht="13.5" customHeight="1" x14ac:dyDescent="0.25">
      <c r="A213" s="46"/>
      <c r="C213" s="173"/>
      <c r="D213" s="173"/>
      <c r="E213" s="173"/>
      <c r="F213" s="173"/>
      <c r="G213" s="173"/>
      <c r="H213" s="173"/>
      <c r="P213" s="70"/>
    </row>
    <row r="214" spans="1:16" ht="12" customHeight="1" thickBot="1" x14ac:dyDescent="0.3">
      <c r="A214" s="160"/>
      <c r="B214" s="91"/>
      <c r="C214" s="91"/>
      <c r="D214" s="91"/>
      <c r="E214" s="91"/>
      <c r="F214" s="91"/>
      <c r="G214" s="92"/>
      <c r="H214" s="92"/>
      <c r="I214" s="92"/>
      <c r="J214" s="92"/>
      <c r="K214" s="92"/>
      <c r="L214" s="93"/>
      <c r="M214" s="93"/>
      <c r="N214" s="93"/>
      <c r="O214" s="93"/>
      <c r="P214" s="94"/>
    </row>
    <row r="215" spans="1:16" ht="12" customHeight="1" thickBot="1" x14ac:dyDescent="0.3">
      <c r="A215" s="10" t="s">
        <v>130</v>
      </c>
      <c r="B215" s="11"/>
      <c r="C215" s="11" t="s">
        <v>20</v>
      </c>
      <c r="D215" s="11"/>
      <c r="E215" s="11"/>
      <c r="F215" s="11"/>
      <c r="G215" s="12"/>
      <c r="H215" s="12"/>
      <c r="I215" s="12"/>
      <c r="J215" s="12"/>
      <c r="K215" s="12"/>
      <c r="L215" s="14">
        <f>SUM(G216,F223)</f>
        <v>256455009</v>
      </c>
      <c r="M215" s="15"/>
      <c r="N215" s="15"/>
      <c r="P215" s="3"/>
    </row>
    <row r="216" spans="1:16" ht="12" customHeight="1" x14ac:dyDescent="0.25">
      <c r="A216" s="17"/>
      <c r="B216" s="19"/>
      <c r="C216" s="19" t="s">
        <v>21</v>
      </c>
      <c r="D216" s="19"/>
      <c r="E216" s="19" t="s">
        <v>84</v>
      </c>
      <c r="F216" s="19"/>
      <c r="G216" s="24">
        <f>G190+2250000</f>
        <v>69040631</v>
      </c>
      <c r="H216" s="35"/>
      <c r="I216" s="35"/>
      <c r="J216" s="35"/>
      <c r="K216" s="35"/>
      <c r="M216" s="36"/>
      <c r="N216" s="36"/>
      <c r="P216" s="3"/>
    </row>
    <row r="217" spans="1:16" ht="12" customHeight="1" x14ac:dyDescent="0.25">
      <c r="A217" s="17"/>
      <c r="B217" s="19"/>
      <c r="C217" s="19" t="s">
        <v>10</v>
      </c>
      <c r="D217" s="19"/>
      <c r="E217" s="19"/>
      <c r="F217" s="19"/>
      <c r="G217" s="35"/>
      <c r="H217" s="35"/>
      <c r="I217" s="24">
        <f>G216-G190</f>
        <v>2250000</v>
      </c>
      <c r="J217" s="35"/>
      <c r="K217" s="51">
        <f>I217/G190</f>
        <v>3.3687359534004105E-2</v>
      </c>
      <c r="L217" s="52" t="s">
        <v>12</v>
      </c>
      <c r="M217" s="36">
        <f>G216/L215</f>
        <v>0.2692114740484558</v>
      </c>
      <c r="P217" s="3"/>
    </row>
    <row r="218" spans="1:16" ht="12" customHeight="1" thickBot="1" x14ac:dyDescent="0.3">
      <c r="A218" s="17"/>
      <c r="B218" s="19"/>
      <c r="C218" s="19"/>
      <c r="D218" s="19"/>
      <c r="E218" s="19"/>
      <c r="F218" s="19"/>
      <c r="G218" s="35"/>
      <c r="H218" s="35"/>
      <c r="I218" s="25"/>
      <c r="J218" s="25"/>
      <c r="K218" s="60"/>
      <c r="L218" s="61"/>
      <c r="P218" s="3"/>
    </row>
    <row r="219" spans="1:16" ht="12" customHeight="1" x14ac:dyDescent="0.25">
      <c r="A219" s="46"/>
      <c r="C219" s="19" t="s">
        <v>131</v>
      </c>
      <c r="D219" s="19"/>
      <c r="E219" s="23"/>
      <c r="F219" s="23"/>
      <c r="G219" s="40">
        <f>G193</f>
        <v>164195344</v>
      </c>
      <c r="K219" s="60"/>
      <c r="L219" s="61"/>
      <c r="N219" s="36"/>
      <c r="P219" s="3"/>
    </row>
    <row r="220" spans="1:16" ht="12" customHeight="1" thickBot="1" x14ac:dyDescent="0.3">
      <c r="A220" s="46"/>
      <c r="C220" s="162" t="s">
        <v>132</v>
      </c>
      <c r="D220" s="162"/>
      <c r="E220" s="163"/>
      <c r="F220" s="163"/>
      <c r="G220" s="164">
        <v>0</v>
      </c>
      <c r="K220" s="60"/>
      <c r="L220" s="61"/>
      <c r="M220" s="36"/>
      <c r="N220" s="36"/>
      <c r="P220" s="3"/>
    </row>
    <row r="221" spans="1:16" ht="12" customHeight="1" thickBot="1" x14ac:dyDescent="0.3">
      <c r="A221" s="46"/>
      <c r="C221" s="19" t="s">
        <v>133</v>
      </c>
      <c r="D221" s="19"/>
      <c r="E221" s="23"/>
      <c r="F221" s="23"/>
      <c r="G221" s="40">
        <f>SUM(G195:G196)</f>
        <v>20895498</v>
      </c>
      <c r="K221" s="60"/>
      <c r="L221" s="61"/>
      <c r="N221" s="36"/>
      <c r="P221" s="3"/>
    </row>
    <row r="222" spans="1:16" ht="12" customHeight="1" thickBot="1" x14ac:dyDescent="0.35">
      <c r="A222" s="46"/>
      <c r="C222" s="162" t="s">
        <v>134</v>
      </c>
      <c r="D222" s="162"/>
      <c r="E222" s="163"/>
      <c r="F222" s="163"/>
      <c r="G222" s="192">
        <v>2323536</v>
      </c>
      <c r="K222" s="60"/>
      <c r="L222" s="61"/>
      <c r="N222" s="36"/>
      <c r="P222" s="3"/>
    </row>
    <row r="223" spans="1:16" ht="12" customHeight="1" thickBot="1" x14ac:dyDescent="0.3">
      <c r="A223" s="46"/>
      <c r="C223" s="19"/>
      <c r="D223" s="511" t="s">
        <v>15</v>
      </c>
      <c r="E223" s="511"/>
      <c r="F223" s="42">
        <f>SUM(G219:G222)</f>
        <v>187414378</v>
      </c>
      <c r="G223" s="24"/>
      <c r="K223" s="60"/>
      <c r="L223" s="61"/>
      <c r="M223" s="36">
        <f>F223/L215</f>
        <v>0.7307885259515442</v>
      </c>
      <c r="N223" s="36"/>
      <c r="P223" s="3"/>
    </row>
    <row r="224" spans="1:16" ht="12" customHeight="1" x14ac:dyDescent="0.25">
      <c r="A224" s="46"/>
      <c r="B224" s="19"/>
      <c r="C224" s="19" t="s">
        <v>10</v>
      </c>
      <c r="D224" s="19"/>
      <c r="E224" s="19"/>
      <c r="F224" s="19"/>
      <c r="G224" s="35"/>
      <c r="H224" s="35"/>
      <c r="I224" s="166">
        <f>F223-F197</f>
        <v>2323536</v>
      </c>
      <c r="J224" s="35"/>
      <c r="K224" s="188">
        <f>I224/F197</f>
        <v>1.2553489815557704E-2</v>
      </c>
      <c r="L224" s="52" t="s">
        <v>12</v>
      </c>
      <c r="O224" s="193">
        <f>SUM(G221:G222)</f>
        <v>23219034</v>
      </c>
      <c r="P224" s="194" t="s">
        <v>16</v>
      </c>
    </row>
    <row r="225" spans="1:16" ht="12" customHeight="1" thickBot="1" x14ac:dyDescent="0.3">
      <c r="A225" s="46"/>
      <c r="C225" s="18"/>
      <c r="D225" s="18"/>
      <c r="E225" s="18"/>
      <c r="F225" s="18"/>
      <c r="G225" s="19"/>
      <c r="H225" s="35"/>
      <c r="I225" s="48"/>
      <c r="J225" s="48"/>
      <c r="P225" s="3"/>
    </row>
    <row r="226" spans="1:16" ht="12" customHeight="1" thickBot="1" x14ac:dyDescent="0.3">
      <c r="A226" s="46"/>
      <c r="C226" s="47" t="s">
        <v>135</v>
      </c>
      <c r="D226" s="47"/>
      <c r="E226" s="47"/>
      <c r="F226" s="47"/>
      <c r="G226" s="25"/>
      <c r="H226" s="19"/>
      <c r="J226" s="48"/>
      <c r="K226" s="512" t="s">
        <v>18</v>
      </c>
      <c r="L226" s="512"/>
      <c r="M226" s="512"/>
      <c r="N226" s="513"/>
      <c r="O226" s="184">
        <f>I228</f>
        <v>4573536</v>
      </c>
      <c r="P226" s="50">
        <f>O226/L189</f>
        <v>1.8157492671166012E-2</v>
      </c>
    </row>
    <row r="227" spans="1:16" ht="12" customHeight="1" thickBot="1" x14ac:dyDescent="0.3">
      <c r="A227" s="46"/>
      <c r="B227" s="25"/>
      <c r="C227" s="25"/>
      <c r="D227" s="25"/>
      <c r="E227" s="25"/>
      <c r="F227" s="25"/>
      <c r="G227" s="25"/>
      <c r="H227" s="35"/>
      <c r="I227" s="35"/>
      <c r="J227" s="35"/>
      <c r="K227" s="35"/>
      <c r="L227" s="147"/>
      <c r="O227" s="64"/>
      <c r="P227" s="70"/>
    </row>
    <row r="228" spans="1:16" ht="12" customHeight="1" thickBot="1" x14ac:dyDescent="0.3">
      <c r="A228" s="46"/>
      <c r="B228" s="25"/>
      <c r="C228" s="25"/>
      <c r="D228" s="25"/>
      <c r="E228" s="25"/>
      <c r="F228" s="25"/>
      <c r="G228" s="25"/>
      <c r="H228" s="149"/>
      <c r="I228" s="170">
        <f>SUM(I217,I224)</f>
        <v>4573536</v>
      </c>
      <c r="J228" s="150"/>
      <c r="K228" s="150"/>
      <c r="L228" s="151">
        <f>-SUM(G221:G222)</f>
        <v>-23219034</v>
      </c>
      <c r="M228" s="74" t="s">
        <v>35</v>
      </c>
      <c r="O228" s="64"/>
      <c r="P228" s="70"/>
    </row>
    <row r="229" spans="1:16" ht="12" customHeight="1" thickBot="1" x14ac:dyDescent="0.3">
      <c r="A229" s="46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73"/>
      <c r="M229" s="74"/>
      <c r="O229" s="64"/>
      <c r="P229" s="70"/>
    </row>
    <row r="230" spans="1:16" ht="12" customHeight="1" thickBot="1" x14ac:dyDescent="0.3">
      <c r="A230" s="46"/>
      <c r="B230" s="25"/>
      <c r="C230" s="25"/>
      <c r="D230" s="25"/>
      <c r="E230" s="25"/>
      <c r="F230" s="25"/>
      <c r="G230" s="25"/>
      <c r="H230" s="66" t="s">
        <v>30</v>
      </c>
      <c r="I230" s="67"/>
      <c r="J230" s="67"/>
      <c r="K230" s="67"/>
      <c r="L230" s="95">
        <f>SUM(L215,L228)</f>
        <v>233235975</v>
      </c>
      <c r="M230" s="72" t="s">
        <v>107</v>
      </c>
      <c r="O230" s="64"/>
      <c r="P230" s="70"/>
    </row>
    <row r="231" spans="1:16" ht="12" customHeight="1" thickBot="1" x14ac:dyDescent="0.3">
      <c r="A231" s="46"/>
      <c r="B231" s="25"/>
      <c r="C231" s="25"/>
      <c r="D231" s="25"/>
      <c r="E231" s="25"/>
      <c r="F231" s="25"/>
      <c r="G231" s="25"/>
      <c r="H231" s="19"/>
      <c r="O231" s="64"/>
      <c r="P231" s="70"/>
    </row>
    <row r="232" spans="1:16" ht="12" customHeight="1" thickBot="1" x14ac:dyDescent="0.3">
      <c r="A232" s="46"/>
      <c r="B232" s="25"/>
      <c r="D232" s="81"/>
      <c r="E232" s="25"/>
      <c r="F232" s="25"/>
      <c r="G232" s="64"/>
      <c r="H232" s="64"/>
      <c r="I232" s="172" t="s">
        <v>91</v>
      </c>
      <c r="L232" s="158">
        <f>L215</f>
        <v>256455009</v>
      </c>
      <c r="M232" s="72" t="s">
        <v>40</v>
      </c>
      <c r="N232" s="64"/>
      <c r="O232" s="64"/>
      <c r="P232" s="70"/>
    </row>
    <row r="233" spans="1:16" ht="12" customHeight="1" x14ac:dyDescent="0.25">
      <c r="A233" s="46"/>
      <c r="P233" s="70"/>
    </row>
    <row r="234" spans="1:16" ht="12" customHeight="1" x14ac:dyDescent="0.25">
      <c r="A234" s="46"/>
      <c r="C234" s="171" t="s">
        <v>78</v>
      </c>
      <c r="P234" s="70"/>
    </row>
    <row r="235" spans="1:16" ht="12" customHeight="1" x14ac:dyDescent="0.25">
      <c r="A235" s="46"/>
      <c r="C235" s="72" t="s">
        <v>119</v>
      </c>
      <c r="D235" s="81"/>
      <c r="E235" s="25"/>
      <c r="F235" s="25"/>
      <c r="G235" s="25"/>
      <c r="H235" s="25"/>
      <c r="P235" s="70"/>
    </row>
    <row r="236" spans="1:16" ht="12" customHeight="1" x14ac:dyDescent="0.25">
      <c r="A236" s="46"/>
      <c r="C236" s="48" t="s">
        <v>109</v>
      </c>
      <c r="D236" s="48"/>
      <c r="E236" s="81">
        <v>349393</v>
      </c>
      <c r="F236" s="48"/>
      <c r="G236" s="48"/>
      <c r="H236" s="48"/>
      <c r="P236" s="70"/>
    </row>
    <row r="237" spans="1:16" ht="12" customHeight="1" thickBot="1" x14ac:dyDescent="0.3">
      <c r="A237" s="46"/>
      <c r="C237" s="130" t="s">
        <v>110</v>
      </c>
      <c r="D237" s="185"/>
      <c r="E237" s="186">
        <v>45000</v>
      </c>
      <c r="F237" s="173"/>
      <c r="G237" s="173"/>
      <c r="H237" s="173"/>
      <c r="P237" s="70"/>
    </row>
    <row r="238" spans="1:16" ht="12" customHeight="1" thickTop="1" x14ac:dyDescent="0.25">
      <c r="A238" s="46"/>
      <c r="C238" s="173" t="s">
        <v>111</v>
      </c>
      <c r="D238" s="173"/>
      <c r="E238" s="187">
        <f>SUM(E236:E237)</f>
        <v>394393</v>
      </c>
      <c r="F238" s="173"/>
      <c r="G238" s="173"/>
      <c r="H238" s="173"/>
      <c r="P238" s="70"/>
    </row>
    <row r="239" spans="1:16" ht="12" customHeight="1" thickBot="1" x14ac:dyDescent="0.3">
      <c r="A239" s="195"/>
      <c r="B239" s="87"/>
      <c r="C239" s="196"/>
      <c r="D239" s="196"/>
      <c r="E239" s="196"/>
      <c r="F239" s="196"/>
      <c r="G239" s="196"/>
      <c r="H239" s="196"/>
      <c r="I239" s="87"/>
      <c r="J239" s="87"/>
      <c r="K239" s="87"/>
      <c r="L239" s="87"/>
      <c r="M239" s="87"/>
      <c r="N239" s="87"/>
      <c r="O239" s="88"/>
      <c r="P239" s="197"/>
    </row>
    <row r="240" spans="1:16" ht="12" customHeight="1" thickBot="1" x14ac:dyDescent="0.3">
      <c r="A240" s="160"/>
      <c r="B240" s="91"/>
      <c r="C240" s="91"/>
      <c r="D240" s="91"/>
      <c r="E240" s="91"/>
      <c r="F240" s="91"/>
      <c r="G240" s="92"/>
      <c r="H240" s="92"/>
      <c r="I240" s="92"/>
      <c r="J240" s="92"/>
      <c r="K240" s="92"/>
      <c r="L240" s="93"/>
      <c r="M240" s="93"/>
      <c r="N240" s="93"/>
      <c r="O240" s="93"/>
      <c r="P240" s="94"/>
    </row>
    <row r="241" spans="1:16" ht="12" customHeight="1" thickBot="1" x14ac:dyDescent="0.3">
      <c r="A241" s="10" t="s">
        <v>136</v>
      </c>
      <c r="B241" s="11"/>
      <c r="C241" s="11" t="s">
        <v>20</v>
      </c>
      <c r="D241" s="11"/>
      <c r="E241" s="11"/>
      <c r="F241" s="11"/>
      <c r="G241" s="12"/>
      <c r="H241" s="12"/>
      <c r="I241" s="12"/>
      <c r="J241" s="12"/>
      <c r="K241" s="12"/>
      <c r="L241" s="14">
        <f>SUM(G242,F249)</f>
        <v>259985072</v>
      </c>
      <c r="M241" s="15"/>
      <c r="N241" s="15"/>
      <c r="P241" s="3"/>
    </row>
    <row r="242" spans="1:16" ht="12" customHeight="1" x14ac:dyDescent="0.25">
      <c r="A242" s="17"/>
      <c r="B242" s="19"/>
      <c r="C242" s="19" t="s">
        <v>21</v>
      </c>
      <c r="D242" s="19"/>
      <c r="E242" s="19" t="s">
        <v>84</v>
      </c>
      <c r="F242" s="19"/>
      <c r="G242" s="24">
        <v>71040631</v>
      </c>
      <c r="H242" s="35"/>
      <c r="I242" s="35"/>
      <c r="J242" s="35"/>
      <c r="K242" s="35"/>
      <c r="M242" s="36"/>
      <c r="N242" s="36"/>
      <c r="P242" s="3"/>
    </row>
    <row r="243" spans="1:16" ht="12" customHeight="1" x14ac:dyDescent="0.25">
      <c r="A243" s="17"/>
      <c r="B243" s="19"/>
      <c r="C243" s="19" t="s">
        <v>10</v>
      </c>
      <c r="D243" s="19"/>
      <c r="E243" s="19"/>
      <c r="F243" s="19"/>
      <c r="G243" s="35"/>
      <c r="H243" s="35"/>
      <c r="I243" s="24">
        <f>G242-G216</f>
        <v>2000000</v>
      </c>
      <c r="J243" s="35"/>
      <c r="K243" s="51">
        <f>I243/G216</f>
        <v>2.8968449028225134E-2</v>
      </c>
      <c r="L243" s="52" t="s">
        <v>12</v>
      </c>
      <c r="M243" s="36">
        <f>G242/L241</f>
        <v>0.27324888484366516</v>
      </c>
      <c r="P243" s="3"/>
    </row>
    <row r="244" spans="1:16" ht="12" customHeight="1" thickBot="1" x14ac:dyDescent="0.3">
      <c r="A244" s="17"/>
      <c r="B244" s="19"/>
      <c r="C244" s="19"/>
      <c r="D244" s="19"/>
      <c r="E244" s="19"/>
      <c r="F244" s="19"/>
      <c r="G244" s="35"/>
      <c r="H244" s="35"/>
      <c r="I244" s="25"/>
      <c r="J244" s="25"/>
      <c r="K244" s="60"/>
      <c r="L244" s="61"/>
      <c r="P244" s="3"/>
    </row>
    <row r="245" spans="1:16" ht="12" customHeight="1" x14ac:dyDescent="0.25">
      <c r="A245" s="46"/>
      <c r="C245" s="19" t="s">
        <v>137</v>
      </c>
      <c r="D245" s="19"/>
      <c r="E245" s="23"/>
      <c r="F245" s="23"/>
      <c r="G245" s="40">
        <f>G219</f>
        <v>164195344</v>
      </c>
      <c r="K245" s="60"/>
      <c r="L245" s="61"/>
      <c r="N245" s="36"/>
      <c r="P245" s="3"/>
    </row>
    <row r="246" spans="1:16" ht="12" customHeight="1" thickBot="1" x14ac:dyDescent="0.3">
      <c r="A246" s="46"/>
      <c r="C246" s="162" t="s">
        <v>138</v>
      </c>
      <c r="D246" s="162"/>
      <c r="E246" s="163"/>
      <c r="F246" s="163"/>
      <c r="G246" s="164">
        <v>0</v>
      </c>
      <c r="K246" s="60"/>
      <c r="L246" s="61"/>
      <c r="M246" s="36"/>
      <c r="N246" s="36"/>
      <c r="P246" s="3"/>
    </row>
    <row r="247" spans="1:16" ht="12" customHeight="1" thickBot="1" x14ac:dyDescent="0.3">
      <c r="A247" s="46"/>
      <c r="C247" s="19" t="s">
        <v>139</v>
      </c>
      <c r="D247" s="19"/>
      <c r="E247" s="23"/>
      <c r="F247" s="23"/>
      <c r="G247" s="40">
        <f>O224</f>
        <v>23219034</v>
      </c>
      <c r="K247" s="60"/>
      <c r="L247" s="61"/>
      <c r="N247" s="36"/>
      <c r="P247" s="3"/>
    </row>
    <row r="248" spans="1:16" ht="12" customHeight="1" thickBot="1" x14ac:dyDescent="0.35">
      <c r="A248" s="46"/>
      <c r="C248" s="162" t="s">
        <v>140</v>
      </c>
      <c r="D248" s="162"/>
      <c r="E248" s="163"/>
      <c r="F248" s="163"/>
      <c r="G248" s="192">
        <v>1530063</v>
      </c>
      <c r="K248" s="60"/>
      <c r="L248" s="61"/>
      <c r="N248" s="36"/>
      <c r="P248" s="3"/>
    </row>
    <row r="249" spans="1:16" ht="12" customHeight="1" thickBot="1" x14ac:dyDescent="0.3">
      <c r="A249" s="46"/>
      <c r="C249" s="19"/>
      <c r="D249" s="511" t="s">
        <v>15</v>
      </c>
      <c r="E249" s="511"/>
      <c r="F249" s="42">
        <f>SUM(G245:G248)</f>
        <v>188944441</v>
      </c>
      <c r="G249" s="24"/>
      <c r="K249" s="60"/>
      <c r="L249" s="61"/>
      <c r="M249" s="36">
        <f>F249/L241</f>
        <v>0.72675111515633484</v>
      </c>
      <c r="N249" s="36"/>
      <c r="P249" s="3"/>
    </row>
    <row r="250" spans="1:16" ht="12" customHeight="1" x14ac:dyDescent="0.25">
      <c r="A250" s="46"/>
      <c r="B250" s="19"/>
      <c r="C250" s="19" t="s">
        <v>10</v>
      </c>
      <c r="D250" s="19"/>
      <c r="E250" s="19"/>
      <c r="F250" s="19"/>
      <c r="G250" s="35"/>
      <c r="H250" s="35"/>
      <c r="I250" s="166">
        <f>F249-F223</f>
        <v>1530063</v>
      </c>
      <c r="J250" s="35"/>
      <c r="K250" s="188">
        <f>I250/F223</f>
        <v>8.1640641253255385E-3</v>
      </c>
      <c r="L250" s="52" t="s">
        <v>12</v>
      </c>
      <c r="O250" s="193">
        <f>SUM(G247:G248)</f>
        <v>24749097</v>
      </c>
      <c r="P250" s="194" t="s">
        <v>16</v>
      </c>
    </row>
    <row r="251" spans="1:16" ht="12" customHeight="1" thickBot="1" x14ac:dyDescent="0.3">
      <c r="A251" s="46"/>
      <c r="C251" s="18"/>
      <c r="D251" s="18"/>
      <c r="E251" s="18"/>
      <c r="F251" s="18"/>
      <c r="G251" s="19"/>
      <c r="H251" s="35"/>
      <c r="I251" s="48"/>
      <c r="J251" s="48"/>
      <c r="P251" s="3"/>
    </row>
    <row r="252" spans="1:16" ht="12" customHeight="1" thickBot="1" x14ac:dyDescent="0.3">
      <c r="A252" s="46"/>
      <c r="C252" s="47" t="s">
        <v>141</v>
      </c>
      <c r="D252" s="47"/>
      <c r="E252" s="47"/>
      <c r="F252" s="47"/>
      <c r="G252" s="25"/>
      <c r="H252" s="19"/>
      <c r="J252" s="48"/>
      <c r="K252" s="512" t="s">
        <v>18</v>
      </c>
      <c r="L252" s="512"/>
      <c r="M252" s="512"/>
      <c r="N252" s="513"/>
      <c r="O252" s="184">
        <f>I254</f>
        <v>3530063</v>
      </c>
      <c r="P252" s="50">
        <f>O252/L215</f>
        <v>1.376484325170658E-2</v>
      </c>
    </row>
    <row r="253" spans="1:16" ht="12" customHeight="1" thickBot="1" x14ac:dyDescent="0.3">
      <c r="A253" s="46"/>
      <c r="B253" s="25"/>
      <c r="C253" s="25"/>
      <c r="D253" s="25"/>
      <c r="E253" s="25"/>
      <c r="F253" s="25"/>
      <c r="G253" s="25"/>
      <c r="H253" s="35"/>
      <c r="I253" s="35"/>
      <c r="J253" s="35"/>
      <c r="K253" s="35"/>
      <c r="L253" s="147"/>
      <c r="O253" s="64"/>
      <c r="P253" s="70"/>
    </row>
    <row r="254" spans="1:16" ht="12" customHeight="1" thickBot="1" x14ac:dyDescent="0.3">
      <c r="A254" s="46"/>
      <c r="B254" s="25"/>
      <c r="C254" s="25"/>
      <c r="D254" s="25"/>
      <c r="E254" s="25"/>
      <c r="F254" s="25"/>
      <c r="G254" s="25"/>
      <c r="H254" s="149"/>
      <c r="I254" s="170">
        <f>SUM(I243,I250)</f>
        <v>3530063</v>
      </c>
      <c r="J254" s="150"/>
      <c r="K254" s="150"/>
      <c r="L254" s="151">
        <f>-SUM(G247:G248)</f>
        <v>-24749097</v>
      </c>
      <c r="M254" s="74" t="s">
        <v>35</v>
      </c>
      <c r="O254" s="64"/>
      <c r="P254" s="70"/>
    </row>
    <row r="255" spans="1:16" ht="12" customHeight="1" thickBot="1" x14ac:dyDescent="0.3">
      <c r="A255" s="46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73"/>
      <c r="M255" s="74"/>
      <c r="O255" s="64"/>
      <c r="P255" s="70"/>
    </row>
    <row r="256" spans="1:16" ht="12" customHeight="1" thickBot="1" x14ac:dyDescent="0.3">
      <c r="A256" s="46"/>
      <c r="B256" s="25"/>
      <c r="C256" s="25"/>
      <c r="D256" s="25"/>
      <c r="E256" s="25"/>
      <c r="F256" s="25"/>
      <c r="G256" s="25"/>
      <c r="H256" s="66" t="s">
        <v>30</v>
      </c>
      <c r="I256" s="67"/>
      <c r="J256" s="67"/>
      <c r="K256" s="67"/>
      <c r="L256" s="95">
        <f>SUM(L241,L254)</f>
        <v>235235975</v>
      </c>
      <c r="M256" s="72" t="s">
        <v>107</v>
      </c>
      <c r="O256" s="64"/>
      <c r="P256" s="70"/>
    </row>
    <row r="257" spans="1:16" ht="12" customHeight="1" thickBot="1" x14ac:dyDescent="0.3">
      <c r="A257" s="46"/>
      <c r="B257" s="25"/>
      <c r="C257" s="25"/>
      <c r="D257" s="25"/>
      <c r="E257" s="25"/>
      <c r="F257" s="25"/>
      <c r="G257" s="25"/>
      <c r="H257" s="19"/>
      <c r="O257" s="64"/>
      <c r="P257" s="70"/>
    </row>
    <row r="258" spans="1:16" ht="12" customHeight="1" thickBot="1" x14ac:dyDescent="0.3">
      <c r="A258" s="46"/>
      <c r="B258" s="25"/>
      <c r="D258" s="81"/>
      <c r="E258" s="25"/>
      <c r="F258" s="25"/>
      <c r="G258" s="64"/>
      <c r="H258" s="64"/>
      <c r="I258" s="172" t="s">
        <v>91</v>
      </c>
      <c r="L258" s="158">
        <f>L241</f>
        <v>259985072</v>
      </c>
      <c r="M258" s="72" t="s">
        <v>40</v>
      </c>
      <c r="N258" s="64"/>
      <c r="O258" s="64"/>
      <c r="P258" s="70"/>
    </row>
    <row r="259" spans="1:16" ht="12" customHeight="1" x14ac:dyDescent="0.25">
      <c r="A259" s="46"/>
      <c r="P259" s="70"/>
    </row>
    <row r="260" spans="1:16" ht="12" customHeight="1" x14ac:dyDescent="0.25">
      <c r="A260" s="46"/>
      <c r="C260" s="171" t="s">
        <v>78</v>
      </c>
      <c r="P260" s="70"/>
    </row>
    <row r="261" spans="1:16" ht="12" customHeight="1" x14ac:dyDescent="0.25">
      <c r="A261" s="46"/>
      <c r="C261" s="72" t="s">
        <v>119</v>
      </c>
      <c r="D261" s="81"/>
      <c r="E261" s="25"/>
      <c r="F261" s="25"/>
      <c r="G261" s="25"/>
      <c r="H261" s="25"/>
      <c r="P261" s="70"/>
    </row>
    <row r="262" spans="1:16" ht="12" customHeight="1" x14ac:dyDescent="0.25">
      <c r="A262" s="46"/>
      <c r="C262" s="48" t="s">
        <v>109</v>
      </c>
      <c r="D262" s="48"/>
      <c r="E262" s="81">
        <v>349393</v>
      </c>
      <c r="F262" s="48"/>
      <c r="G262" s="48"/>
      <c r="H262" s="48"/>
      <c r="P262" s="70"/>
    </row>
    <row r="263" spans="1:16" ht="12" customHeight="1" thickBot="1" x14ac:dyDescent="0.3">
      <c r="A263" s="46"/>
      <c r="C263" s="130" t="s">
        <v>110</v>
      </c>
      <c r="D263" s="185"/>
      <c r="E263" s="186">
        <v>45000</v>
      </c>
      <c r="F263" s="173"/>
      <c r="G263" s="173"/>
      <c r="H263" s="173"/>
      <c r="P263" s="70"/>
    </row>
    <row r="264" spans="1:16" ht="12" customHeight="1" thickTop="1" x14ac:dyDescent="0.25">
      <c r="A264" s="46"/>
      <c r="C264" s="173" t="s">
        <v>111</v>
      </c>
      <c r="D264" s="173"/>
      <c r="E264" s="187">
        <f>SUM(E262:E263)</f>
        <v>394393</v>
      </c>
      <c r="F264" s="173"/>
      <c r="G264" s="173"/>
      <c r="H264" s="173"/>
      <c r="P264" s="70"/>
    </row>
    <row r="265" spans="1:16" ht="12" customHeight="1" thickBot="1" x14ac:dyDescent="0.3">
      <c r="A265" s="195"/>
      <c r="B265" s="87"/>
      <c r="C265" s="196"/>
      <c r="D265" s="196"/>
      <c r="E265" s="196"/>
      <c r="F265" s="196"/>
      <c r="G265" s="196"/>
      <c r="H265" s="196"/>
      <c r="I265" s="87"/>
      <c r="J265" s="87"/>
      <c r="K265" s="87"/>
      <c r="L265" s="87"/>
      <c r="M265" s="87"/>
      <c r="N265" s="87"/>
      <c r="O265" s="88"/>
      <c r="P265" s="197"/>
    </row>
    <row r="266" spans="1:16" ht="12" customHeight="1" thickBot="1" x14ac:dyDescent="0.3">
      <c r="A266" s="160"/>
      <c r="B266" s="91"/>
      <c r="C266" s="91"/>
      <c r="D266" s="91"/>
      <c r="E266" s="91"/>
      <c r="F266" s="91"/>
      <c r="G266" s="92"/>
      <c r="H266" s="92"/>
      <c r="I266" s="92"/>
      <c r="J266" s="92"/>
      <c r="K266" s="92"/>
      <c r="L266" s="93"/>
      <c r="M266" s="93"/>
      <c r="N266" s="93"/>
      <c r="O266" s="93"/>
      <c r="P266" s="94"/>
    </row>
    <row r="267" spans="1:16" ht="12" customHeight="1" thickBot="1" x14ac:dyDescent="0.3">
      <c r="A267" s="198" t="s">
        <v>142</v>
      </c>
      <c r="B267" s="199"/>
      <c r="C267" s="11" t="s">
        <v>20</v>
      </c>
      <c r="D267" s="11"/>
      <c r="E267" s="11"/>
      <c r="F267" s="11"/>
      <c r="G267" s="200"/>
      <c r="H267" s="200"/>
      <c r="I267" s="200"/>
      <c r="J267" s="200"/>
      <c r="K267" s="200"/>
      <c r="L267" s="14">
        <f>SUM(G268,F275)</f>
        <v>262000508</v>
      </c>
      <c r="M267" s="15"/>
      <c r="N267" s="15"/>
      <c r="O267" s="201">
        <f>L267-SUM(G273:G274)</f>
        <v>237235977</v>
      </c>
      <c r="P267" s="202" t="s">
        <v>143</v>
      </c>
    </row>
    <row r="268" spans="1:16" ht="12" customHeight="1" x14ac:dyDescent="0.25">
      <c r="A268" s="203"/>
      <c r="B268" s="27"/>
      <c r="C268" s="18" t="s">
        <v>21</v>
      </c>
      <c r="D268" s="18"/>
      <c r="E268" s="18" t="s">
        <v>84</v>
      </c>
      <c r="F268" s="18"/>
      <c r="G268" s="21">
        <f>G242+2000000+2</f>
        <v>73040633</v>
      </c>
      <c r="H268" s="204"/>
      <c r="I268" s="204"/>
      <c r="J268" s="204"/>
      <c r="K268" s="204"/>
      <c r="L268" s="205"/>
      <c r="M268" s="206"/>
      <c r="N268" s="206"/>
      <c r="O268" s="207"/>
      <c r="P268" s="3"/>
    </row>
    <row r="269" spans="1:16" ht="12" customHeight="1" x14ac:dyDescent="0.25">
      <c r="A269" s="203"/>
      <c r="B269" s="27"/>
      <c r="C269" s="18" t="s">
        <v>10</v>
      </c>
      <c r="D269" s="18"/>
      <c r="E269" s="18"/>
      <c r="F269" s="18"/>
      <c r="G269" s="204"/>
      <c r="H269" s="204"/>
      <c r="I269" s="21">
        <f>G268-G242</f>
        <v>2000002</v>
      </c>
      <c r="J269" s="204"/>
      <c r="K269" s="208">
        <f>I269/G268</f>
        <v>2.7382046374105219E-2</v>
      </c>
      <c r="L269" s="209" t="s">
        <v>12</v>
      </c>
      <c r="M269" s="206">
        <f>G268/L267</f>
        <v>0.27878050144849337</v>
      </c>
      <c r="N269" s="205"/>
      <c r="O269" s="207"/>
      <c r="P269" s="3"/>
    </row>
    <row r="270" spans="1:16" ht="12" customHeight="1" thickBot="1" x14ac:dyDescent="0.3">
      <c r="A270" s="203"/>
      <c r="B270" s="27"/>
      <c r="C270" s="18"/>
      <c r="D270" s="18"/>
      <c r="E270" s="18"/>
      <c r="F270" s="18"/>
      <c r="G270" s="204"/>
      <c r="H270" s="204"/>
      <c r="I270" s="210"/>
      <c r="J270" s="210"/>
      <c r="K270" s="211"/>
      <c r="L270" s="61"/>
      <c r="M270" s="205"/>
      <c r="N270" s="205"/>
      <c r="O270" s="207"/>
      <c r="P270" s="3"/>
    </row>
    <row r="271" spans="1:16" ht="12" customHeight="1" x14ac:dyDescent="0.25">
      <c r="A271" s="212"/>
      <c r="B271" s="213"/>
      <c r="C271" s="18" t="s">
        <v>144</v>
      </c>
      <c r="D271" s="18"/>
      <c r="E271" s="18"/>
      <c r="F271" s="18"/>
      <c r="G271" s="214">
        <f>G245</f>
        <v>164195344</v>
      </c>
      <c r="H271" s="205"/>
      <c r="I271" s="205"/>
      <c r="J271" s="205"/>
      <c r="K271" s="211"/>
      <c r="L271" s="61"/>
      <c r="M271" s="205"/>
      <c r="N271" s="206"/>
      <c r="O271" s="207"/>
      <c r="P271" s="3"/>
    </row>
    <row r="272" spans="1:16" ht="12" customHeight="1" thickBot="1" x14ac:dyDescent="0.3">
      <c r="A272" s="212"/>
      <c r="B272" s="213"/>
      <c r="C272" s="215" t="s">
        <v>145</v>
      </c>
      <c r="D272" s="215"/>
      <c r="E272" s="215"/>
      <c r="F272" s="215"/>
      <c r="G272" s="216">
        <v>0</v>
      </c>
      <c r="H272" s="205"/>
      <c r="I272" s="205"/>
      <c r="J272" s="205"/>
      <c r="K272" s="211"/>
      <c r="L272" s="61"/>
      <c r="M272" s="206"/>
      <c r="N272" s="206"/>
      <c r="O272" s="207"/>
      <c r="P272" s="3"/>
    </row>
    <row r="273" spans="1:16" ht="12" customHeight="1" thickBot="1" x14ac:dyDescent="0.3">
      <c r="A273" s="212"/>
      <c r="B273" s="213"/>
      <c r="C273" s="18" t="s">
        <v>146</v>
      </c>
      <c r="D273" s="18"/>
      <c r="E273" s="18"/>
      <c r="F273" s="18"/>
      <c r="G273" s="214">
        <f>SUM(G247:G248)</f>
        <v>24749097</v>
      </c>
      <c r="H273" s="205"/>
      <c r="I273" s="205"/>
      <c r="J273" s="205"/>
      <c r="K273" s="211"/>
      <c r="L273" s="61"/>
      <c r="M273" s="205"/>
      <c r="N273" s="206"/>
      <c r="O273" s="207"/>
      <c r="P273" s="3"/>
    </row>
    <row r="274" spans="1:16" ht="12" customHeight="1" thickBot="1" x14ac:dyDescent="0.35">
      <c r="A274" s="212"/>
      <c r="B274" s="213"/>
      <c r="C274" s="215" t="s">
        <v>147</v>
      </c>
      <c r="D274" s="215"/>
      <c r="E274" s="215"/>
      <c r="F274" s="215"/>
      <c r="G274" s="217">
        <v>15434</v>
      </c>
      <c r="H274" s="18"/>
      <c r="I274" s="205"/>
      <c r="J274" s="205"/>
      <c r="K274" s="211"/>
      <c r="L274" s="61"/>
      <c r="M274" s="205"/>
      <c r="N274" s="206"/>
      <c r="O274" s="207"/>
      <c r="P274" s="3"/>
    </row>
    <row r="275" spans="1:16" ht="13.2" customHeight="1" thickBot="1" x14ac:dyDescent="0.3">
      <c r="A275" s="212"/>
      <c r="B275" s="213"/>
      <c r="C275" s="18"/>
      <c r="D275" s="514" t="s">
        <v>15</v>
      </c>
      <c r="E275" s="514"/>
      <c r="F275" s="14">
        <f>SUM(G271:G274)</f>
        <v>188959875</v>
      </c>
      <c r="G275" s="21"/>
      <c r="H275" s="205"/>
      <c r="I275" s="205"/>
      <c r="J275" s="205"/>
      <c r="K275" s="211"/>
      <c r="L275" s="61"/>
      <c r="M275" s="206">
        <f>F275/L267</f>
        <v>0.72121949855150658</v>
      </c>
      <c r="N275" s="206"/>
      <c r="O275" s="207"/>
      <c r="P275" s="3"/>
    </row>
    <row r="276" spans="1:16" ht="12" customHeight="1" x14ac:dyDescent="0.25">
      <c r="A276" s="212"/>
      <c r="B276" s="27"/>
      <c r="C276" s="18" t="s">
        <v>10</v>
      </c>
      <c r="D276" s="18"/>
      <c r="E276" s="18"/>
      <c r="F276" s="18"/>
      <c r="G276" s="204"/>
      <c r="H276" s="204"/>
      <c r="I276" s="218">
        <f>F275-F249</f>
        <v>15434</v>
      </c>
      <c r="J276" s="204"/>
      <c r="K276" s="219">
        <f>I276/F249</f>
        <v>8.1685388140104111E-5</v>
      </c>
      <c r="L276" s="209" t="s">
        <v>12</v>
      </c>
      <c r="M276" s="205"/>
      <c r="N276" s="205"/>
      <c r="O276" s="220">
        <f>SUM(G273:G274)</f>
        <v>24764531</v>
      </c>
      <c r="P276" s="221" t="s">
        <v>148</v>
      </c>
    </row>
    <row r="277" spans="1:16" ht="12" customHeight="1" thickBot="1" x14ac:dyDescent="0.3">
      <c r="A277" s="212"/>
      <c r="B277" s="213"/>
      <c r="C277" s="18"/>
      <c r="D277" s="18"/>
      <c r="E277" s="18"/>
      <c r="F277" s="18"/>
      <c r="G277" s="18"/>
      <c r="H277" s="204"/>
      <c r="I277" s="222"/>
      <c r="J277" s="222"/>
      <c r="K277" s="205"/>
      <c r="L277" s="205"/>
      <c r="M277" s="205"/>
      <c r="N277" s="205"/>
      <c r="O277" s="207"/>
      <c r="P277" s="3"/>
    </row>
    <row r="278" spans="1:16" ht="12" customHeight="1" thickBot="1" x14ac:dyDescent="0.3">
      <c r="A278" s="212"/>
      <c r="B278" s="213"/>
      <c r="C278" s="223" t="s">
        <v>149</v>
      </c>
      <c r="D278" s="223"/>
      <c r="E278" s="223"/>
      <c r="F278" s="223"/>
      <c r="G278" s="210"/>
      <c r="H278" s="18"/>
      <c r="I278" s="205"/>
      <c r="J278" s="222"/>
      <c r="K278" s="515" t="s">
        <v>18</v>
      </c>
      <c r="L278" s="515"/>
      <c r="M278" s="515"/>
      <c r="N278" s="516"/>
      <c r="O278" s="224">
        <f>I280</f>
        <v>2015436</v>
      </c>
      <c r="P278" s="225">
        <f>O278/L267</f>
        <v>7.6924889015864044E-3</v>
      </c>
    </row>
    <row r="279" spans="1:16" ht="12" customHeight="1" thickBot="1" x14ac:dyDescent="0.3">
      <c r="A279" s="212"/>
      <c r="B279" s="226"/>
      <c r="C279" s="210"/>
      <c r="D279" s="210"/>
      <c r="E279" s="210"/>
      <c r="F279" s="210"/>
      <c r="G279" s="210"/>
      <c r="H279" s="204"/>
      <c r="I279" s="204"/>
      <c r="J279" s="204"/>
      <c r="K279" s="204"/>
      <c r="L279" s="227"/>
      <c r="M279" s="205"/>
      <c r="N279" s="205"/>
      <c r="O279" s="228"/>
      <c r="P279" s="229"/>
    </row>
    <row r="280" spans="1:16" ht="12" customHeight="1" thickBot="1" x14ac:dyDescent="0.3">
      <c r="A280" s="212"/>
      <c r="B280" s="226"/>
      <c r="C280" s="210"/>
      <c r="D280" s="210"/>
      <c r="E280" s="210"/>
      <c r="F280" s="210"/>
      <c r="G280" s="210"/>
      <c r="H280" s="230"/>
      <c r="I280" s="231">
        <f>SUM(I269,I276)</f>
        <v>2015436</v>
      </c>
      <c r="J280" s="230"/>
      <c r="K280" s="230"/>
      <c r="L280" s="232">
        <f>-SUM(G273:G274)</f>
        <v>-24764531</v>
      </c>
      <c r="M280" s="233" t="s">
        <v>35</v>
      </c>
      <c r="N280" s="205"/>
      <c r="O280" s="228"/>
      <c r="P280" s="229"/>
    </row>
    <row r="281" spans="1:16" ht="12" customHeight="1" thickBot="1" x14ac:dyDescent="0.3">
      <c r="A281" s="212"/>
      <c r="B281" s="226"/>
      <c r="C281" s="210"/>
      <c r="D281" s="210"/>
      <c r="E281" s="210"/>
      <c r="F281" s="210"/>
      <c r="G281" s="210"/>
      <c r="H281" s="210"/>
      <c r="I281" s="210"/>
      <c r="J281" s="210"/>
      <c r="K281" s="210"/>
      <c r="L281" s="232"/>
      <c r="M281" s="233"/>
      <c r="N281" s="205"/>
      <c r="O281" s="228"/>
      <c r="P281" s="229"/>
    </row>
    <row r="282" spans="1:16" ht="12" customHeight="1" thickBot="1" x14ac:dyDescent="0.3">
      <c r="A282" s="212"/>
      <c r="B282" s="226"/>
      <c r="C282" s="210"/>
      <c r="D282" s="210"/>
      <c r="E282" s="210"/>
      <c r="F282" s="210"/>
      <c r="G282" s="234" t="s">
        <v>30</v>
      </c>
      <c r="H282" s="234"/>
      <c r="I282" s="234"/>
      <c r="J282" s="234"/>
      <c r="K282" s="235"/>
      <c r="L282" s="236">
        <f>SUM(L267,L280)</f>
        <v>237235977</v>
      </c>
      <c r="M282" s="157" t="s">
        <v>107</v>
      </c>
      <c r="N282" s="205"/>
      <c r="O282" s="228"/>
      <c r="P282" s="229"/>
    </row>
    <row r="283" spans="1:16" ht="12" customHeight="1" thickBot="1" x14ac:dyDescent="0.3">
      <c r="A283" s="212"/>
      <c r="B283" s="226"/>
      <c r="C283" s="210"/>
      <c r="D283" s="210"/>
      <c r="E283" s="210"/>
      <c r="F283" s="210"/>
      <c r="G283" s="210"/>
      <c r="H283" s="18"/>
      <c r="I283" s="205"/>
      <c r="J283" s="205"/>
      <c r="K283" s="205"/>
      <c r="L283" s="205"/>
      <c r="M283" s="205"/>
      <c r="N283" s="205"/>
      <c r="O283" s="228"/>
      <c r="P283" s="229"/>
    </row>
    <row r="284" spans="1:16" ht="12" customHeight="1" thickBot="1" x14ac:dyDescent="0.3">
      <c r="A284" s="212"/>
      <c r="B284" s="226"/>
      <c r="C284" s="205"/>
      <c r="D284" s="237"/>
      <c r="E284" s="210"/>
      <c r="F284" s="210"/>
      <c r="G284" s="228"/>
      <c r="H284" s="228"/>
      <c r="I284" s="238" t="s">
        <v>91</v>
      </c>
      <c r="J284" s="205"/>
      <c r="K284" s="205"/>
      <c r="L284" s="239">
        <f>L267</f>
        <v>262000508</v>
      </c>
      <c r="M284" s="157" t="s">
        <v>40</v>
      </c>
      <c r="N284" s="228"/>
      <c r="O284" s="228"/>
      <c r="P284" s="229"/>
    </row>
    <row r="285" spans="1:16" ht="12" customHeight="1" x14ac:dyDescent="0.25">
      <c r="A285" s="212"/>
      <c r="B285" s="213"/>
      <c r="C285" s="205"/>
      <c r="D285" s="205"/>
      <c r="E285" s="205"/>
      <c r="F285" s="205"/>
      <c r="G285" s="205"/>
      <c r="H285" s="205"/>
      <c r="I285" s="205"/>
      <c r="J285" s="205"/>
      <c r="K285" s="205"/>
      <c r="L285" s="205"/>
      <c r="M285" s="205"/>
      <c r="N285" s="205"/>
      <c r="O285" s="207"/>
      <c r="P285" s="229"/>
    </row>
    <row r="286" spans="1:16" ht="12" customHeight="1" x14ac:dyDescent="0.25">
      <c r="A286" s="212"/>
      <c r="B286" s="213"/>
      <c r="C286" s="154" t="s">
        <v>78</v>
      </c>
      <c r="D286" s="205"/>
      <c r="E286" s="205"/>
      <c r="F286" s="205"/>
      <c r="G286" s="205"/>
      <c r="H286" s="205"/>
      <c r="I286" s="205"/>
      <c r="J286" s="205"/>
      <c r="K286" s="205"/>
      <c r="L286" s="205"/>
      <c r="M286" s="205"/>
      <c r="N286" s="205"/>
      <c r="O286" s="207"/>
      <c r="P286" s="229"/>
    </row>
    <row r="287" spans="1:16" ht="12" customHeight="1" x14ac:dyDescent="0.25">
      <c r="A287" s="212"/>
      <c r="B287" s="213"/>
      <c r="C287" s="157" t="s">
        <v>119</v>
      </c>
      <c r="D287" s="237"/>
      <c r="E287" s="210"/>
      <c r="F287" s="210"/>
      <c r="G287" s="210"/>
      <c r="H287" s="210"/>
      <c r="I287" s="205"/>
      <c r="J287" s="205"/>
      <c r="K287" s="205"/>
      <c r="L287" s="205"/>
      <c r="M287" s="205"/>
      <c r="N287" s="205"/>
      <c r="O287" s="207"/>
      <c r="P287" s="229"/>
    </row>
    <row r="288" spans="1:16" ht="12" customHeight="1" x14ac:dyDescent="0.25">
      <c r="A288" s="212"/>
      <c r="B288" s="213"/>
      <c r="C288" s="222" t="s">
        <v>109</v>
      </c>
      <c r="D288" s="222"/>
      <c r="E288" s="237">
        <v>349393</v>
      </c>
      <c r="F288" s="222"/>
      <c r="G288" s="222"/>
      <c r="H288" s="222"/>
      <c r="I288" s="205"/>
      <c r="J288" s="205"/>
      <c r="K288" s="205"/>
      <c r="L288" s="205"/>
      <c r="M288" s="205"/>
      <c r="N288" s="205"/>
      <c r="O288" s="207"/>
      <c r="P288" s="229"/>
    </row>
    <row r="289" spans="1:16" ht="12" customHeight="1" thickBot="1" x14ac:dyDescent="0.3">
      <c r="A289" s="212"/>
      <c r="B289" s="213"/>
      <c r="C289" s="129" t="s">
        <v>110</v>
      </c>
      <c r="D289" s="240"/>
      <c r="E289" s="241">
        <v>45000</v>
      </c>
      <c r="F289" s="242"/>
      <c r="G289" s="242"/>
      <c r="H289" s="242"/>
      <c r="I289" s="205"/>
      <c r="J289" s="205"/>
      <c r="K289" s="205"/>
      <c r="L289" s="205"/>
      <c r="M289" s="205"/>
      <c r="N289" s="205"/>
      <c r="O289" s="207"/>
      <c r="P289" s="229"/>
    </row>
    <row r="290" spans="1:16" ht="12" customHeight="1" thickTop="1" x14ac:dyDescent="0.25">
      <c r="A290" s="212"/>
      <c r="B290" s="213"/>
      <c r="C290" s="242" t="s">
        <v>111</v>
      </c>
      <c r="D290" s="242"/>
      <c r="E290" s="243">
        <f>SUM(E288:E289)</f>
        <v>394393</v>
      </c>
      <c r="F290" s="242"/>
      <c r="G290" s="242"/>
      <c r="H290" s="242"/>
      <c r="I290" s="205"/>
      <c r="J290" s="205"/>
      <c r="K290" s="205"/>
      <c r="L290" s="205"/>
      <c r="M290" s="205"/>
      <c r="N290" s="205"/>
      <c r="O290" s="207"/>
      <c r="P290" s="229"/>
    </row>
    <row r="291" spans="1:16" ht="12" customHeight="1" x14ac:dyDescent="0.25">
      <c r="A291" s="212"/>
      <c r="B291" s="213"/>
      <c r="C291" s="244"/>
      <c r="D291" s="244"/>
      <c r="E291" s="244"/>
      <c r="F291" s="244"/>
      <c r="G291" s="244"/>
      <c r="H291" s="244"/>
      <c r="I291" s="213"/>
      <c r="J291" s="213"/>
      <c r="K291" s="213"/>
      <c r="L291" s="213"/>
      <c r="M291" s="213"/>
      <c r="N291" s="213"/>
      <c r="O291" s="245"/>
      <c r="P291" s="246"/>
    </row>
    <row r="292" spans="1:16" ht="12" customHeight="1" x14ac:dyDescent="0.25">
      <c r="A292" s="212"/>
      <c r="B292" s="213"/>
      <c r="C292" s="213"/>
      <c r="D292" s="213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45"/>
      <c r="P292" s="246"/>
    </row>
    <row r="293" spans="1:16" ht="12" customHeight="1" thickBot="1" x14ac:dyDescent="0.3">
      <c r="A293" s="247"/>
      <c r="B293" s="248"/>
      <c r="C293" s="248"/>
      <c r="D293" s="248"/>
      <c r="E293" s="248"/>
      <c r="F293" s="248"/>
      <c r="G293" s="248"/>
      <c r="H293" s="248"/>
      <c r="I293" s="248"/>
      <c r="J293" s="248"/>
      <c r="K293" s="248"/>
      <c r="L293" s="248"/>
      <c r="M293" s="248"/>
      <c r="N293" s="248"/>
      <c r="O293" s="249"/>
      <c r="P293" s="250"/>
    </row>
    <row r="294" spans="1:16" ht="12" customHeight="1" thickTop="1" thickBot="1" x14ac:dyDescent="0.3">
      <c r="A294" s="251"/>
      <c r="B294" s="91"/>
      <c r="C294" s="91"/>
      <c r="D294" s="91"/>
      <c r="E294" s="91"/>
      <c r="F294" s="91"/>
      <c r="G294" s="92"/>
      <c r="H294" s="92"/>
      <c r="I294" s="92"/>
      <c r="J294" s="92"/>
      <c r="K294" s="92"/>
      <c r="L294" s="93"/>
      <c r="M294" s="93"/>
      <c r="N294" s="93"/>
      <c r="O294" s="93"/>
      <c r="P294" s="94"/>
    </row>
    <row r="295" spans="1:16" ht="26.7" customHeight="1" thickBot="1" x14ac:dyDescent="0.3">
      <c r="A295" s="252" t="s">
        <v>150</v>
      </c>
      <c r="B295" s="199"/>
      <c r="C295" s="199" t="s">
        <v>20</v>
      </c>
      <c r="D295" s="199"/>
      <c r="E295" s="199"/>
      <c r="F295" s="199"/>
      <c r="G295" s="253"/>
      <c r="H295" s="253"/>
      <c r="I295" s="253"/>
      <c r="J295" s="253"/>
      <c r="K295" s="253"/>
      <c r="L295" s="254">
        <f>SUM(G296,F303)</f>
        <v>267765075.81999999</v>
      </c>
      <c r="M295" s="255"/>
      <c r="N295" s="255"/>
      <c r="O295" s="256">
        <f>L295-SUM(G301:G302)</f>
        <v>239735981.81999999</v>
      </c>
      <c r="P295" s="257" t="s">
        <v>143</v>
      </c>
    </row>
    <row r="296" spans="1:16" ht="12" customHeight="1" x14ac:dyDescent="0.25">
      <c r="A296" s="203"/>
      <c r="B296" s="27"/>
      <c r="C296" s="27" t="s">
        <v>21</v>
      </c>
      <c r="D296" s="27"/>
      <c r="E296" s="27" t="s">
        <v>84</v>
      </c>
      <c r="F296" s="27"/>
      <c r="G296" s="258">
        <f>G268+2500000+4.82</f>
        <v>75540637.819999993</v>
      </c>
      <c r="H296" s="259"/>
      <c r="I296" s="259"/>
      <c r="J296" s="259"/>
      <c r="K296" s="259"/>
      <c r="L296" s="213"/>
      <c r="M296" s="260"/>
      <c r="N296" s="260"/>
      <c r="O296" s="245"/>
      <c r="P296" s="261"/>
    </row>
    <row r="297" spans="1:16" ht="12" customHeight="1" x14ac:dyDescent="0.25">
      <c r="A297" s="203"/>
      <c r="B297" s="27"/>
      <c r="C297" s="27" t="s">
        <v>10</v>
      </c>
      <c r="D297" s="27"/>
      <c r="E297" s="27"/>
      <c r="F297" s="27"/>
      <c r="G297" s="259"/>
      <c r="H297" s="259"/>
      <c r="I297" s="258">
        <f>G296-G268</f>
        <v>2500004.8199999928</v>
      </c>
      <c r="J297" s="259"/>
      <c r="K297" s="262">
        <f>I297/G296</f>
        <v>3.3094833352573259E-2</v>
      </c>
      <c r="L297" s="263" t="s">
        <v>12</v>
      </c>
      <c r="M297" s="260">
        <f>G296/L295</f>
        <v>0.28211534901878227</v>
      </c>
      <c r="N297" s="213"/>
      <c r="O297" s="245"/>
      <c r="P297" s="261"/>
    </row>
    <row r="298" spans="1:16" ht="12" customHeight="1" thickBot="1" x14ac:dyDescent="0.3">
      <c r="A298" s="203"/>
      <c r="B298" s="27"/>
      <c r="C298" s="27"/>
      <c r="D298" s="27"/>
      <c r="E298" s="27"/>
      <c r="F298" s="27"/>
      <c r="G298" s="259"/>
      <c r="H298" s="259"/>
      <c r="I298" s="226"/>
      <c r="J298" s="226"/>
      <c r="K298" s="264"/>
      <c r="L298" s="265"/>
      <c r="M298" s="213"/>
      <c r="N298" s="213"/>
      <c r="O298" s="245"/>
      <c r="P298" s="261"/>
    </row>
    <row r="299" spans="1:16" ht="12" customHeight="1" x14ac:dyDescent="0.25">
      <c r="A299" s="212"/>
      <c r="B299" s="213"/>
      <c r="C299" s="27" t="s">
        <v>151</v>
      </c>
      <c r="D299" s="27"/>
      <c r="E299" s="27"/>
      <c r="F299" s="27"/>
      <c r="G299" s="214">
        <f>G271</f>
        <v>164195344</v>
      </c>
      <c r="H299" s="213"/>
      <c r="I299" s="213"/>
      <c r="J299" s="213"/>
      <c r="K299" s="264"/>
      <c r="L299" s="265"/>
      <c r="M299" s="213"/>
      <c r="N299" s="260"/>
      <c r="O299" s="245"/>
      <c r="P299" s="261"/>
    </row>
    <row r="300" spans="1:16" ht="12" customHeight="1" thickBot="1" x14ac:dyDescent="0.3">
      <c r="A300" s="212"/>
      <c r="B300" s="213"/>
      <c r="C300" s="266" t="s">
        <v>152</v>
      </c>
      <c r="D300" s="266"/>
      <c r="E300" s="266"/>
      <c r="F300" s="266"/>
      <c r="G300" s="267">
        <v>0</v>
      </c>
      <c r="H300" s="213"/>
      <c r="I300" s="213"/>
      <c r="J300" s="213"/>
      <c r="K300" s="264"/>
      <c r="L300" s="265"/>
      <c r="M300" s="260"/>
      <c r="N300" s="260"/>
      <c r="O300" s="245"/>
      <c r="P300" s="261"/>
    </row>
    <row r="301" spans="1:16" ht="14.1" customHeight="1" thickBot="1" x14ac:dyDescent="0.3">
      <c r="A301" s="212"/>
      <c r="B301" s="213"/>
      <c r="C301" s="27" t="s">
        <v>153</v>
      </c>
      <c r="D301" s="27"/>
      <c r="E301" s="27"/>
      <c r="F301" s="27"/>
      <c r="G301" s="214">
        <f>SUM(G273:G274)</f>
        <v>24764531</v>
      </c>
      <c r="H301" s="213"/>
      <c r="I301" s="213"/>
      <c r="J301" s="213"/>
      <c r="K301" s="264"/>
      <c r="L301" s="265"/>
      <c r="M301" s="213"/>
      <c r="N301" s="260"/>
      <c r="O301" s="245"/>
      <c r="P301" s="261"/>
    </row>
    <row r="302" spans="1:16" ht="15" customHeight="1" thickBot="1" x14ac:dyDescent="0.35">
      <c r="A302" s="212"/>
      <c r="B302" s="213"/>
      <c r="C302" s="266" t="s">
        <v>154</v>
      </c>
      <c r="D302" s="266"/>
      <c r="E302" s="266"/>
      <c r="F302" s="266"/>
      <c r="G302" s="268">
        <v>3264563</v>
      </c>
      <c r="H302" s="27"/>
      <c r="I302" s="213"/>
      <c r="J302" s="213"/>
      <c r="K302" s="264"/>
      <c r="L302" s="265"/>
      <c r="M302" s="213"/>
      <c r="N302" s="260"/>
      <c r="O302" s="245"/>
      <c r="P302" s="261"/>
    </row>
    <row r="303" spans="1:16" ht="14.1" customHeight="1" thickBot="1" x14ac:dyDescent="0.3">
      <c r="A303" s="212"/>
      <c r="B303" s="213"/>
      <c r="C303" s="27"/>
      <c r="D303" s="505" t="s">
        <v>15</v>
      </c>
      <c r="E303" s="505"/>
      <c r="F303" s="254">
        <f>SUM(G299:G302)</f>
        <v>192224438</v>
      </c>
      <c r="G303" s="258"/>
      <c r="H303" s="213"/>
      <c r="I303" s="213"/>
      <c r="J303" s="213"/>
      <c r="K303" s="264"/>
      <c r="L303" s="265"/>
      <c r="M303" s="260">
        <f>F303/L295</f>
        <v>0.71788465098121779</v>
      </c>
      <c r="N303" s="260"/>
      <c r="O303" s="245"/>
      <c r="P303" s="261"/>
    </row>
    <row r="304" spans="1:16" ht="16.5" customHeight="1" x14ac:dyDescent="0.25">
      <c r="A304" s="212"/>
      <c r="B304" s="27"/>
      <c r="C304" s="27" t="s">
        <v>10</v>
      </c>
      <c r="D304" s="27"/>
      <c r="E304" s="27"/>
      <c r="F304" s="27"/>
      <c r="G304" s="259"/>
      <c r="H304" s="259"/>
      <c r="I304" s="269">
        <f>F303-F275</f>
        <v>3264563</v>
      </c>
      <c r="J304" s="259"/>
      <c r="K304" s="270">
        <f>I304/F275</f>
        <v>1.7276487931630988E-2</v>
      </c>
      <c r="L304" s="263" t="s">
        <v>12</v>
      </c>
      <c r="M304" s="213"/>
      <c r="N304" s="213"/>
      <c r="O304" s="271">
        <f>SUM(G301:G302)</f>
        <v>28029094</v>
      </c>
      <c r="P304" s="272" t="s">
        <v>148</v>
      </c>
    </row>
    <row r="305" spans="1:16" ht="12" customHeight="1" thickBot="1" x14ac:dyDescent="0.3">
      <c r="A305" s="212"/>
      <c r="B305" s="213"/>
      <c r="C305" s="27"/>
      <c r="D305" s="27"/>
      <c r="E305" s="27"/>
      <c r="F305" s="27"/>
      <c r="G305" s="27"/>
      <c r="H305" s="259"/>
      <c r="I305" s="273"/>
      <c r="J305" s="273"/>
      <c r="K305" s="213"/>
      <c r="L305" s="213"/>
      <c r="M305" s="213"/>
      <c r="N305" s="213"/>
      <c r="O305" s="245"/>
      <c r="P305" s="261"/>
    </row>
    <row r="306" spans="1:16" ht="15" customHeight="1" thickBot="1" x14ac:dyDescent="0.3">
      <c r="A306" s="212"/>
      <c r="B306" s="213"/>
      <c r="C306" s="274" t="s">
        <v>155</v>
      </c>
      <c r="D306" s="274"/>
      <c r="E306" s="274"/>
      <c r="F306" s="274"/>
      <c r="G306" s="226"/>
      <c r="H306" s="27"/>
      <c r="I306" s="213"/>
      <c r="J306" s="273"/>
      <c r="K306" s="506" t="s">
        <v>18</v>
      </c>
      <c r="L306" s="506"/>
      <c r="M306" s="506"/>
      <c r="N306" s="507"/>
      <c r="O306" s="275">
        <f>I308</f>
        <v>5764567.8199999928</v>
      </c>
      <c r="P306" s="276">
        <f>O306/L267</f>
        <v>2.2002124591300385E-2</v>
      </c>
    </row>
    <row r="307" spans="1:16" ht="12" customHeight="1" thickBot="1" x14ac:dyDescent="0.3">
      <c r="A307" s="212"/>
      <c r="B307" s="226"/>
      <c r="C307" s="226"/>
      <c r="D307" s="226"/>
      <c r="E307" s="226"/>
      <c r="F307" s="226"/>
      <c r="G307" s="226"/>
      <c r="H307" s="259"/>
      <c r="I307" s="259"/>
      <c r="J307" s="259"/>
      <c r="K307" s="259"/>
      <c r="L307" s="277"/>
      <c r="M307" s="213"/>
      <c r="N307" s="213"/>
      <c r="O307" s="278"/>
      <c r="P307" s="246"/>
    </row>
    <row r="308" spans="1:16" ht="12" customHeight="1" thickBot="1" x14ac:dyDescent="0.3">
      <c r="A308" s="212"/>
      <c r="B308" s="226"/>
      <c r="C308" s="226"/>
      <c r="D308" s="226"/>
      <c r="E308" s="226"/>
      <c r="F308" s="226"/>
      <c r="G308" s="226"/>
      <c r="H308" s="279"/>
      <c r="I308" s="280">
        <f>SUM(I297,I304)</f>
        <v>5764567.8199999928</v>
      </c>
      <c r="J308" s="279"/>
      <c r="K308" s="279"/>
      <c r="L308" s="269">
        <f>-SUM(G301:G302)</f>
        <v>-28029094</v>
      </c>
      <c r="M308" s="281" t="s">
        <v>35</v>
      </c>
      <c r="N308" s="213"/>
      <c r="O308" s="278"/>
      <c r="P308" s="246"/>
    </row>
    <row r="309" spans="1:16" ht="12" customHeight="1" thickBot="1" x14ac:dyDescent="0.3">
      <c r="A309" s="212"/>
      <c r="B309" s="226"/>
      <c r="C309" s="226"/>
      <c r="D309" s="226"/>
      <c r="E309" s="226"/>
      <c r="F309" s="226"/>
      <c r="G309" s="226"/>
      <c r="H309" s="226"/>
      <c r="I309" s="226"/>
      <c r="J309" s="226"/>
      <c r="K309" s="226"/>
      <c r="L309" s="269"/>
      <c r="M309" s="281"/>
      <c r="N309" s="213"/>
      <c r="O309" s="278"/>
      <c r="P309" s="246"/>
    </row>
    <row r="310" spans="1:16" ht="12" customHeight="1" thickBot="1" x14ac:dyDescent="0.3">
      <c r="A310" s="212"/>
      <c r="B310" s="226"/>
      <c r="C310" s="226"/>
      <c r="D310" s="226"/>
      <c r="E310" s="226"/>
      <c r="F310" s="226"/>
      <c r="G310" s="282" t="s">
        <v>30</v>
      </c>
      <c r="H310" s="282"/>
      <c r="I310" s="282"/>
      <c r="J310" s="282"/>
      <c r="K310" s="283"/>
      <c r="L310" s="284">
        <f>SUM(L295,L308)</f>
        <v>239735981.81999999</v>
      </c>
      <c r="M310" s="285" t="s">
        <v>107</v>
      </c>
      <c r="N310" s="213"/>
      <c r="O310" s="278"/>
      <c r="P310" s="246"/>
    </row>
    <row r="311" spans="1:16" ht="12" customHeight="1" thickBot="1" x14ac:dyDescent="0.3">
      <c r="A311" s="212"/>
      <c r="B311" s="226"/>
      <c r="C311" s="226"/>
      <c r="D311" s="226"/>
      <c r="E311" s="226"/>
      <c r="F311" s="226"/>
      <c r="G311" s="226"/>
      <c r="H311" s="27"/>
      <c r="I311" s="213"/>
      <c r="J311" s="213"/>
      <c r="K311" s="213"/>
      <c r="L311" s="213"/>
      <c r="M311" s="213"/>
      <c r="N311" s="213"/>
      <c r="O311" s="278"/>
      <c r="P311" s="246"/>
    </row>
    <row r="312" spans="1:16" ht="12" customHeight="1" thickBot="1" x14ac:dyDescent="0.3">
      <c r="A312" s="212"/>
      <c r="B312" s="226"/>
      <c r="C312" s="213"/>
      <c r="D312" s="286"/>
      <c r="E312" s="226"/>
      <c r="F312" s="226"/>
      <c r="G312" s="278"/>
      <c r="H312" s="278"/>
      <c r="I312" s="274" t="s">
        <v>91</v>
      </c>
      <c r="J312" s="213"/>
      <c r="K312" s="213"/>
      <c r="L312" s="287">
        <f>L295</f>
        <v>267765075.81999999</v>
      </c>
      <c r="M312" s="285" t="s">
        <v>40</v>
      </c>
      <c r="N312" s="278"/>
      <c r="O312" s="278"/>
      <c r="P312" s="246"/>
    </row>
    <row r="313" spans="1:16" ht="12" customHeight="1" x14ac:dyDescent="0.25">
      <c r="A313" s="212"/>
      <c r="B313" s="213"/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45"/>
      <c r="P313" s="246"/>
    </row>
    <row r="314" spans="1:16" ht="12" customHeight="1" x14ac:dyDescent="0.25">
      <c r="A314" s="212"/>
      <c r="B314" s="213"/>
      <c r="C314" s="288" t="s">
        <v>78</v>
      </c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45"/>
      <c r="P314" s="246"/>
    </row>
    <row r="315" spans="1:16" ht="12" customHeight="1" x14ac:dyDescent="0.25">
      <c r="A315" s="212"/>
      <c r="B315" s="213"/>
      <c r="C315" s="285" t="s">
        <v>119</v>
      </c>
      <c r="D315" s="286"/>
      <c r="E315" s="226"/>
      <c r="F315" s="226"/>
      <c r="G315" s="226"/>
      <c r="H315" s="226"/>
      <c r="I315" s="213"/>
      <c r="J315" s="213"/>
      <c r="K315" s="213"/>
      <c r="L315" s="213"/>
      <c r="M315" s="213"/>
      <c r="N315" s="213"/>
      <c r="O315" s="245"/>
      <c r="P315" s="246"/>
    </row>
    <row r="316" spans="1:16" ht="12" customHeight="1" x14ac:dyDescent="0.25">
      <c r="A316" s="212"/>
      <c r="B316" s="213"/>
      <c r="C316" s="273" t="s">
        <v>109</v>
      </c>
      <c r="D316" s="273"/>
      <c r="E316" s="286">
        <v>349393</v>
      </c>
      <c r="F316" s="273"/>
      <c r="G316" s="273"/>
      <c r="H316" s="273"/>
      <c r="I316" s="213"/>
      <c r="J316" s="213"/>
      <c r="K316" s="213"/>
      <c r="L316" s="213"/>
      <c r="M316" s="213"/>
      <c r="N316" s="213"/>
      <c r="O316" s="245"/>
      <c r="P316" s="246"/>
    </row>
    <row r="317" spans="1:16" ht="12" customHeight="1" thickBot="1" x14ac:dyDescent="0.3">
      <c r="A317" s="212"/>
      <c r="B317" s="213"/>
      <c r="C317" s="289" t="s">
        <v>110</v>
      </c>
      <c r="D317" s="290"/>
      <c r="E317" s="291">
        <v>45000</v>
      </c>
      <c r="F317" s="244"/>
      <c r="G317" s="244"/>
      <c r="H317" s="244"/>
      <c r="I317" s="213"/>
      <c r="J317" s="213"/>
      <c r="K317" s="213"/>
      <c r="L317" s="213"/>
      <c r="M317" s="213"/>
      <c r="N317" s="213"/>
      <c r="O317" s="245"/>
      <c r="P317" s="246"/>
    </row>
    <row r="318" spans="1:16" ht="12" customHeight="1" thickTop="1" x14ac:dyDescent="0.25">
      <c r="A318" s="212"/>
      <c r="B318" s="213"/>
      <c r="C318" s="244" t="s">
        <v>111</v>
      </c>
      <c r="D318" s="244"/>
      <c r="E318" s="292">
        <f>SUM(E316:E317)</f>
        <v>394393</v>
      </c>
      <c r="F318" s="244"/>
      <c r="G318" s="244"/>
      <c r="H318" s="244"/>
      <c r="I318" s="213"/>
      <c r="J318" s="213"/>
      <c r="K318" s="213"/>
      <c r="L318" s="213"/>
      <c r="M318" s="213"/>
      <c r="N318" s="213"/>
      <c r="O318" s="245"/>
      <c r="P318" s="246"/>
    </row>
    <row r="319" spans="1:16" ht="12" customHeight="1" x14ac:dyDescent="0.25">
      <c r="A319" s="212"/>
      <c r="B319" s="213"/>
      <c r="C319" s="244"/>
      <c r="D319" s="244"/>
      <c r="E319" s="244"/>
      <c r="F319" s="244"/>
      <c r="G319" s="244"/>
      <c r="H319" s="244"/>
      <c r="I319" s="213"/>
      <c r="J319" s="213"/>
      <c r="K319" s="213"/>
      <c r="L319" s="213"/>
      <c r="M319" s="213"/>
      <c r="N319" s="213"/>
      <c r="O319" s="245"/>
      <c r="P319" s="246"/>
    </row>
    <row r="320" spans="1:16" ht="12" customHeight="1" x14ac:dyDescent="0.25">
      <c r="A320" s="212"/>
      <c r="B320" s="213"/>
      <c r="C320" s="213"/>
      <c r="D320" s="213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45"/>
      <c r="P320" s="246"/>
    </row>
    <row r="321" spans="1:16" ht="12" customHeight="1" thickBot="1" x14ac:dyDescent="0.3">
      <c r="A321" s="247"/>
      <c r="B321" s="248"/>
      <c r="C321" s="248"/>
      <c r="D321" s="248"/>
      <c r="E321" s="248"/>
      <c r="F321" s="248"/>
      <c r="G321" s="248"/>
      <c r="H321" s="248"/>
      <c r="I321" s="248"/>
      <c r="J321" s="248"/>
      <c r="K321" s="248"/>
      <c r="L321" s="248"/>
      <c r="M321" s="248"/>
      <c r="N321" s="248"/>
      <c r="O321" s="249"/>
      <c r="P321" s="250"/>
    </row>
    <row r="322" spans="1:16" ht="12" customHeight="1" thickTop="1" thickBot="1" x14ac:dyDescent="0.3">
      <c r="A322" s="251"/>
      <c r="B322" s="91"/>
      <c r="C322" s="91"/>
      <c r="D322" s="91"/>
      <c r="E322" s="91"/>
      <c r="F322" s="91"/>
      <c r="G322" s="92"/>
      <c r="H322" s="92"/>
      <c r="I322" s="92"/>
      <c r="J322" s="92"/>
      <c r="K322" s="92"/>
      <c r="L322" s="93"/>
      <c r="M322" s="93"/>
      <c r="N322" s="93"/>
      <c r="O322" s="93"/>
      <c r="P322" s="94"/>
    </row>
    <row r="323" spans="1:16" ht="12" customHeight="1" thickBot="1" x14ac:dyDescent="0.3">
      <c r="A323" s="252" t="s">
        <v>156</v>
      </c>
      <c r="B323" s="199"/>
      <c r="C323" s="199" t="s">
        <v>20</v>
      </c>
      <c r="D323" s="199"/>
      <c r="E323" s="199"/>
      <c r="F323" s="199"/>
      <c r="G323" s="253"/>
      <c r="H323" s="253"/>
      <c r="I323" s="253"/>
      <c r="J323" s="253"/>
      <c r="K323" s="253"/>
      <c r="L323" s="254">
        <f>SUM(G324,F331)</f>
        <v>280251133.81999999</v>
      </c>
      <c r="M323" s="255"/>
      <c r="N323" s="255"/>
      <c r="O323" s="256">
        <f>L323-SUM(G329:G330)</f>
        <v>242735981.81999999</v>
      </c>
      <c r="P323" s="257" t="s">
        <v>143</v>
      </c>
    </row>
    <row r="324" spans="1:16" ht="12" customHeight="1" x14ac:dyDescent="0.25">
      <c r="A324" s="203"/>
      <c r="B324" s="27"/>
      <c r="C324" s="27" t="s">
        <v>21</v>
      </c>
      <c r="D324" s="27"/>
      <c r="E324" s="27" t="s">
        <v>84</v>
      </c>
      <c r="F324" s="27"/>
      <c r="G324" s="258">
        <f>G296+3000000</f>
        <v>78540637.819999993</v>
      </c>
      <c r="H324" s="259"/>
      <c r="I324" s="259"/>
      <c r="J324" s="259"/>
      <c r="K324" s="259"/>
      <c r="L324" s="213"/>
      <c r="M324" s="260"/>
      <c r="N324" s="260"/>
      <c r="O324" s="245"/>
      <c r="P324" s="261"/>
    </row>
    <row r="325" spans="1:16" ht="12" customHeight="1" x14ac:dyDescent="0.25">
      <c r="A325" s="203"/>
      <c r="B325" s="27"/>
      <c r="C325" s="27" t="s">
        <v>10</v>
      </c>
      <c r="D325" s="27"/>
      <c r="E325" s="27"/>
      <c r="F325" s="27"/>
      <c r="G325" s="259"/>
      <c r="H325" s="259"/>
      <c r="I325" s="258">
        <f>G324-G296</f>
        <v>3000000</v>
      </c>
      <c r="J325" s="259"/>
      <c r="K325" s="262">
        <f>I325/G324</f>
        <v>3.8196786826144982E-2</v>
      </c>
      <c r="L325" s="263" t="s">
        <v>12</v>
      </c>
      <c r="M325" s="260">
        <f>G324/L323</f>
        <v>0.28025091905763766</v>
      </c>
      <c r="N325" s="213"/>
      <c r="O325" s="245"/>
      <c r="P325" s="261"/>
    </row>
    <row r="326" spans="1:16" ht="12" customHeight="1" thickBot="1" x14ac:dyDescent="0.3">
      <c r="A326" s="203"/>
      <c r="B326" s="27"/>
      <c r="C326" s="27"/>
      <c r="D326" s="27"/>
      <c r="E326" s="27"/>
      <c r="F326" s="27"/>
      <c r="G326" s="259"/>
      <c r="H326" s="259"/>
      <c r="I326" s="226"/>
      <c r="J326" s="226"/>
      <c r="K326" s="264"/>
      <c r="L326" s="265"/>
      <c r="M326" s="213"/>
      <c r="N326" s="213"/>
      <c r="O326" s="245"/>
      <c r="P326" s="261"/>
    </row>
    <row r="327" spans="1:16" ht="12" customHeight="1" x14ac:dyDescent="0.25">
      <c r="A327" s="212"/>
      <c r="B327" s="213"/>
      <c r="C327" s="27" t="s">
        <v>157</v>
      </c>
      <c r="D327" s="27"/>
      <c r="E327" s="27"/>
      <c r="F327" s="27"/>
      <c r="G327" s="214">
        <f>G299</f>
        <v>164195344</v>
      </c>
      <c r="H327" s="213"/>
      <c r="I327" s="213"/>
      <c r="J327" s="213"/>
      <c r="K327" s="264"/>
      <c r="L327" s="265"/>
      <c r="M327" s="213"/>
      <c r="N327" s="260"/>
      <c r="O327" s="245"/>
      <c r="P327" s="261"/>
    </row>
    <row r="328" spans="1:16" ht="12" customHeight="1" thickBot="1" x14ac:dyDescent="0.3">
      <c r="A328" s="212"/>
      <c r="B328" s="213"/>
      <c r="C328" s="266" t="s">
        <v>158</v>
      </c>
      <c r="D328" s="266"/>
      <c r="E328" s="266"/>
      <c r="F328" s="266"/>
      <c r="G328" s="267">
        <v>0</v>
      </c>
      <c r="H328" s="213"/>
      <c r="I328" s="213"/>
      <c r="J328" s="213"/>
      <c r="K328" s="264"/>
      <c r="L328" s="265"/>
      <c r="M328" s="260"/>
      <c r="N328" s="260"/>
      <c r="O328" s="245"/>
      <c r="P328" s="261"/>
    </row>
    <row r="329" spans="1:16" ht="12" customHeight="1" thickBot="1" x14ac:dyDescent="0.3">
      <c r="A329" s="212"/>
      <c r="B329" s="213"/>
      <c r="C329" s="27" t="s">
        <v>159</v>
      </c>
      <c r="D329" s="27"/>
      <c r="E329" s="27"/>
      <c r="F329" s="27"/>
      <c r="G329" s="214">
        <f>O304</f>
        <v>28029094</v>
      </c>
      <c r="H329" s="213"/>
      <c r="I329" s="213"/>
      <c r="J329" s="213"/>
      <c r="K329" s="264"/>
      <c r="L329" s="265"/>
      <c r="M329" s="213"/>
      <c r="N329" s="260"/>
      <c r="O329" s="245"/>
      <c r="P329" s="261"/>
    </row>
    <row r="330" spans="1:16" ht="12" customHeight="1" thickBot="1" x14ac:dyDescent="0.3">
      <c r="A330" s="212"/>
      <c r="B330" s="213"/>
      <c r="C330" s="266" t="s">
        <v>160</v>
      </c>
      <c r="D330" s="266"/>
      <c r="E330" s="266"/>
      <c r="F330" s="266"/>
      <c r="G330" s="293">
        <f>37282798-28029094+232354</f>
        <v>9486058</v>
      </c>
      <c r="H330" s="27"/>
      <c r="I330" s="213"/>
      <c r="J330" s="213"/>
      <c r="K330" s="264"/>
      <c r="L330" s="265"/>
      <c r="M330" s="213"/>
      <c r="N330" s="260"/>
      <c r="O330" s="245"/>
      <c r="P330" s="261"/>
    </row>
    <row r="331" spans="1:16" ht="12" customHeight="1" thickBot="1" x14ac:dyDescent="0.3">
      <c r="A331" s="212"/>
      <c r="B331" s="213"/>
      <c r="C331" s="27"/>
      <c r="D331" s="505" t="s">
        <v>15</v>
      </c>
      <c r="E331" s="505"/>
      <c r="F331" s="254">
        <f>SUM(G327:G330)</f>
        <v>201710496</v>
      </c>
      <c r="G331" s="258"/>
      <c r="H331" s="213"/>
      <c r="I331" s="213"/>
      <c r="J331" s="213"/>
      <c r="K331" s="264"/>
      <c r="L331" s="265"/>
      <c r="M331" s="260">
        <f>F331/L323</f>
        <v>0.71974908094236234</v>
      </c>
      <c r="N331" s="260"/>
      <c r="O331" s="245"/>
      <c r="P331" s="261"/>
    </row>
    <row r="332" spans="1:16" ht="12" customHeight="1" x14ac:dyDescent="0.25">
      <c r="A332" s="212"/>
      <c r="B332" s="27"/>
      <c r="C332" s="27" t="s">
        <v>10</v>
      </c>
      <c r="D332" s="27"/>
      <c r="E332" s="27"/>
      <c r="F332" s="27"/>
      <c r="G332" s="259"/>
      <c r="H332" s="259"/>
      <c r="I332" s="269">
        <f>F331-F303</f>
        <v>9486058</v>
      </c>
      <c r="J332" s="259"/>
      <c r="K332" s="270">
        <f>I332/F303</f>
        <v>4.9348865829432154E-2</v>
      </c>
      <c r="L332" s="263" t="s">
        <v>12</v>
      </c>
      <c r="M332" s="213"/>
      <c r="N332" s="213"/>
      <c r="O332" s="271">
        <f>SUM(G329:G330)</f>
        <v>37515152</v>
      </c>
      <c r="P332" s="272" t="s">
        <v>148</v>
      </c>
    </row>
    <row r="333" spans="1:16" ht="12" customHeight="1" thickBot="1" x14ac:dyDescent="0.3">
      <c r="A333" s="212"/>
      <c r="B333" s="213"/>
      <c r="C333" s="27"/>
      <c r="D333" s="27"/>
      <c r="E333" s="27"/>
      <c r="F333" s="27"/>
      <c r="G333" s="27"/>
      <c r="H333" s="259"/>
      <c r="I333" s="273"/>
      <c r="J333" s="273"/>
      <c r="K333" s="213"/>
      <c r="L333" s="213"/>
      <c r="M333" s="213"/>
      <c r="N333" s="213"/>
      <c r="O333" s="245"/>
      <c r="P333" s="261"/>
    </row>
    <row r="334" spans="1:16" ht="12" customHeight="1" thickBot="1" x14ac:dyDescent="0.3">
      <c r="A334" s="212"/>
      <c r="B334" s="213"/>
      <c r="C334" s="274" t="s">
        <v>155</v>
      </c>
      <c r="D334" s="274"/>
      <c r="E334" s="274"/>
      <c r="F334" s="274"/>
      <c r="G334" s="226"/>
      <c r="H334" s="27"/>
      <c r="I334" s="213"/>
      <c r="J334" s="273"/>
      <c r="K334" s="506" t="s">
        <v>18</v>
      </c>
      <c r="L334" s="506"/>
      <c r="M334" s="506"/>
      <c r="N334" s="507"/>
      <c r="O334" s="275">
        <f>I336</f>
        <v>12486058</v>
      </c>
      <c r="P334" s="276">
        <f>O334/L295</f>
        <v>4.6630644275631808E-2</v>
      </c>
    </row>
    <row r="335" spans="1:16" ht="12" customHeight="1" thickBot="1" x14ac:dyDescent="0.3">
      <c r="A335" s="212"/>
      <c r="B335" s="226"/>
      <c r="C335" s="226"/>
      <c r="D335" s="226"/>
      <c r="E335" s="226"/>
      <c r="F335" s="226"/>
      <c r="G335" s="226"/>
      <c r="H335" s="259"/>
      <c r="I335" s="259"/>
      <c r="J335" s="259"/>
      <c r="K335" s="259"/>
      <c r="L335" s="277"/>
      <c r="M335" s="213"/>
      <c r="N335" s="213"/>
      <c r="O335" s="278"/>
      <c r="P335" s="246"/>
    </row>
    <row r="336" spans="1:16" ht="12" customHeight="1" thickBot="1" x14ac:dyDescent="0.3">
      <c r="A336" s="212"/>
      <c r="B336" s="226"/>
      <c r="C336" s="226"/>
      <c r="D336" s="226"/>
      <c r="E336" s="226"/>
      <c r="F336" s="226"/>
      <c r="G336" s="226"/>
      <c r="H336" s="279"/>
      <c r="I336" s="280">
        <f>SUM(I325,I332)</f>
        <v>12486058</v>
      </c>
      <c r="J336" s="279"/>
      <c r="K336" s="279"/>
      <c r="L336" s="269">
        <f>-SUM(G329:G330)</f>
        <v>-37515152</v>
      </c>
      <c r="M336" s="281" t="s">
        <v>35</v>
      </c>
      <c r="N336" s="213"/>
      <c r="O336" s="278"/>
      <c r="P336" s="246"/>
    </row>
    <row r="337" spans="1:16" ht="12" customHeight="1" thickBot="1" x14ac:dyDescent="0.3">
      <c r="A337" s="212"/>
      <c r="B337" s="226"/>
      <c r="C337" s="226"/>
      <c r="D337" s="226"/>
      <c r="E337" s="226"/>
      <c r="F337" s="226"/>
      <c r="G337" s="226"/>
      <c r="H337" s="226"/>
      <c r="I337" s="226"/>
      <c r="J337" s="226"/>
      <c r="K337" s="226"/>
      <c r="L337" s="269"/>
      <c r="M337" s="281"/>
      <c r="N337" s="213"/>
      <c r="O337" s="278"/>
      <c r="P337" s="246"/>
    </row>
    <row r="338" spans="1:16" ht="12" customHeight="1" thickBot="1" x14ac:dyDescent="0.3">
      <c r="A338" s="212"/>
      <c r="B338" s="226"/>
      <c r="C338" s="226"/>
      <c r="D338" s="226"/>
      <c r="E338" s="226"/>
      <c r="F338" s="226"/>
      <c r="G338" s="282" t="s">
        <v>30</v>
      </c>
      <c r="H338" s="282"/>
      <c r="I338" s="282"/>
      <c r="J338" s="282"/>
      <c r="K338" s="283"/>
      <c r="L338" s="284">
        <f>SUM(L323,L336)</f>
        <v>242735981.81999999</v>
      </c>
      <c r="M338" s="285" t="s">
        <v>107</v>
      </c>
      <c r="N338" s="213"/>
      <c r="O338" s="278"/>
      <c r="P338" s="246"/>
    </row>
    <row r="339" spans="1:16" ht="12" customHeight="1" thickBot="1" x14ac:dyDescent="0.3">
      <c r="A339" s="212"/>
      <c r="B339" s="226"/>
      <c r="C339" s="226"/>
      <c r="D339" s="226"/>
      <c r="E339" s="226"/>
      <c r="F339" s="226"/>
      <c r="G339" s="226"/>
      <c r="H339" s="27"/>
      <c r="I339" s="213"/>
      <c r="J339" s="213"/>
      <c r="K339" s="213"/>
      <c r="L339" s="213"/>
      <c r="M339" s="213"/>
      <c r="N339" s="213"/>
      <c r="O339" s="278"/>
      <c r="P339" s="246"/>
    </row>
    <row r="340" spans="1:16" ht="12" customHeight="1" thickBot="1" x14ac:dyDescent="0.3">
      <c r="A340" s="212"/>
      <c r="B340" s="226"/>
      <c r="C340" s="213"/>
      <c r="D340" s="286"/>
      <c r="E340" s="226"/>
      <c r="F340" s="226"/>
      <c r="G340" s="278"/>
      <c r="H340" s="278"/>
      <c r="I340" s="274" t="s">
        <v>91</v>
      </c>
      <c r="J340" s="213"/>
      <c r="K340" s="213"/>
      <c r="L340" s="287">
        <f>L323</f>
        <v>280251133.81999999</v>
      </c>
      <c r="M340" s="285" t="s">
        <v>40</v>
      </c>
      <c r="N340" s="278"/>
      <c r="O340" s="278"/>
      <c r="P340" s="246"/>
    </row>
    <row r="341" spans="1:16" ht="12" customHeight="1" x14ac:dyDescent="0.25">
      <c r="A341" s="212"/>
      <c r="B341" s="213"/>
      <c r="C341" s="213"/>
      <c r="D341" s="213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45"/>
      <c r="P341" s="246"/>
    </row>
    <row r="342" spans="1:16" ht="12" customHeight="1" x14ac:dyDescent="0.25">
      <c r="A342" s="212"/>
      <c r="B342" s="213"/>
      <c r="C342" s="288" t="s">
        <v>78</v>
      </c>
      <c r="D342" s="213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45"/>
      <c r="P342" s="246"/>
    </row>
    <row r="343" spans="1:16" ht="12" customHeight="1" x14ac:dyDescent="0.25">
      <c r="A343" s="212"/>
      <c r="B343" s="213"/>
      <c r="C343" s="285" t="s">
        <v>119</v>
      </c>
      <c r="D343" s="286"/>
      <c r="E343" s="226"/>
      <c r="F343" s="226"/>
      <c r="G343" s="226"/>
      <c r="H343" s="226"/>
      <c r="I343" s="213"/>
      <c r="J343" s="213"/>
      <c r="K343" s="213"/>
      <c r="L343" s="213"/>
      <c r="M343" s="213"/>
      <c r="N343" s="213"/>
      <c r="O343" s="245"/>
      <c r="P343" s="246"/>
    </row>
    <row r="344" spans="1:16" ht="12" customHeight="1" x14ac:dyDescent="0.25">
      <c r="A344" s="212"/>
      <c r="B344" s="213"/>
      <c r="C344" s="273" t="s">
        <v>109</v>
      </c>
      <c r="D344" s="273"/>
      <c r="E344" s="286">
        <v>349393</v>
      </c>
      <c r="F344" s="273"/>
      <c r="G344" s="273"/>
      <c r="H344" s="273"/>
      <c r="I344" s="213"/>
      <c r="J344" s="213"/>
      <c r="K344" s="213"/>
      <c r="L344" s="213"/>
      <c r="M344" s="213"/>
      <c r="N344" s="213"/>
      <c r="O344" s="245"/>
      <c r="P344" s="246"/>
    </row>
    <row r="345" spans="1:16" ht="12" customHeight="1" thickBot="1" x14ac:dyDescent="0.3">
      <c r="A345" s="212"/>
      <c r="B345" s="213"/>
      <c r="C345" s="289" t="s">
        <v>110</v>
      </c>
      <c r="D345" s="290"/>
      <c r="E345" s="291">
        <v>45000</v>
      </c>
      <c r="F345" s="244"/>
      <c r="G345" s="244"/>
      <c r="H345" s="244"/>
      <c r="I345" s="213"/>
      <c r="J345" s="213"/>
      <c r="K345" s="213"/>
      <c r="L345" s="213"/>
      <c r="M345" s="213"/>
      <c r="N345" s="213"/>
      <c r="O345" s="245"/>
      <c r="P345" s="246"/>
    </row>
    <row r="346" spans="1:16" ht="12" customHeight="1" thickTop="1" x14ac:dyDescent="0.25">
      <c r="A346" s="212"/>
      <c r="B346" s="213"/>
      <c r="C346" s="244" t="s">
        <v>111</v>
      </c>
      <c r="D346" s="244"/>
      <c r="E346" s="292">
        <f>SUM(E344:E345)</f>
        <v>394393</v>
      </c>
      <c r="F346" s="244"/>
      <c r="G346" s="244"/>
      <c r="H346" s="244"/>
      <c r="I346" s="213"/>
      <c r="J346" s="213"/>
      <c r="K346" s="213"/>
      <c r="L346" s="213"/>
      <c r="M346" s="213"/>
      <c r="N346" s="213"/>
      <c r="O346" s="245"/>
      <c r="P346" s="246"/>
    </row>
    <row r="347" spans="1:16" ht="12" customHeight="1" x14ac:dyDescent="0.25">
      <c r="A347" s="212"/>
      <c r="B347" s="213"/>
      <c r="C347" s="244"/>
      <c r="D347" s="244"/>
      <c r="E347" s="292"/>
      <c r="F347" s="244"/>
      <c r="G347" s="244"/>
      <c r="H347" s="244"/>
      <c r="I347" s="213"/>
      <c r="J347" s="213"/>
      <c r="K347" s="213"/>
      <c r="L347" s="213"/>
      <c r="M347" s="213"/>
      <c r="N347" s="213"/>
      <c r="O347" s="245"/>
      <c r="P347" s="246"/>
    </row>
    <row r="348" spans="1:16" ht="12" customHeight="1" x14ac:dyDescent="0.25">
      <c r="A348" s="212"/>
      <c r="B348" s="213"/>
      <c r="C348" s="244"/>
      <c r="D348" s="244"/>
      <c r="E348" s="244"/>
      <c r="F348" s="244"/>
      <c r="G348" s="244"/>
      <c r="H348" s="244"/>
      <c r="I348" s="213"/>
      <c r="J348" s="213"/>
      <c r="K348" s="213"/>
      <c r="L348" s="213"/>
      <c r="M348" s="213"/>
      <c r="N348" s="213"/>
      <c r="O348" s="245"/>
      <c r="P348" s="246"/>
    </row>
    <row r="349" spans="1:16" ht="12" customHeight="1" thickBot="1" x14ac:dyDescent="0.3">
      <c r="A349" s="294"/>
      <c r="B349" s="295"/>
      <c r="C349" s="295"/>
      <c r="D349" s="295"/>
      <c r="E349" s="295"/>
      <c r="F349" s="295"/>
      <c r="G349" s="295"/>
      <c r="H349" s="295"/>
      <c r="I349" s="295"/>
      <c r="J349" s="295"/>
      <c r="K349" s="295"/>
      <c r="L349" s="295"/>
      <c r="M349" s="295"/>
      <c r="N349" s="295"/>
      <c r="O349" s="296"/>
      <c r="P349" s="297"/>
    </row>
    <row r="350" spans="1:16" ht="12" customHeight="1" thickBot="1" x14ac:dyDescent="0.3">
      <c r="A350" s="251"/>
      <c r="B350" s="91"/>
      <c r="C350" s="91"/>
      <c r="D350" s="91"/>
      <c r="E350" s="91"/>
      <c r="F350" s="91"/>
      <c r="G350" s="92"/>
      <c r="H350" s="92"/>
      <c r="I350" s="92"/>
      <c r="J350" s="92"/>
      <c r="K350" s="92"/>
      <c r="L350" s="93"/>
      <c r="M350" s="93"/>
      <c r="N350" s="93"/>
      <c r="O350" s="93"/>
      <c r="P350" s="94"/>
    </row>
    <row r="351" spans="1:16" ht="12" customHeight="1" thickBot="1" x14ac:dyDescent="0.3">
      <c r="A351" s="198" t="s">
        <v>161</v>
      </c>
      <c r="B351" s="199"/>
      <c r="C351" s="199" t="s">
        <v>20</v>
      </c>
      <c r="D351" s="199"/>
      <c r="E351" s="199"/>
      <c r="F351" s="199"/>
      <c r="G351" s="253"/>
      <c r="H351" s="253"/>
      <c r="I351" s="253"/>
      <c r="J351" s="253"/>
      <c r="K351" s="253"/>
      <c r="L351" s="254">
        <f>SUM(G352,F359)</f>
        <v>294461994.81999999</v>
      </c>
      <c r="M351" s="255"/>
      <c r="N351" s="255"/>
      <c r="O351" s="298">
        <f>L351-SUM(G357:G359)</f>
        <v>245860981.81999999</v>
      </c>
      <c r="P351" s="299" t="s">
        <v>143</v>
      </c>
    </row>
    <row r="352" spans="1:16" ht="12" customHeight="1" x14ac:dyDescent="0.25">
      <c r="A352" s="203"/>
      <c r="B352" s="27"/>
      <c r="C352" s="27" t="s">
        <v>21</v>
      </c>
      <c r="D352" s="27"/>
      <c r="E352" s="27" t="s">
        <v>84</v>
      </c>
      <c r="F352" s="27"/>
      <c r="G352" s="258">
        <f>G324+I353</f>
        <v>81665637.819999993</v>
      </c>
      <c r="H352" s="259"/>
      <c r="I352" s="259"/>
      <c r="J352" s="259"/>
      <c r="K352" s="259"/>
      <c r="L352" s="213"/>
      <c r="M352" s="260"/>
      <c r="N352" s="260"/>
      <c r="O352" s="245"/>
      <c r="P352" s="261"/>
    </row>
    <row r="353" spans="1:16" ht="12" customHeight="1" x14ac:dyDescent="0.25">
      <c r="A353" s="203"/>
      <c r="B353" s="27"/>
      <c r="C353" s="27" t="s">
        <v>10</v>
      </c>
      <c r="D353" s="27"/>
      <c r="E353" s="27"/>
      <c r="F353" s="27"/>
      <c r="G353" s="259"/>
      <c r="H353" s="258" t="s">
        <v>162</v>
      </c>
      <c r="I353" s="258">
        <v>3125000</v>
      </c>
      <c r="J353" s="259"/>
      <c r="K353" s="262">
        <f>I353/G352</f>
        <v>3.8265788199534329E-2</v>
      </c>
      <c r="L353" s="263" t="s">
        <v>12</v>
      </c>
      <c r="M353" s="260">
        <f>G352/L351</f>
        <v>0.27733846559696412</v>
      </c>
      <c r="N353" s="213"/>
      <c r="O353" s="245"/>
      <c r="P353" s="261"/>
    </row>
    <row r="354" spans="1:16" ht="12" customHeight="1" thickBot="1" x14ac:dyDescent="0.3">
      <c r="A354" s="203"/>
      <c r="B354" s="27"/>
      <c r="C354" s="27"/>
      <c r="D354" s="27"/>
      <c r="E354" s="27"/>
      <c r="F354" s="27"/>
      <c r="G354" s="259"/>
      <c r="H354" s="259"/>
      <c r="I354" s="226"/>
      <c r="J354" s="226"/>
      <c r="K354" s="264"/>
      <c r="L354" s="265"/>
      <c r="M354" s="213"/>
      <c r="N354" s="213"/>
      <c r="O354" s="245"/>
      <c r="P354" s="261"/>
    </row>
    <row r="355" spans="1:16" ht="12" customHeight="1" x14ac:dyDescent="0.25">
      <c r="A355" s="212"/>
      <c r="B355" s="213"/>
      <c r="C355" s="27" t="s">
        <v>157</v>
      </c>
      <c r="D355" s="27"/>
      <c r="E355" s="27"/>
      <c r="F355" s="27"/>
      <c r="G355" s="300">
        <f>G327</f>
        <v>164195344</v>
      </c>
      <c r="H355" s="213"/>
      <c r="I355" s="213"/>
      <c r="J355" s="213"/>
      <c r="K355" s="264"/>
      <c r="L355" s="265"/>
      <c r="M355" s="213"/>
      <c r="N355" s="260"/>
      <c r="O355" s="245"/>
      <c r="P355" s="261"/>
    </row>
    <row r="356" spans="1:16" ht="12" customHeight="1" thickBot="1" x14ac:dyDescent="0.3">
      <c r="A356" s="212"/>
      <c r="B356" s="213"/>
      <c r="C356" s="301" t="s">
        <v>158</v>
      </c>
      <c r="D356" s="301"/>
      <c r="E356" s="301"/>
      <c r="F356" s="301"/>
      <c r="G356" s="302">
        <v>0</v>
      </c>
      <c r="H356" s="213"/>
      <c r="I356" s="213"/>
      <c r="J356" s="213"/>
      <c r="K356" s="264"/>
      <c r="L356" s="265"/>
      <c r="M356" s="260"/>
      <c r="N356" s="260"/>
      <c r="O356" s="245"/>
      <c r="P356" s="261"/>
    </row>
    <row r="357" spans="1:16" ht="12" customHeight="1" thickBot="1" x14ac:dyDescent="0.3">
      <c r="A357" s="212"/>
      <c r="B357" s="213"/>
      <c r="C357" s="27" t="s">
        <v>159</v>
      </c>
      <c r="D357" s="27"/>
      <c r="E357" s="27"/>
      <c r="F357" s="27"/>
      <c r="G357" s="300">
        <f>O332</f>
        <v>37515152</v>
      </c>
      <c r="H357" s="213"/>
      <c r="I357" s="213"/>
      <c r="J357" s="213"/>
      <c r="K357" s="264"/>
      <c r="L357" s="265"/>
      <c r="M357" s="213"/>
      <c r="N357" s="260"/>
      <c r="O357" s="245"/>
      <c r="P357" s="261"/>
    </row>
    <row r="358" spans="1:16" ht="12" customHeight="1" thickBot="1" x14ac:dyDescent="0.3">
      <c r="A358" s="212"/>
      <c r="B358" s="213"/>
      <c r="C358" s="301" t="s">
        <v>160</v>
      </c>
      <c r="D358" s="301"/>
      <c r="E358" s="301"/>
      <c r="F358" s="301"/>
      <c r="G358" s="293">
        <v>11085861</v>
      </c>
      <c r="H358" s="27"/>
      <c r="I358" s="213"/>
      <c r="J358" s="213"/>
      <c r="K358" s="264"/>
      <c r="L358" s="265"/>
      <c r="M358" s="213"/>
      <c r="N358" s="260"/>
      <c r="O358" s="245"/>
      <c r="P358" s="261"/>
    </row>
    <row r="359" spans="1:16" ht="12" customHeight="1" thickBot="1" x14ac:dyDescent="0.35">
      <c r="A359" s="212"/>
      <c r="B359" s="213"/>
      <c r="C359" s="27"/>
      <c r="D359" s="505" t="s">
        <v>15</v>
      </c>
      <c r="E359" s="505"/>
      <c r="F359" s="254">
        <f>SUM(G355:G359)</f>
        <v>212796357</v>
      </c>
      <c r="G359" s="303"/>
      <c r="H359" s="213"/>
      <c r="I359" s="213"/>
      <c r="J359" s="213"/>
      <c r="K359" s="264"/>
      <c r="L359" s="265"/>
      <c r="M359" s="260">
        <f>F359/L351</f>
        <v>0.72266153440303593</v>
      </c>
      <c r="N359" s="260"/>
      <c r="O359" s="245"/>
      <c r="P359" s="261"/>
    </row>
    <row r="360" spans="1:16" ht="12" customHeight="1" x14ac:dyDescent="0.25">
      <c r="A360" s="212"/>
      <c r="B360" s="27"/>
      <c r="C360" s="27" t="s">
        <v>10</v>
      </c>
      <c r="D360" s="27"/>
      <c r="E360" s="27"/>
      <c r="F360" s="27"/>
      <c r="G360" s="259"/>
      <c r="H360" s="304" t="s">
        <v>163</v>
      </c>
      <c r="I360" s="269">
        <f>F359-F331</f>
        <v>11085861</v>
      </c>
      <c r="J360" s="259"/>
      <c r="K360" s="270">
        <f>I360/F331</f>
        <v>5.4959266968437774E-2</v>
      </c>
      <c r="L360" s="263" t="s">
        <v>12</v>
      </c>
      <c r="M360" s="213"/>
      <c r="N360" s="213"/>
      <c r="O360" s="305">
        <f>SUM(G357:G359)</f>
        <v>48601013</v>
      </c>
      <c r="P360" s="306" t="s">
        <v>148</v>
      </c>
    </row>
    <row r="361" spans="1:16" ht="12" customHeight="1" thickBot="1" x14ac:dyDescent="0.3">
      <c r="A361" s="212"/>
      <c r="B361" s="213"/>
      <c r="C361" s="27"/>
      <c r="D361" s="27"/>
      <c r="E361" s="27"/>
      <c r="F361" s="27"/>
      <c r="G361" s="27"/>
      <c r="H361" s="259"/>
      <c r="I361" s="273"/>
      <c r="J361" s="273"/>
      <c r="K361" s="213"/>
      <c r="L361" s="213"/>
      <c r="M361" s="213"/>
      <c r="N361" s="213"/>
      <c r="O361" s="245"/>
      <c r="P361" s="261"/>
    </row>
    <row r="362" spans="1:16" ht="12" customHeight="1" thickBot="1" x14ac:dyDescent="0.3">
      <c r="A362" s="212"/>
      <c r="B362" s="213"/>
      <c r="C362" s="307" t="s">
        <v>164</v>
      </c>
      <c r="D362" s="307"/>
      <c r="E362" s="307"/>
      <c r="F362" s="307"/>
      <c r="G362" s="226"/>
      <c r="H362" s="27"/>
      <c r="I362" s="213"/>
      <c r="J362" s="273"/>
      <c r="K362" s="508" t="s">
        <v>18</v>
      </c>
      <c r="L362" s="508"/>
      <c r="M362" s="508"/>
      <c r="N362" s="509"/>
      <c r="O362" s="275">
        <f>I364</f>
        <v>14210861</v>
      </c>
      <c r="P362" s="276">
        <f>O362/L323</f>
        <v>5.0707595028419643E-2</v>
      </c>
    </row>
    <row r="363" spans="1:16" ht="12" customHeight="1" thickBot="1" x14ac:dyDescent="0.3">
      <c r="A363" s="212"/>
      <c r="B363" s="226"/>
      <c r="C363" s="226"/>
      <c r="D363" s="226"/>
      <c r="E363" s="226"/>
      <c r="F363" s="226"/>
      <c r="G363" s="226"/>
      <c r="H363" s="259"/>
      <c r="I363" s="259"/>
      <c r="J363" s="259"/>
      <c r="K363" s="259"/>
      <c r="L363" s="277"/>
      <c r="M363" s="213"/>
      <c r="N363" s="213"/>
      <c r="O363" s="278"/>
      <c r="P363" s="246"/>
    </row>
    <row r="364" spans="1:16" ht="12" customHeight="1" thickBot="1" x14ac:dyDescent="0.3">
      <c r="A364" s="212"/>
      <c r="B364" s="226"/>
      <c r="C364" s="226"/>
      <c r="D364" s="226"/>
      <c r="E364" s="226"/>
      <c r="F364" s="226"/>
      <c r="G364" s="226"/>
      <c r="H364" s="308"/>
      <c r="I364" s="309">
        <f>SUM(I353,I360)</f>
        <v>14210861</v>
      </c>
      <c r="J364" s="308"/>
      <c r="K364" s="308"/>
      <c r="L364" s="310">
        <f>-SUM(G357:G359)</f>
        <v>-48601013</v>
      </c>
      <c r="M364" s="311" t="s">
        <v>35</v>
      </c>
      <c r="N364" s="213"/>
      <c r="O364" s="278"/>
      <c r="P364" s="246"/>
    </row>
    <row r="365" spans="1:16" ht="12" customHeight="1" thickBot="1" x14ac:dyDescent="0.3">
      <c r="A365" s="212"/>
      <c r="B365" s="226"/>
      <c r="C365" s="226"/>
      <c r="D365" s="226"/>
      <c r="E365" s="226"/>
      <c r="F365" s="226"/>
      <c r="G365" s="226"/>
      <c r="H365" s="226"/>
      <c r="I365" s="226"/>
      <c r="J365" s="226"/>
      <c r="K365" s="226"/>
      <c r="L365" s="310"/>
      <c r="M365" s="311"/>
      <c r="N365" s="213"/>
      <c r="O365" s="278"/>
      <c r="P365" s="246"/>
    </row>
    <row r="366" spans="1:16" ht="12" customHeight="1" thickBot="1" x14ac:dyDescent="0.3">
      <c r="A366" s="212"/>
      <c r="B366" s="226"/>
      <c r="C366" s="226"/>
      <c r="D366" s="226"/>
      <c r="E366" s="226"/>
      <c r="F366" s="226"/>
      <c r="G366" s="312" t="s">
        <v>165</v>
      </c>
      <c r="H366" s="312"/>
      <c r="I366" s="312"/>
      <c r="J366" s="312"/>
      <c r="K366" s="313"/>
      <c r="L366" s="314">
        <f>SUM(L351,L364)</f>
        <v>245860981.81999999</v>
      </c>
      <c r="M366" s="285" t="s">
        <v>107</v>
      </c>
      <c r="N366" s="213"/>
      <c r="O366" s="278"/>
      <c r="P366" s="246"/>
    </row>
    <row r="367" spans="1:16" ht="12" customHeight="1" thickBot="1" x14ac:dyDescent="0.3">
      <c r="A367" s="212"/>
      <c r="B367" s="226"/>
      <c r="C367" s="226"/>
      <c r="D367" s="226"/>
      <c r="E367" s="226"/>
      <c r="F367" s="226"/>
      <c r="G367" s="226"/>
      <c r="H367" s="27"/>
      <c r="I367" s="213"/>
      <c r="J367" s="213"/>
      <c r="K367" s="213"/>
      <c r="L367" s="213"/>
      <c r="M367" s="213"/>
      <c r="N367" s="213"/>
      <c r="O367" s="278"/>
      <c r="P367" s="246"/>
    </row>
    <row r="368" spans="1:16" ht="12" customHeight="1" thickBot="1" x14ac:dyDescent="0.3">
      <c r="A368" s="212"/>
      <c r="B368" s="226"/>
      <c r="C368" s="213"/>
      <c r="D368" s="286"/>
      <c r="E368" s="226"/>
      <c r="F368" s="226"/>
      <c r="G368" s="510" t="s">
        <v>166</v>
      </c>
      <c r="H368" s="510"/>
      <c r="I368" s="510"/>
      <c r="J368" s="213"/>
      <c r="K368" s="213"/>
      <c r="L368" s="287">
        <f>L351</f>
        <v>294461994.81999999</v>
      </c>
      <c r="M368" s="285" t="s">
        <v>40</v>
      </c>
      <c r="N368" s="278"/>
      <c r="O368" s="278"/>
      <c r="P368" s="246"/>
    </row>
    <row r="369" spans="1:16" ht="12" customHeight="1" x14ac:dyDescent="0.25">
      <c r="A369" s="212"/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45"/>
      <c r="P369" s="246"/>
    </row>
    <row r="370" spans="1:16" ht="12" customHeight="1" x14ac:dyDescent="0.25">
      <c r="A370" s="212"/>
      <c r="B370" s="213"/>
      <c r="C370" s="244"/>
      <c r="D370" s="244"/>
      <c r="E370" s="244"/>
      <c r="F370" s="244"/>
      <c r="G370" s="244"/>
      <c r="H370" s="244"/>
      <c r="I370" s="213"/>
      <c r="J370" s="213"/>
      <c r="K370" s="213"/>
      <c r="L370" s="213"/>
      <c r="M370" s="213"/>
      <c r="N370" s="213"/>
      <c r="O370" s="245"/>
      <c r="P370" s="246"/>
    </row>
    <row r="371" spans="1:16" ht="12" customHeight="1" x14ac:dyDescent="0.25">
      <c r="A371" s="212"/>
      <c r="B371" s="213"/>
      <c r="C371" s="213"/>
      <c r="D371" s="213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45"/>
      <c r="P371" s="246"/>
    </row>
    <row r="372" spans="1:16" ht="12" customHeight="1" thickBot="1" x14ac:dyDescent="0.3">
      <c r="A372" s="247"/>
      <c r="B372" s="248"/>
      <c r="C372" s="248"/>
      <c r="D372" s="248"/>
      <c r="E372" s="248"/>
      <c r="F372" s="248"/>
      <c r="G372" s="248"/>
      <c r="H372" s="248"/>
      <c r="I372" s="248"/>
      <c r="J372" s="248"/>
      <c r="K372" s="248"/>
      <c r="L372" s="248"/>
      <c r="M372" s="248"/>
      <c r="N372" s="248"/>
      <c r="O372" s="249"/>
      <c r="P372" s="250"/>
    </row>
    <row r="373" spans="1:16" ht="12" customHeight="1" thickTop="1" x14ac:dyDescent="0.25"/>
  </sheetData>
  <sheetProtection algorithmName="SHA-512" hashValue="eVGkmfFxHn0twQDcn2ZLhijAhhyDwZGgC3spNv7OSa0sqmCoAoCIfnidzSre4dk4lyw4Gr7arbt9UJyANcELJw==" saltValue="f22VgwIVSRosw1In5XcRvw==" spinCount="100000" sheet="1" objects="1" scenarios="1"/>
  <mergeCells count="35">
    <mergeCell ref="D31:E31"/>
    <mergeCell ref="A1:P1"/>
    <mergeCell ref="A2:P2"/>
    <mergeCell ref="A3:O3"/>
    <mergeCell ref="D19:E19"/>
    <mergeCell ref="K21:N21"/>
    <mergeCell ref="K141:N141"/>
    <mergeCell ref="K34:N34"/>
    <mergeCell ref="D51:E51"/>
    <mergeCell ref="K54:N54"/>
    <mergeCell ref="M74:N74"/>
    <mergeCell ref="D91:E91"/>
    <mergeCell ref="K94:N94"/>
    <mergeCell ref="A100:G100"/>
    <mergeCell ref="D111:E111"/>
    <mergeCell ref="K114:N114"/>
    <mergeCell ref="C122:H122"/>
    <mergeCell ref="D138:E138"/>
    <mergeCell ref="K306:N306"/>
    <mergeCell ref="D166:E166"/>
    <mergeCell ref="K169:N169"/>
    <mergeCell ref="D197:E197"/>
    <mergeCell ref="K200:N200"/>
    <mergeCell ref="D223:E223"/>
    <mergeCell ref="K226:N226"/>
    <mergeCell ref="D249:E249"/>
    <mergeCell ref="K252:N252"/>
    <mergeCell ref="D275:E275"/>
    <mergeCell ref="K278:N278"/>
    <mergeCell ref="D303:E303"/>
    <mergeCell ref="D331:E331"/>
    <mergeCell ref="K334:N334"/>
    <mergeCell ref="D359:E359"/>
    <mergeCell ref="K362:N362"/>
    <mergeCell ref="G368:I3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CFAD-B446-42FB-86EC-9D3670371847}">
  <sheetPr>
    <pageSetUpPr fitToPage="1"/>
  </sheetPr>
  <dimension ref="A1:Q131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4.4" x14ac:dyDescent="0.3"/>
  <cols>
    <col min="1" max="1" width="7.6640625" style="326" customWidth="1"/>
    <col min="2" max="2" width="23.33203125" style="317" customWidth="1"/>
    <col min="3" max="3" width="16.21875" style="321" customWidth="1"/>
    <col min="4" max="4" width="16.6640625" style="486" bestFit="1" customWidth="1"/>
    <col min="5" max="5" width="15.88671875" style="486" customWidth="1"/>
    <col min="6" max="7" width="14.5546875" style="486" bestFit="1" customWidth="1"/>
    <col min="8" max="8" width="14.5546875" style="486" customWidth="1"/>
    <col min="9" max="9" width="14.5546875" style="321" bestFit="1" customWidth="1"/>
    <col min="10" max="10" width="14.5546875" style="322" customWidth="1"/>
    <col min="11" max="11" width="12.88671875" style="322" customWidth="1"/>
    <col min="12" max="12" width="12.6640625" customWidth="1"/>
    <col min="13" max="13" width="10.5546875" bestFit="1" customWidth="1"/>
    <col min="16" max="16" width="13.5546875" customWidth="1"/>
  </cols>
  <sheetData>
    <row r="1" spans="1:11" s="319" customFormat="1" ht="18" x14ac:dyDescent="0.35">
      <c r="A1" s="316" t="s">
        <v>0</v>
      </c>
      <c r="B1" s="317"/>
      <c r="C1" s="318"/>
      <c r="D1" s="484"/>
      <c r="E1" s="484"/>
      <c r="F1" s="484"/>
      <c r="G1" s="484"/>
      <c r="H1" s="484"/>
      <c r="I1" s="318"/>
      <c r="J1" s="318"/>
      <c r="K1" s="318"/>
    </row>
    <row r="2" spans="1:11" s="319" customFormat="1" ht="18.600000000000001" thickBot="1" x14ac:dyDescent="0.4">
      <c r="A2" s="316" t="s">
        <v>1425</v>
      </c>
      <c r="B2" s="317"/>
      <c r="C2" s="318"/>
      <c r="D2" s="484"/>
      <c r="E2" s="484"/>
      <c r="F2" s="484"/>
      <c r="G2" s="484"/>
      <c r="H2" s="484"/>
      <c r="I2" s="318"/>
      <c r="J2" s="318"/>
      <c r="K2" s="318"/>
    </row>
    <row r="3" spans="1:11" ht="15" thickBot="1" x14ac:dyDescent="0.35">
      <c r="A3" s="320"/>
      <c r="D3" s="485" t="s">
        <v>167</v>
      </c>
      <c r="E3" s="485" t="s">
        <v>1371</v>
      </c>
      <c r="F3" s="500">
        <v>2026</v>
      </c>
    </row>
    <row r="4" spans="1:11" ht="20.25" customHeight="1" x14ac:dyDescent="0.3">
      <c r="A4" s="320"/>
    </row>
    <row r="5" spans="1:11" s="319" customFormat="1" ht="18" x14ac:dyDescent="0.35">
      <c r="A5" s="323" t="s">
        <v>1426</v>
      </c>
      <c r="B5" s="324"/>
      <c r="C5" s="325"/>
      <c r="D5" s="487"/>
      <c r="E5" s="487"/>
      <c r="F5" s="487"/>
      <c r="G5" s="487"/>
      <c r="H5" s="487"/>
      <c r="I5" s="325"/>
      <c r="J5" s="322"/>
      <c r="K5" s="322"/>
    </row>
    <row r="6" spans="1:11" ht="10.5" customHeight="1" x14ac:dyDescent="0.3"/>
    <row r="7" spans="1:11" s="330" customFormat="1" ht="39.75" customHeight="1" x14ac:dyDescent="0.3">
      <c r="A7" s="327" t="s">
        <v>168</v>
      </c>
      <c r="B7" s="328" t="s">
        <v>169</v>
      </c>
      <c r="C7" s="329" t="s">
        <v>1370</v>
      </c>
      <c r="D7" s="488" t="s">
        <v>1372</v>
      </c>
      <c r="E7" s="488" t="s">
        <v>1325</v>
      </c>
      <c r="F7" s="488" t="s">
        <v>1324</v>
      </c>
      <c r="G7" s="488" t="s">
        <v>1326</v>
      </c>
      <c r="H7" s="488" t="s">
        <v>1327</v>
      </c>
      <c r="I7" s="488" t="s">
        <v>1375</v>
      </c>
      <c r="J7" s="488" t="s">
        <v>1376</v>
      </c>
      <c r="K7" s="329" t="s">
        <v>171</v>
      </c>
    </row>
    <row r="8" spans="1:11" x14ac:dyDescent="0.3">
      <c r="A8" s="331">
        <v>800</v>
      </c>
      <c r="B8" s="317" t="s">
        <v>172</v>
      </c>
      <c r="C8" s="332">
        <f>'3 OPBUD Detail'!I3</f>
        <v>12480514.267657822</v>
      </c>
      <c r="D8" s="489">
        <f>'3 OPBUD Detail'!J3</f>
        <v>11214472.730000004</v>
      </c>
      <c r="E8" s="489">
        <f>'3 OPBUD Detail'!K3</f>
        <v>12665928.350000003</v>
      </c>
      <c r="F8" s="489">
        <f>'3 OPBUD Detail'!L3</f>
        <v>10150556.629999999</v>
      </c>
      <c r="G8" s="489">
        <f>'3 OPBUD Detail'!M3</f>
        <v>9959847.4800000023</v>
      </c>
      <c r="H8" s="489">
        <f>'3 OPBUD Detail'!N3</f>
        <v>9773662.7999999989</v>
      </c>
      <c r="I8" s="489">
        <f>'3 OPBUD Detail'!O3</f>
        <v>9424897.9699999988</v>
      </c>
      <c r="J8" s="489">
        <f>'3 OPBUD Detail'!P3</f>
        <v>9514850.1999999993</v>
      </c>
      <c r="K8" s="333">
        <f>Table4[[#This Row],[FY26 BUDGET]]-Table4[[#This Row],[FY2027 REQUESTED BUDGET]]</f>
        <v>-1266041.5376578178</v>
      </c>
    </row>
    <row r="9" spans="1:11" x14ac:dyDescent="0.3">
      <c r="A9" s="331">
        <v>801</v>
      </c>
      <c r="B9" s="317" t="s">
        <v>173</v>
      </c>
      <c r="C9" s="332">
        <f>'3 OPBUD Detail'!I4</f>
        <v>18885436.821806107</v>
      </c>
      <c r="D9" s="489">
        <f>'3 OPBUD Detail'!J4</f>
        <v>19959724.150000006</v>
      </c>
      <c r="E9" s="489">
        <f>'3 OPBUD Detail'!K4</f>
        <v>30029494.909999996</v>
      </c>
      <c r="F9" s="489">
        <f>'3 OPBUD Detail'!L4</f>
        <v>31415629.400000002</v>
      </c>
      <c r="G9" s="489">
        <f>'3 OPBUD Detail'!M4</f>
        <v>31772192.820000008</v>
      </c>
      <c r="H9" s="489">
        <f>'3 OPBUD Detail'!N4</f>
        <v>30790885.460000012</v>
      </c>
      <c r="I9" s="489">
        <f>'3 OPBUD Detail'!O4</f>
        <v>32029892.960000008</v>
      </c>
      <c r="J9" s="489">
        <f>'3 OPBUD Detail'!P4</f>
        <v>32188187.559999999</v>
      </c>
      <c r="K9" s="333">
        <f>Table4[[#This Row],[FY26 BUDGET]]-Table4[[#This Row],[FY2027 REQUESTED BUDGET]]</f>
        <v>1074287.3281938992</v>
      </c>
    </row>
    <row r="10" spans="1:11" x14ac:dyDescent="0.3">
      <c r="A10" s="331">
        <v>802</v>
      </c>
      <c r="B10" s="317" t="s">
        <v>174</v>
      </c>
      <c r="C10" s="332">
        <f>'3 OPBUD Detail'!I5</f>
        <v>4797663.8600000003</v>
      </c>
      <c r="D10" s="489">
        <f>'3 OPBUD Detail'!J5</f>
        <v>4483798</v>
      </c>
      <c r="E10" s="489">
        <f>'3 OPBUD Detail'!K5</f>
        <v>4004491.25</v>
      </c>
      <c r="F10" s="489">
        <f>'3 OPBUD Detail'!L5</f>
        <v>2316684.6800000002</v>
      </c>
      <c r="G10" s="489">
        <f>'3 OPBUD Detail'!M5</f>
        <v>1228489.4099999999</v>
      </c>
      <c r="H10" s="489">
        <f>'3 OPBUD Detail'!N5</f>
        <v>1435471.43</v>
      </c>
      <c r="I10" s="489">
        <f>'3 OPBUD Detail'!O5</f>
        <v>429004.08</v>
      </c>
      <c r="J10" s="489">
        <f>'3 OPBUD Detail'!P5</f>
        <v>1678701.04</v>
      </c>
      <c r="K10" s="333">
        <f>Table4[[#This Row],[FY26 BUDGET]]-Table4[[#This Row],[FY2027 REQUESTED BUDGET]]</f>
        <v>-313865.86000000034</v>
      </c>
    </row>
    <row r="11" spans="1:11" x14ac:dyDescent="0.3">
      <c r="A11" s="331">
        <v>803</v>
      </c>
      <c r="B11" s="317" t="s">
        <v>175</v>
      </c>
      <c r="C11" s="332">
        <f>'3 OPBUD Detail'!I6</f>
        <v>1317744.2341775035</v>
      </c>
      <c r="D11" s="489">
        <f>'3 OPBUD Detail'!J6</f>
        <v>83040.69</v>
      </c>
      <c r="E11" s="489">
        <f>'3 OPBUD Detail'!K6</f>
        <v>231389.76000000004</v>
      </c>
      <c r="F11" s="489">
        <f>'3 OPBUD Detail'!L6</f>
        <v>308629.48</v>
      </c>
      <c r="G11" s="489">
        <f>'3 OPBUD Detail'!M6</f>
        <v>255013.94999999998</v>
      </c>
      <c r="H11" s="489">
        <f>'3 OPBUD Detail'!N6</f>
        <v>245529.14999999997</v>
      </c>
      <c r="I11" s="489">
        <f>'3 OPBUD Detail'!O6</f>
        <v>0</v>
      </c>
      <c r="J11" s="489">
        <f>'3 OPBUD Detail'!P6</f>
        <v>0</v>
      </c>
      <c r="K11" s="333">
        <f>Table4[[#This Row],[FY26 BUDGET]]-Table4[[#This Row],[FY2027 REQUESTED BUDGET]]</f>
        <v>-1234703.5441775036</v>
      </c>
    </row>
    <row r="12" spans="1:11" x14ac:dyDescent="0.3">
      <c r="A12" s="331">
        <v>804</v>
      </c>
      <c r="B12" s="317" t="s">
        <v>176</v>
      </c>
      <c r="C12" s="332">
        <f>'3 OPBUD Detail'!I7</f>
        <v>5344091.039007091</v>
      </c>
      <c r="D12" s="489">
        <f>'3 OPBUD Detail'!J7</f>
        <v>4166117.74</v>
      </c>
      <c r="E12" s="489">
        <f>'3 OPBUD Detail'!K7</f>
        <v>5086193.6799999988</v>
      </c>
      <c r="F12" s="489">
        <f>'3 OPBUD Detail'!L7</f>
        <v>5075874.4900000021</v>
      </c>
      <c r="G12" s="489">
        <f>'3 OPBUD Detail'!M7</f>
        <v>5024695.66</v>
      </c>
      <c r="H12" s="489">
        <f>'3 OPBUD Detail'!N7</f>
        <v>4865654.4600000009</v>
      </c>
      <c r="I12" s="489">
        <f>'3 OPBUD Detail'!O7</f>
        <v>4699523.3900000006</v>
      </c>
      <c r="J12" s="489">
        <f>'3 OPBUD Detail'!P7</f>
        <v>4530794.7499999963</v>
      </c>
      <c r="K12" s="333">
        <f>Table4[[#This Row],[FY26 BUDGET]]-Table4[[#This Row],[FY2027 REQUESTED BUDGET]]</f>
        <v>-1177973.2990070907</v>
      </c>
    </row>
    <row r="13" spans="1:11" x14ac:dyDescent="0.3">
      <c r="A13" s="331">
        <v>805</v>
      </c>
      <c r="B13" s="317" t="s">
        <v>177</v>
      </c>
      <c r="C13" s="332">
        <f>'3 OPBUD Detail'!I8</f>
        <v>114831.9293</v>
      </c>
      <c r="D13" s="489">
        <f>'3 OPBUD Detail'!J8</f>
        <v>111487.31</v>
      </c>
      <c r="E13" s="489">
        <f>'3 OPBUD Detail'!K8</f>
        <v>76619.56</v>
      </c>
      <c r="F13" s="489">
        <f>'3 OPBUD Detail'!L8</f>
        <v>86049.54</v>
      </c>
      <c r="G13" s="489">
        <f>'3 OPBUD Detail'!M8</f>
        <v>98881.12999999999</v>
      </c>
      <c r="H13" s="489">
        <f>'3 OPBUD Detail'!N8</f>
        <v>111845.23999999999</v>
      </c>
      <c r="I13" s="489">
        <f>'3 OPBUD Detail'!O8</f>
        <v>40780.339999999997</v>
      </c>
      <c r="J13" s="489">
        <f>'3 OPBUD Detail'!P8</f>
        <v>45767.32</v>
      </c>
      <c r="K13" s="333">
        <f>Table4[[#This Row],[FY26 BUDGET]]-Table4[[#This Row],[FY2027 REQUESTED BUDGET]]</f>
        <v>-3344.6193000000058</v>
      </c>
    </row>
    <row r="14" spans="1:11" x14ac:dyDescent="0.3">
      <c r="A14" s="331">
        <v>806</v>
      </c>
      <c r="B14" s="317" t="s">
        <v>178</v>
      </c>
      <c r="C14" s="332">
        <f>'3 OPBUD Detail'!I9</f>
        <v>623774.8078719998</v>
      </c>
      <c r="D14" s="489">
        <f>'3 OPBUD Detail'!J9</f>
        <v>566870.73999999976</v>
      </c>
      <c r="E14" s="489">
        <f>'3 OPBUD Detail'!K9</f>
        <v>608540.30000000005</v>
      </c>
      <c r="F14" s="489">
        <f>'3 OPBUD Detail'!L9</f>
        <v>421314.12</v>
      </c>
      <c r="G14" s="489">
        <f>'3 OPBUD Detail'!M9</f>
        <v>430724.62999999995</v>
      </c>
      <c r="H14" s="489">
        <f>'3 OPBUD Detail'!N9</f>
        <v>355559.3</v>
      </c>
      <c r="I14" s="489">
        <f>'3 OPBUD Detail'!O9</f>
        <v>392320.86999999988</v>
      </c>
      <c r="J14" s="489">
        <f>'3 OPBUD Detail'!P9</f>
        <v>376904.37000000005</v>
      </c>
      <c r="K14" s="333">
        <f>Table4[[#This Row],[FY26 BUDGET]]-Table4[[#This Row],[FY2027 REQUESTED BUDGET]]</f>
        <v>-56904.067872000043</v>
      </c>
    </row>
    <row r="15" spans="1:11" x14ac:dyDescent="0.3">
      <c r="A15" s="331">
        <v>807</v>
      </c>
      <c r="B15" s="317" t="s">
        <v>179</v>
      </c>
      <c r="C15" s="332">
        <f>'3 OPBUD Detail'!I10</f>
        <v>0</v>
      </c>
      <c r="D15" s="489">
        <f>'3 OPBUD Detail'!J10</f>
        <v>0</v>
      </c>
      <c r="E15" s="489">
        <f>'3 OPBUD Detail'!K10</f>
        <v>0</v>
      </c>
      <c r="F15" s="489">
        <f>'3 OPBUD Detail'!L10</f>
        <v>0</v>
      </c>
      <c r="G15" s="489">
        <f>'3 OPBUD Detail'!M10</f>
        <v>0</v>
      </c>
      <c r="H15" s="489">
        <f>'3 OPBUD Detail'!N10</f>
        <v>0</v>
      </c>
      <c r="I15" s="489">
        <f>'3 OPBUD Detail'!O10</f>
        <v>0</v>
      </c>
      <c r="J15" s="489">
        <f>'3 OPBUD Detail'!P10</f>
        <v>0</v>
      </c>
      <c r="K15" s="333">
        <f>Table4[[#This Row],[FY26 BUDGET]]-Table4[[#This Row],[FY2027 REQUESTED BUDGET]]</f>
        <v>0</v>
      </c>
    </row>
    <row r="16" spans="1:11" x14ac:dyDescent="0.3">
      <c r="A16" s="331">
        <v>808</v>
      </c>
      <c r="B16" s="317" t="s">
        <v>180</v>
      </c>
      <c r="C16" s="332">
        <f>'3 OPBUD Detail'!I11</f>
        <v>0</v>
      </c>
      <c r="D16" s="489">
        <f>'3 OPBUD Detail'!J11</f>
        <v>0</v>
      </c>
      <c r="E16" s="489">
        <f>'3 OPBUD Detail'!K11</f>
        <v>0</v>
      </c>
      <c r="F16" s="489">
        <f>'3 OPBUD Detail'!L11</f>
        <v>0</v>
      </c>
      <c r="G16" s="489">
        <f>'3 OPBUD Detail'!M11</f>
        <v>0</v>
      </c>
      <c r="H16" s="489">
        <f>'3 OPBUD Detail'!N11</f>
        <v>0</v>
      </c>
      <c r="I16" s="489">
        <f>'3 OPBUD Detail'!O11</f>
        <v>0</v>
      </c>
      <c r="J16" s="489">
        <f>'3 OPBUD Detail'!P11</f>
        <v>0</v>
      </c>
      <c r="K16" s="333">
        <f>Table4[[#This Row],[FY26 BUDGET]]-Table4[[#This Row],[FY2027 REQUESTED BUDGET]]</f>
        <v>0</v>
      </c>
    </row>
    <row r="17" spans="1:11" x14ac:dyDescent="0.3">
      <c r="A17" s="331">
        <v>809</v>
      </c>
      <c r="B17" s="317" t="s">
        <v>181</v>
      </c>
      <c r="C17" s="332">
        <f>'3 OPBUD Detail'!I12</f>
        <v>826321.44254955009</v>
      </c>
      <c r="D17" s="489">
        <f>'3 OPBUD Detail'!J12</f>
        <v>5801079.4099999992</v>
      </c>
      <c r="E17" s="489">
        <f>'3 OPBUD Detail'!K12</f>
        <v>4742923.2700000005</v>
      </c>
      <c r="F17" s="489">
        <f>'3 OPBUD Detail'!L12</f>
        <v>3436543.8299999996</v>
      </c>
      <c r="G17" s="489">
        <f>'3 OPBUD Detail'!M12</f>
        <v>3309479.7899999996</v>
      </c>
      <c r="H17" s="489">
        <f>'3 OPBUD Detail'!N12</f>
        <v>3383298.6599999997</v>
      </c>
      <c r="I17" s="489">
        <f>'3 OPBUD Detail'!O12</f>
        <v>3705966.709999999</v>
      </c>
      <c r="J17" s="489">
        <f>'3 OPBUD Detail'!P12</f>
        <v>3939258.6900000004</v>
      </c>
      <c r="K17" s="333">
        <f>Table4[[#This Row],[FY26 BUDGET]]-Table4[[#This Row],[FY2027 REQUESTED BUDGET]]</f>
        <v>4974757.9674504492</v>
      </c>
    </row>
    <row r="18" spans="1:11" x14ac:dyDescent="0.3">
      <c r="A18" s="331">
        <v>810</v>
      </c>
      <c r="B18" s="317" t="s">
        <v>182</v>
      </c>
      <c r="C18" s="332">
        <f>'3 OPBUD Detail'!I13</f>
        <v>1548586.1745962852</v>
      </c>
      <c r="D18" s="489">
        <f>'3 OPBUD Detail'!J13</f>
        <v>6301537.959999999</v>
      </c>
      <c r="E18" s="489">
        <f>'3 OPBUD Detail'!K13</f>
        <v>6594240.1099999985</v>
      </c>
      <c r="F18" s="489">
        <f>'3 OPBUD Detail'!L13</f>
        <v>4788680.9700000016</v>
      </c>
      <c r="G18" s="489">
        <f>'3 OPBUD Detail'!M13</f>
        <v>6044003.1900000023</v>
      </c>
      <c r="H18" s="489">
        <f>'3 OPBUD Detail'!N13</f>
        <v>6398991.2399999974</v>
      </c>
      <c r="I18" s="489">
        <f>'3 OPBUD Detail'!O13</f>
        <v>6267690.6799999997</v>
      </c>
      <c r="J18" s="489">
        <f>'3 OPBUD Detail'!P13</f>
        <v>6420189.7999999989</v>
      </c>
      <c r="K18" s="333">
        <f>Table4[[#This Row],[FY26 BUDGET]]-Table4[[#This Row],[FY2027 REQUESTED BUDGET]]</f>
        <v>4752951.7854037136</v>
      </c>
    </row>
    <row r="19" spans="1:11" x14ac:dyDescent="0.3">
      <c r="A19" s="331">
        <v>811</v>
      </c>
      <c r="B19" s="317" t="s">
        <v>183</v>
      </c>
      <c r="C19" s="332">
        <f>'3 OPBUD Detail'!I14</f>
        <v>0</v>
      </c>
      <c r="D19" s="489">
        <f>'3 OPBUD Detail'!J14</f>
        <v>0</v>
      </c>
      <c r="E19" s="489">
        <f>'3 OPBUD Detail'!K14</f>
        <v>0</v>
      </c>
      <c r="F19" s="489">
        <f>'3 OPBUD Detail'!L14</f>
        <v>13547.08</v>
      </c>
      <c r="G19" s="489">
        <f>'3 OPBUD Detail'!M14</f>
        <v>0</v>
      </c>
      <c r="H19" s="489">
        <f>'3 OPBUD Detail'!N14</f>
        <v>0</v>
      </c>
      <c r="I19" s="489">
        <f>'3 OPBUD Detail'!O14</f>
        <v>0</v>
      </c>
      <c r="J19" s="489">
        <f>'3 OPBUD Detail'!P14</f>
        <v>0</v>
      </c>
      <c r="K19" s="333">
        <f>Table4[[#This Row],[FY26 BUDGET]]-Table4[[#This Row],[FY2027 REQUESTED BUDGET]]</f>
        <v>0</v>
      </c>
    </row>
    <row r="20" spans="1:11" x14ac:dyDescent="0.3">
      <c r="A20" s="331">
        <v>812</v>
      </c>
      <c r="B20" s="317" t="s">
        <v>184</v>
      </c>
      <c r="C20" s="332">
        <f>'3 OPBUD Detail'!I15</f>
        <v>2171628.7202615901</v>
      </c>
      <c r="D20" s="489">
        <f>'3 OPBUD Detail'!J15</f>
        <v>1446558.14</v>
      </c>
      <c r="E20" s="489">
        <f>'3 OPBUD Detail'!K15</f>
        <v>1544226.13</v>
      </c>
      <c r="F20" s="489">
        <f>'3 OPBUD Detail'!L15</f>
        <v>1498052.7100000002</v>
      </c>
      <c r="G20" s="489">
        <f>'3 OPBUD Detail'!M15</f>
        <v>1582964.51</v>
      </c>
      <c r="H20" s="489">
        <f>'3 OPBUD Detail'!N15</f>
        <v>1883523.7100000002</v>
      </c>
      <c r="I20" s="489">
        <f>'3 OPBUD Detail'!O15</f>
        <v>1663441.6</v>
      </c>
      <c r="J20" s="489">
        <f>'3 OPBUD Detail'!P15</f>
        <v>1599014.76</v>
      </c>
      <c r="K20" s="333">
        <f>Table4[[#This Row],[FY26 BUDGET]]-Table4[[#This Row],[FY2027 REQUESTED BUDGET]]</f>
        <v>-725070.58026159019</v>
      </c>
    </row>
    <row r="21" spans="1:11" x14ac:dyDescent="0.3">
      <c r="A21" s="331">
        <v>813</v>
      </c>
      <c r="B21" s="317" t="s">
        <v>185</v>
      </c>
      <c r="C21" s="332">
        <f>'3 OPBUD Detail'!I16</f>
        <v>5163187.218893623</v>
      </c>
      <c r="D21" s="489">
        <f>'3 OPBUD Detail'!J16</f>
        <v>3504515.7500000005</v>
      </c>
      <c r="E21" s="489">
        <f>'3 OPBUD Detail'!K16</f>
        <v>3297519.4299999992</v>
      </c>
      <c r="F21" s="489">
        <f>'3 OPBUD Detail'!L16</f>
        <v>4004963.03</v>
      </c>
      <c r="G21" s="489">
        <f>'3 OPBUD Detail'!M16</f>
        <v>4030418.58</v>
      </c>
      <c r="H21" s="489">
        <f>'3 OPBUD Detail'!N16</f>
        <v>3603905.7199999993</v>
      </c>
      <c r="I21" s="489">
        <f>'3 OPBUD Detail'!O16</f>
        <v>3823829.6500000013</v>
      </c>
      <c r="J21" s="489">
        <f>'3 OPBUD Detail'!P16</f>
        <v>3786048.6700000013</v>
      </c>
      <c r="K21" s="333">
        <f>Table4[[#This Row],[FY26 BUDGET]]-Table4[[#This Row],[FY2027 REQUESTED BUDGET]]</f>
        <v>-1658671.4688936225</v>
      </c>
    </row>
    <row r="22" spans="1:11" x14ac:dyDescent="0.3">
      <c r="A22" s="331">
        <v>814</v>
      </c>
      <c r="B22" s="317" t="s">
        <v>186</v>
      </c>
      <c r="C22" s="332">
        <f>'3 OPBUD Detail'!I17</f>
        <v>3583984.3713273895</v>
      </c>
      <c r="D22" s="489">
        <f>'3 OPBUD Detail'!J17</f>
        <v>2009150.98</v>
      </c>
      <c r="E22" s="489">
        <f>'3 OPBUD Detail'!K17</f>
        <v>2004427.9299999997</v>
      </c>
      <c r="F22" s="489">
        <f>'3 OPBUD Detail'!L17</f>
        <v>2185595.0499999998</v>
      </c>
      <c r="G22" s="489">
        <f>'3 OPBUD Detail'!M17</f>
        <v>2507764.9999999991</v>
      </c>
      <c r="H22" s="489">
        <f>'3 OPBUD Detail'!N17</f>
        <v>2751084.16</v>
      </c>
      <c r="I22" s="489">
        <f>'3 OPBUD Detail'!O17</f>
        <v>2501792.6999999993</v>
      </c>
      <c r="J22" s="489">
        <f>'3 OPBUD Detail'!P17</f>
        <v>2328766.2100000014</v>
      </c>
      <c r="K22" s="333">
        <f>Table4[[#This Row],[FY26 BUDGET]]-Table4[[#This Row],[FY2027 REQUESTED BUDGET]]</f>
        <v>-1574833.3913273895</v>
      </c>
    </row>
    <row r="23" spans="1:11" x14ac:dyDescent="0.3">
      <c r="A23" s="331">
        <v>815</v>
      </c>
      <c r="B23" s="317" t="s">
        <v>187</v>
      </c>
      <c r="C23" s="332">
        <f>'3 OPBUD Detail'!I18</f>
        <v>8670185.9650680386</v>
      </c>
      <c r="D23" s="489">
        <f>'3 OPBUD Detail'!J18</f>
        <v>6425787.5799999991</v>
      </c>
      <c r="E23" s="489">
        <f>'3 OPBUD Detail'!K18</f>
        <v>6813467.2099999981</v>
      </c>
      <c r="F23" s="489">
        <f>'3 OPBUD Detail'!L18</f>
        <v>7263409.7000000011</v>
      </c>
      <c r="G23" s="489">
        <f>'3 OPBUD Detail'!M18</f>
        <v>6410622.2499999991</v>
      </c>
      <c r="H23" s="489">
        <f>'3 OPBUD Detail'!N18</f>
        <v>6104159.5300000012</v>
      </c>
      <c r="I23" s="489">
        <f>'3 OPBUD Detail'!O18</f>
        <v>5850366.9000000013</v>
      </c>
      <c r="J23" s="489">
        <f>'3 OPBUD Detail'!P18</f>
        <v>6082989.9699999997</v>
      </c>
      <c r="K23" s="333">
        <f>Table4[[#This Row],[FY26 BUDGET]]-Table4[[#This Row],[FY2027 REQUESTED BUDGET]]</f>
        <v>-2244398.3850680394</v>
      </c>
    </row>
    <row r="24" spans="1:11" x14ac:dyDescent="0.3">
      <c r="A24" s="331">
        <v>816</v>
      </c>
      <c r="B24" s="317" t="s">
        <v>188</v>
      </c>
      <c r="C24" s="332">
        <f>'3 OPBUD Detail'!I19</f>
        <v>6893390.7393363444</v>
      </c>
      <c r="D24" s="489">
        <f>'3 OPBUD Detail'!J19</f>
        <v>5511831.6700000009</v>
      </c>
      <c r="E24" s="489">
        <f>'3 OPBUD Detail'!K19</f>
        <v>5679887.6399999987</v>
      </c>
      <c r="F24" s="489">
        <f>'3 OPBUD Detail'!L19</f>
        <v>7184651.4900000002</v>
      </c>
      <c r="G24" s="489">
        <f>'3 OPBUD Detail'!M19</f>
        <v>6421935.7299999986</v>
      </c>
      <c r="H24" s="489">
        <f>'3 OPBUD Detail'!N19</f>
        <v>6215569.7700000005</v>
      </c>
      <c r="I24" s="489">
        <f>'3 OPBUD Detail'!O19</f>
        <v>6695279.2499999981</v>
      </c>
      <c r="J24" s="489">
        <f>'3 OPBUD Detail'!P19</f>
        <v>5724728.75</v>
      </c>
      <c r="K24" s="333">
        <f>Table4[[#This Row],[FY26 BUDGET]]-Table4[[#This Row],[FY2027 REQUESTED BUDGET]]</f>
        <v>-1381559.0693363436</v>
      </c>
    </row>
    <row r="25" spans="1:11" x14ac:dyDescent="0.3">
      <c r="A25" s="331">
        <v>817</v>
      </c>
      <c r="B25" s="317" t="s">
        <v>189</v>
      </c>
      <c r="C25" s="332">
        <f>'3 OPBUD Detail'!I20</f>
        <v>7042424.5920813587</v>
      </c>
      <c r="D25" s="489">
        <f>'3 OPBUD Detail'!J20</f>
        <v>4420583.8699999992</v>
      </c>
      <c r="E25" s="489">
        <f>'3 OPBUD Detail'!K20</f>
        <v>4350050.6799999988</v>
      </c>
      <c r="F25" s="489">
        <f>'3 OPBUD Detail'!L20</f>
        <v>4757662.62</v>
      </c>
      <c r="G25" s="489">
        <f>'3 OPBUD Detail'!M20</f>
        <v>4816767.5900000008</v>
      </c>
      <c r="H25" s="489">
        <f>'3 OPBUD Detail'!N20</f>
        <v>5769553.0800000001</v>
      </c>
      <c r="I25" s="489">
        <f>'3 OPBUD Detail'!O20</f>
        <v>5214780.75</v>
      </c>
      <c r="J25" s="489">
        <f>'3 OPBUD Detail'!P20</f>
        <v>5405963.8600000003</v>
      </c>
      <c r="K25" s="333">
        <f>Table4[[#This Row],[FY26 BUDGET]]-Table4[[#This Row],[FY2027 REQUESTED BUDGET]]</f>
        <v>-2621840.7220813595</v>
      </c>
    </row>
    <row r="26" spans="1:11" x14ac:dyDescent="0.3">
      <c r="A26" s="331">
        <v>818</v>
      </c>
      <c r="B26" s="317" t="s">
        <v>190</v>
      </c>
      <c r="C26" s="332">
        <f>'3 OPBUD Detail'!I21</f>
        <v>7582799.2084963843</v>
      </c>
      <c r="D26" s="489">
        <f>'3 OPBUD Detail'!J21</f>
        <v>6080504.0600000005</v>
      </c>
      <c r="E26" s="489">
        <f>'3 OPBUD Detail'!K21</f>
        <v>6209045.1099999994</v>
      </c>
      <c r="F26" s="489">
        <f>'3 OPBUD Detail'!L21</f>
        <v>5645540.3500000015</v>
      </c>
      <c r="G26" s="489">
        <f>'3 OPBUD Detail'!M21</f>
        <v>5510969.25</v>
      </c>
      <c r="H26" s="489">
        <f>'3 OPBUD Detail'!N21</f>
        <v>5616134.879999999</v>
      </c>
      <c r="I26" s="489">
        <f>'3 OPBUD Detail'!O21</f>
        <v>5561038.3099999996</v>
      </c>
      <c r="J26" s="489">
        <f>'3 OPBUD Detail'!P21</f>
        <v>5885989.8400000008</v>
      </c>
      <c r="K26" s="333">
        <f>Table4[[#This Row],[FY26 BUDGET]]-Table4[[#This Row],[FY2027 REQUESTED BUDGET]]</f>
        <v>-1502295.1484963838</v>
      </c>
    </row>
    <row r="27" spans="1:11" x14ac:dyDescent="0.3">
      <c r="A27" s="331">
        <v>819</v>
      </c>
      <c r="B27" s="317" t="s">
        <v>191</v>
      </c>
      <c r="C27" s="332">
        <f>'3 OPBUD Detail'!I22</f>
        <v>6386749.0678221211</v>
      </c>
      <c r="D27" s="489">
        <f>'3 OPBUD Detail'!J22</f>
        <v>5087206.1499999994</v>
      </c>
      <c r="E27" s="489">
        <f>'3 OPBUD Detail'!K22</f>
        <v>5113197.8599999975</v>
      </c>
      <c r="F27" s="489">
        <f>'3 OPBUD Detail'!L22</f>
        <v>4726246.9999999991</v>
      </c>
      <c r="G27" s="489">
        <f>'3 OPBUD Detail'!M22</f>
        <v>4506164.2499999991</v>
      </c>
      <c r="H27" s="489">
        <f>'3 OPBUD Detail'!N22</f>
        <v>4271493.01</v>
      </c>
      <c r="I27" s="489">
        <f>'3 OPBUD Detail'!O22</f>
        <v>4020151.8899999997</v>
      </c>
      <c r="J27" s="489">
        <f>'3 OPBUD Detail'!P22</f>
        <v>3820217.4099999997</v>
      </c>
      <c r="K27" s="333">
        <f>Table4[[#This Row],[FY26 BUDGET]]-Table4[[#This Row],[FY2027 REQUESTED BUDGET]]</f>
        <v>-1299542.9178221216</v>
      </c>
    </row>
    <row r="28" spans="1:11" x14ac:dyDescent="0.3">
      <c r="A28" s="331">
        <v>820</v>
      </c>
      <c r="B28" s="317" t="s">
        <v>192</v>
      </c>
      <c r="C28" s="332">
        <f>'3 OPBUD Detail'!I23</f>
        <v>921536.73966112011</v>
      </c>
      <c r="D28" s="489">
        <f>'3 OPBUD Detail'!J23</f>
        <v>772753.85000000009</v>
      </c>
      <c r="E28" s="489">
        <f>'3 OPBUD Detail'!K23</f>
        <v>780841.25</v>
      </c>
      <c r="F28" s="489">
        <f>'3 OPBUD Detail'!L23</f>
        <v>759258.1</v>
      </c>
      <c r="G28" s="489">
        <f>'3 OPBUD Detail'!M23</f>
        <v>779500.17999999982</v>
      </c>
      <c r="H28" s="489">
        <f>'3 OPBUD Detail'!N23</f>
        <v>626815.40000000014</v>
      </c>
      <c r="I28" s="489">
        <f>'3 OPBUD Detail'!O23</f>
        <v>511415.94000000012</v>
      </c>
      <c r="J28" s="489">
        <f>'3 OPBUD Detail'!P23</f>
        <v>578420.63</v>
      </c>
      <c r="K28" s="333">
        <f>Table4[[#This Row],[FY26 BUDGET]]-Table4[[#This Row],[FY2027 REQUESTED BUDGET]]</f>
        <v>-148782.88966112002</v>
      </c>
    </row>
    <row r="29" spans="1:11" x14ac:dyDescent="0.3">
      <c r="A29" s="331">
        <v>821</v>
      </c>
      <c r="B29" s="317" t="s">
        <v>193</v>
      </c>
      <c r="C29" s="332">
        <f>'3 OPBUD Detail'!I24</f>
        <v>0</v>
      </c>
      <c r="D29" s="489">
        <f>'3 OPBUD Detail'!J24</f>
        <v>0</v>
      </c>
      <c r="E29" s="489">
        <f>'3 OPBUD Detail'!K24</f>
        <v>0</v>
      </c>
      <c r="F29" s="489">
        <f>'3 OPBUD Detail'!L24</f>
        <v>0</v>
      </c>
      <c r="G29" s="489">
        <f>'3 OPBUD Detail'!M24</f>
        <v>0</v>
      </c>
      <c r="H29" s="489">
        <f>'3 OPBUD Detail'!N24</f>
        <v>0</v>
      </c>
      <c r="I29" s="489">
        <f>'3 OPBUD Detail'!O24</f>
        <v>0</v>
      </c>
      <c r="J29" s="489">
        <f>'3 OPBUD Detail'!P24</f>
        <v>84400.94</v>
      </c>
      <c r="K29" s="333">
        <f>Table4[[#This Row],[FY26 BUDGET]]-Table4[[#This Row],[FY2027 REQUESTED BUDGET]]</f>
        <v>0</v>
      </c>
    </row>
    <row r="30" spans="1:11" x14ac:dyDescent="0.3">
      <c r="A30" s="331">
        <v>822</v>
      </c>
      <c r="B30" s="317" t="s">
        <v>194</v>
      </c>
      <c r="C30" s="332">
        <f>'3 OPBUD Detail'!I25</f>
        <v>849396.562833125</v>
      </c>
      <c r="D30" s="489">
        <f>'3 OPBUD Detail'!J25</f>
        <v>782643.06</v>
      </c>
      <c r="E30" s="489">
        <f>'3 OPBUD Detail'!K25</f>
        <v>749326.5</v>
      </c>
      <c r="F30" s="489">
        <f>'3 OPBUD Detail'!L25</f>
        <v>768758.38999999978</v>
      </c>
      <c r="G30" s="489">
        <f>'3 OPBUD Detail'!M25</f>
        <v>626872.94999999995</v>
      </c>
      <c r="H30" s="489">
        <f>'3 OPBUD Detail'!N25</f>
        <v>544535.50999999989</v>
      </c>
      <c r="I30" s="489">
        <f>'3 OPBUD Detail'!O25</f>
        <v>447536.75</v>
      </c>
      <c r="J30" s="489">
        <f>'3 OPBUD Detail'!P25</f>
        <v>523582.39</v>
      </c>
      <c r="K30" s="333">
        <f>Table4[[#This Row],[FY26 BUDGET]]-Table4[[#This Row],[FY2027 REQUESTED BUDGET]]</f>
        <v>-66753.502833124949</v>
      </c>
    </row>
    <row r="31" spans="1:11" x14ac:dyDescent="0.3">
      <c r="A31" s="331">
        <v>823</v>
      </c>
      <c r="B31" s="317" t="s">
        <v>195</v>
      </c>
      <c r="C31" s="332">
        <f>'3 OPBUD Detail'!I26</f>
        <v>321102.98845238995</v>
      </c>
      <c r="D31" s="489">
        <f>'3 OPBUD Detail'!J26</f>
        <v>259858.71</v>
      </c>
      <c r="E31" s="489">
        <f>'3 OPBUD Detail'!K26</f>
        <v>321409.94</v>
      </c>
      <c r="F31" s="489">
        <f>'3 OPBUD Detail'!L26</f>
        <v>235036.65000000002</v>
      </c>
      <c r="G31" s="489">
        <f>'3 OPBUD Detail'!M26</f>
        <v>116290.46</v>
      </c>
      <c r="H31" s="489">
        <f>'3 OPBUD Detail'!N26</f>
        <v>124011.46000000002</v>
      </c>
      <c r="I31" s="489">
        <f>'3 OPBUD Detail'!O26</f>
        <v>108498.26000000001</v>
      </c>
      <c r="J31" s="489">
        <f>'3 OPBUD Detail'!P26</f>
        <v>214396.88</v>
      </c>
      <c r="K31" s="333">
        <f>Table4[[#This Row],[FY26 BUDGET]]-Table4[[#This Row],[FY2027 REQUESTED BUDGET]]</f>
        <v>-61244.278452389961</v>
      </c>
    </row>
    <row r="32" spans="1:11" x14ac:dyDescent="0.3">
      <c r="A32" s="331">
        <v>824</v>
      </c>
      <c r="B32" s="317" t="s">
        <v>196</v>
      </c>
      <c r="C32" s="332">
        <f>'3 OPBUD Detail'!I27</f>
        <v>0</v>
      </c>
      <c r="D32" s="489">
        <f>'3 OPBUD Detail'!J27</f>
        <v>0</v>
      </c>
      <c r="E32" s="489">
        <f>'3 OPBUD Detail'!K27</f>
        <v>0</v>
      </c>
      <c r="F32" s="489">
        <f>'3 OPBUD Detail'!L27</f>
        <v>0</v>
      </c>
      <c r="G32" s="489">
        <f>'3 OPBUD Detail'!M27</f>
        <v>0</v>
      </c>
      <c r="H32" s="489">
        <f>'3 OPBUD Detail'!N27</f>
        <v>0</v>
      </c>
      <c r="I32" s="489">
        <f>'3 OPBUD Detail'!O27</f>
        <v>0</v>
      </c>
      <c r="J32" s="489">
        <f>'3 OPBUD Detail'!P27</f>
        <v>0</v>
      </c>
      <c r="K32" s="333">
        <f>Table4[[#This Row],[FY26 BUDGET]]-Table4[[#This Row],[FY2027 REQUESTED BUDGET]]</f>
        <v>0</v>
      </c>
    </row>
    <row r="33" spans="1:11" x14ac:dyDescent="0.3">
      <c r="A33" s="331">
        <v>825</v>
      </c>
      <c r="B33" s="317" t="s">
        <v>197</v>
      </c>
      <c r="C33" s="332">
        <f>'3 OPBUD Detail'!I28</f>
        <v>409639.70822630997</v>
      </c>
      <c r="D33" s="489">
        <f>'3 OPBUD Detail'!J28</f>
        <v>290018.26</v>
      </c>
      <c r="E33" s="489">
        <f>'3 OPBUD Detail'!K28</f>
        <v>280478.71999999997</v>
      </c>
      <c r="F33" s="489">
        <f>'3 OPBUD Detail'!L28</f>
        <v>267586.7</v>
      </c>
      <c r="G33" s="489">
        <f>'3 OPBUD Detail'!M28</f>
        <v>259105.45999999996</v>
      </c>
      <c r="H33" s="489">
        <f>'3 OPBUD Detail'!N28</f>
        <v>199264.06999999998</v>
      </c>
      <c r="I33" s="489">
        <f>'3 OPBUD Detail'!O28</f>
        <v>205133.86</v>
      </c>
      <c r="J33" s="489">
        <f>'3 OPBUD Detail'!P28</f>
        <v>385275.8899999999</v>
      </c>
      <c r="K33" s="333">
        <f>Table4[[#This Row],[FY26 BUDGET]]-Table4[[#This Row],[FY2027 REQUESTED BUDGET]]</f>
        <v>-119621.44822630996</v>
      </c>
    </row>
    <row r="34" spans="1:11" x14ac:dyDescent="0.3">
      <c r="A34" s="331">
        <v>826</v>
      </c>
      <c r="B34" s="317" t="s">
        <v>198</v>
      </c>
      <c r="C34" s="332">
        <f>'3 OPBUD Detail'!I29</f>
        <v>65202.677903999996</v>
      </c>
      <c r="D34" s="489">
        <f>'3 OPBUD Detail'!J29</f>
        <v>6129.17</v>
      </c>
      <c r="E34" s="489">
        <f>'3 OPBUD Detail'!K29</f>
        <v>57991.360000000001</v>
      </c>
      <c r="F34" s="489">
        <f>'3 OPBUD Detail'!L29</f>
        <v>86070.9</v>
      </c>
      <c r="G34" s="489">
        <f>'3 OPBUD Detail'!M29</f>
        <v>104298.14</v>
      </c>
      <c r="H34" s="489">
        <f>'3 OPBUD Detail'!N29</f>
        <v>67558.77</v>
      </c>
      <c r="I34" s="489">
        <f>'3 OPBUD Detail'!O29</f>
        <v>0</v>
      </c>
      <c r="J34" s="489">
        <f>'3 OPBUD Detail'!P29</f>
        <v>83549.489999999991</v>
      </c>
      <c r="K34" s="333">
        <f>Table4[[#This Row],[FY26 BUDGET]]-Table4[[#This Row],[FY2027 REQUESTED BUDGET]]</f>
        <v>-59073.507903999998</v>
      </c>
    </row>
    <row r="35" spans="1:11" x14ac:dyDescent="0.3">
      <c r="A35" s="331">
        <v>827</v>
      </c>
      <c r="B35" s="317" t="s">
        <v>199</v>
      </c>
      <c r="C35" s="332">
        <f>'3 OPBUD Detail'!I30</f>
        <v>61486683.757261045</v>
      </c>
      <c r="D35" s="489">
        <f>'3 OPBUD Detail'!J30</f>
        <v>48414678.020000003</v>
      </c>
      <c r="E35" s="489">
        <f>'3 OPBUD Detail'!K30</f>
        <v>44560647.209999993</v>
      </c>
      <c r="F35" s="489">
        <f>'3 OPBUD Detail'!L30</f>
        <v>37837886.880000018</v>
      </c>
      <c r="G35" s="489">
        <f>'3 OPBUD Detail'!M30</f>
        <v>38593306.929999992</v>
      </c>
      <c r="H35" s="489">
        <f>'3 OPBUD Detail'!N30</f>
        <v>36729094.159999996</v>
      </c>
      <c r="I35" s="489">
        <f>'3 OPBUD Detail'!O30</f>
        <v>35488582.830000006</v>
      </c>
      <c r="J35" s="489">
        <f>'3 OPBUD Detail'!P30</f>
        <v>38384035.350000001</v>
      </c>
      <c r="K35" s="333">
        <f>Table4[[#This Row],[FY26 BUDGET]]-Table4[[#This Row],[FY2027 REQUESTED BUDGET]]</f>
        <v>-13072005.737261042</v>
      </c>
    </row>
    <row r="36" spans="1:11" x14ac:dyDescent="0.3">
      <c r="A36" s="331">
        <v>828</v>
      </c>
      <c r="B36" s="317" t="s">
        <v>200</v>
      </c>
      <c r="C36" s="332">
        <f>'3 OPBUD Detail'!I31</f>
        <v>1298428.9586628403</v>
      </c>
      <c r="D36" s="489">
        <f>'3 OPBUD Detail'!J31</f>
        <v>721392.36</v>
      </c>
      <c r="E36" s="489">
        <f>'3 OPBUD Detail'!K31</f>
        <v>665440.37000000011</v>
      </c>
      <c r="F36" s="489">
        <f>'3 OPBUD Detail'!L31</f>
        <v>683179.26</v>
      </c>
      <c r="G36" s="489">
        <f>'3 OPBUD Detail'!M31</f>
        <v>986096.84000000008</v>
      </c>
      <c r="H36" s="489">
        <f>'3 OPBUD Detail'!N31</f>
        <v>776742.83</v>
      </c>
      <c r="I36" s="489">
        <f>'3 OPBUD Detail'!O31</f>
        <v>705377.14000000013</v>
      </c>
      <c r="J36" s="489">
        <f>'3 OPBUD Detail'!P31</f>
        <v>784372.51</v>
      </c>
      <c r="K36" s="333">
        <f>Table4[[#This Row],[FY26 BUDGET]]-Table4[[#This Row],[FY2027 REQUESTED BUDGET]]</f>
        <v>-577036.59866284032</v>
      </c>
    </row>
    <row r="37" spans="1:11" x14ac:dyDescent="0.3">
      <c r="A37" s="331">
        <v>829</v>
      </c>
      <c r="B37" s="317" t="s">
        <v>201</v>
      </c>
      <c r="C37" s="332">
        <f>'3 OPBUD Detail'!I32</f>
        <v>7224595.5210507708</v>
      </c>
      <c r="D37" s="489">
        <f>'3 OPBUD Detail'!J32</f>
        <v>3543976.84</v>
      </c>
      <c r="E37" s="489">
        <f>'3 OPBUD Detail'!K32</f>
        <v>4235078.5299999993</v>
      </c>
      <c r="F37" s="489">
        <f>'3 OPBUD Detail'!L32</f>
        <v>4172836.2500000005</v>
      </c>
      <c r="G37" s="489">
        <f>'3 OPBUD Detail'!M32</f>
        <v>4639943.7100000009</v>
      </c>
      <c r="H37" s="489">
        <f>'3 OPBUD Detail'!N32</f>
        <v>4341981.4400000004</v>
      </c>
      <c r="I37" s="489">
        <f>'3 OPBUD Detail'!O32</f>
        <v>4491919.6400000006</v>
      </c>
      <c r="J37" s="489">
        <f>'3 OPBUD Detail'!P32</f>
        <v>5644111.419999999</v>
      </c>
      <c r="K37" s="333">
        <f>Table4[[#This Row],[FY26 BUDGET]]-Table4[[#This Row],[FY2027 REQUESTED BUDGET]]</f>
        <v>-3680618.6810507709</v>
      </c>
    </row>
    <row r="38" spans="1:11" x14ac:dyDescent="0.3">
      <c r="A38" s="331">
        <v>830</v>
      </c>
      <c r="B38" s="317" t="s">
        <v>202</v>
      </c>
      <c r="C38" s="332">
        <f>'3 OPBUD Detail'!I33</f>
        <v>532459.55792262836</v>
      </c>
      <c r="D38" s="489">
        <f>'3 OPBUD Detail'!J33</f>
        <v>452033.88</v>
      </c>
      <c r="E38" s="489">
        <f>'3 OPBUD Detail'!K33</f>
        <v>395422.25</v>
      </c>
      <c r="F38" s="489">
        <f>'3 OPBUD Detail'!L33</f>
        <v>346127.8600000001</v>
      </c>
      <c r="G38" s="489">
        <f>'3 OPBUD Detail'!M33</f>
        <v>397853.17</v>
      </c>
      <c r="H38" s="489">
        <f>'3 OPBUD Detail'!N33</f>
        <v>380030.04000000004</v>
      </c>
      <c r="I38" s="489">
        <f>'3 OPBUD Detail'!O33</f>
        <v>354150.40000000002</v>
      </c>
      <c r="J38" s="489">
        <f>'3 OPBUD Detail'!P33</f>
        <v>302462.13</v>
      </c>
      <c r="K38" s="333">
        <f>Table4[[#This Row],[FY26 BUDGET]]-Table4[[#This Row],[FY2027 REQUESTED BUDGET]]</f>
        <v>-80425.677922628354</v>
      </c>
    </row>
    <row r="39" spans="1:11" x14ac:dyDescent="0.3">
      <c r="A39" s="331">
        <v>831</v>
      </c>
      <c r="B39" s="317" t="s">
        <v>203</v>
      </c>
      <c r="C39" s="332">
        <f>'3 OPBUD Detail'!I34</f>
        <v>214905.13440000004</v>
      </c>
      <c r="D39" s="489">
        <f>'3 OPBUD Detail'!J34</f>
        <v>475592.2</v>
      </c>
      <c r="E39" s="489">
        <f>'3 OPBUD Detail'!K34</f>
        <v>552124.75</v>
      </c>
      <c r="F39" s="489">
        <f>'3 OPBUD Detail'!L34</f>
        <v>321833.12</v>
      </c>
      <c r="G39" s="489">
        <f>'3 OPBUD Detail'!M34</f>
        <v>367782.91000000003</v>
      </c>
      <c r="H39" s="489">
        <f>'3 OPBUD Detail'!N34</f>
        <v>204286.68999999997</v>
      </c>
      <c r="I39" s="489">
        <f>'3 OPBUD Detail'!O34</f>
        <v>2733.44</v>
      </c>
      <c r="J39" s="489">
        <f>'3 OPBUD Detail'!P34</f>
        <v>244432.23</v>
      </c>
      <c r="K39" s="333">
        <f>Table4[[#This Row],[FY26 BUDGET]]-Table4[[#This Row],[FY2027 REQUESTED BUDGET]]</f>
        <v>260687.06559999997</v>
      </c>
    </row>
    <row r="40" spans="1:11" x14ac:dyDescent="0.3">
      <c r="A40" s="331">
        <v>832</v>
      </c>
      <c r="B40" s="317" t="s">
        <v>204</v>
      </c>
      <c r="C40" s="332">
        <f>'3 OPBUD Detail'!I35</f>
        <v>209416.03606578999</v>
      </c>
      <c r="D40" s="489">
        <f>'3 OPBUD Detail'!J35</f>
        <v>181920.44</v>
      </c>
      <c r="E40" s="489">
        <f>'3 OPBUD Detail'!K35</f>
        <v>274608.19</v>
      </c>
      <c r="F40" s="489">
        <f>'3 OPBUD Detail'!L35</f>
        <v>249157.41999999998</v>
      </c>
      <c r="G40" s="489">
        <f>'3 OPBUD Detail'!M35</f>
        <v>355968.32000000007</v>
      </c>
      <c r="H40" s="489">
        <f>'3 OPBUD Detail'!N35</f>
        <v>333143.06000000006</v>
      </c>
      <c r="I40" s="489">
        <f>'3 OPBUD Detail'!O35</f>
        <v>383143.81</v>
      </c>
      <c r="J40" s="489">
        <f>'3 OPBUD Detail'!P35</f>
        <v>378301.72</v>
      </c>
      <c r="K40" s="333">
        <f>Table4[[#This Row],[FY26 BUDGET]]-Table4[[#This Row],[FY2027 REQUESTED BUDGET]]</f>
        <v>-27495.596065789985</v>
      </c>
    </row>
    <row r="41" spans="1:11" x14ac:dyDescent="0.3">
      <c r="A41" s="331">
        <v>833</v>
      </c>
      <c r="B41" s="317" t="s">
        <v>205</v>
      </c>
      <c r="C41" s="332">
        <f>'3 OPBUD Detail'!I36</f>
        <v>0</v>
      </c>
      <c r="D41" s="489">
        <f>'3 OPBUD Detail'!J36</f>
        <v>0</v>
      </c>
      <c r="E41" s="489">
        <f>'3 OPBUD Detail'!K36</f>
        <v>0</v>
      </c>
      <c r="F41" s="489">
        <f>'3 OPBUD Detail'!L36</f>
        <v>0</v>
      </c>
      <c r="G41" s="489">
        <f>'3 OPBUD Detail'!M36</f>
        <v>0</v>
      </c>
      <c r="H41" s="489">
        <f>'3 OPBUD Detail'!N36</f>
        <v>0</v>
      </c>
      <c r="I41" s="489">
        <f>'3 OPBUD Detail'!O36</f>
        <v>0</v>
      </c>
      <c r="J41" s="489">
        <f>'3 OPBUD Detail'!P36</f>
        <v>0</v>
      </c>
      <c r="K41" s="333">
        <f>Table4[[#This Row],[FY26 BUDGET]]-Table4[[#This Row],[FY2027 REQUESTED BUDGET]]</f>
        <v>0</v>
      </c>
    </row>
    <row r="42" spans="1:11" x14ac:dyDescent="0.3">
      <c r="A42" s="331">
        <v>834</v>
      </c>
      <c r="B42" s="317" t="s">
        <v>206</v>
      </c>
      <c r="C42" s="332">
        <f>'3 OPBUD Detail'!I37</f>
        <v>0</v>
      </c>
      <c r="D42" s="489">
        <f>'3 OPBUD Detail'!J37</f>
        <v>0</v>
      </c>
      <c r="E42" s="489">
        <f>'3 OPBUD Detail'!K37</f>
        <v>913.05</v>
      </c>
      <c r="F42" s="489">
        <f>'3 OPBUD Detail'!L37</f>
        <v>6243.23</v>
      </c>
      <c r="G42" s="489">
        <f>'3 OPBUD Detail'!M37</f>
        <v>0</v>
      </c>
      <c r="H42" s="489">
        <f>'3 OPBUD Detail'!N37</f>
        <v>0</v>
      </c>
      <c r="I42" s="489">
        <f>'3 OPBUD Detail'!O37</f>
        <v>0</v>
      </c>
      <c r="J42" s="489">
        <f>'3 OPBUD Detail'!P37</f>
        <v>0</v>
      </c>
      <c r="K42" s="333">
        <f>Table4[[#This Row],[FY26 BUDGET]]-Table4[[#This Row],[FY2027 REQUESTED BUDGET]]</f>
        <v>0</v>
      </c>
    </row>
    <row r="43" spans="1:11" x14ac:dyDescent="0.3">
      <c r="A43" s="331">
        <v>835</v>
      </c>
      <c r="B43" s="317" t="s">
        <v>207</v>
      </c>
      <c r="C43" s="332">
        <f>'3 OPBUD Detail'!I38</f>
        <v>-225048.97604806451</v>
      </c>
      <c r="D43" s="489">
        <f>'3 OPBUD Detail'!J38</f>
        <v>123914.16000000009</v>
      </c>
      <c r="E43" s="489">
        <f>'3 OPBUD Detail'!K38</f>
        <v>-282369.49999999994</v>
      </c>
      <c r="F43" s="489">
        <f>'3 OPBUD Detail'!L38</f>
        <v>142020.6099999999</v>
      </c>
      <c r="G43" s="489">
        <f>'3 OPBUD Detail'!M38</f>
        <v>3155.4600000001119</v>
      </c>
      <c r="H43" s="489">
        <f>'3 OPBUD Detail'!N38</f>
        <v>-188211.9500000001</v>
      </c>
      <c r="I43" s="489">
        <f>'3 OPBUD Detail'!O38</f>
        <v>-39697.250000000065</v>
      </c>
      <c r="J43" s="489">
        <f>'3 OPBUD Detail'!P38</f>
        <v>-104680.53000000017</v>
      </c>
      <c r="K43" s="333">
        <f>Table4[[#This Row],[FY26 BUDGET]]-Table4[[#This Row],[FY2027 REQUESTED BUDGET]]</f>
        <v>348963.13604806457</v>
      </c>
    </row>
    <row r="44" spans="1:11" x14ac:dyDescent="0.3">
      <c r="A44" s="331">
        <v>836</v>
      </c>
      <c r="B44" s="317" t="s">
        <v>208</v>
      </c>
      <c r="C44" s="332">
        <f>'3 OPBUD Detail'!I39</f>
        <v>387456.05206361751</v>
      </c>
      <c r="D44" s="489">
        <f>'3 OPBUD Detail'!J39</f>
        <v>349808.4</v>
      </c>
      <c r="E44" s="489">
        <f>'3 OPBUD Detail'!K39</f>
        <v>366133.10999999993</v>
      </c>
      <c r="F44" s="489">
        <f>'3 OPBUD Detail'!L39</f>
        <v>352765.04000000004</v>
      </c>
      <c r="G44" s="489">
        <f>'3 OPBUD Detail'!M39</f>
        <v>356507.53</v>
      </c>
      <c r="H44" s="489">
        <f>'3 OPBUD Detail'!N39</f>
        <v>325237.62000000005</v>
      </c>
      <c r="I44" s="489">
        <f>'3 OPBUD Detail'!O39</f>
        <v>356468.73</v>
      </c>
      <c r="J44" s="489">
        <f>'3 OPBUD Detail'!P39</f>
        <v>313303.57999999996</v>
      </c>
      <c r="K44" s="333">
        <f>Table4[[#This Row],[FY26 BUDGET]]-Table4[[#This Row],[FY2027 REQUESTED BUDGET]]</f>
        <v>-37647.652063617483</v>
      </c>
    </row>
    <row r="45" spans="1:11" x14ac:dyDescent="0.3">
      <c r="A45" s="331">
        <v>837</v>
      </c>
      <c r="B45" s="317" t="s">
        <v>209</v>
      </c>
      <c r="C45" s="332">
        <f>'3 OPBUD Detail'!I40</f>
        <v>570630.44520000007</v>
      </c>
      <c r="D45" s="489">
        <f>'3 OPBUD Detail'!J40</f>
        <v>513855</v>
      </c>
      <c r="E45" s="489">
        <f>'3 OPBUD Detail'!K40</f>
        <v>336871.76</v>
      </c>
      <c r="F45" s="489">
        <f>'3 OPBUD Detail'!L40</f>
        <v>465041.3</v>
      </c>
      <c r="G45" s="489">
        <f>'3 OPBUD Detail'!M40</f>
        <v>451901.97</v>
      </c>
      <c r="H45" s="489">
        <f>'3 OPBUD Detail'!N40</f>
        <v>448851.16000000003</v>
      </c>
      <c r="I45" s="489">
        <f>'3 OPBUD Detail'!O40</f>
        <v>300212</v>
      </c>
      <c r="J45" s="489">
        <f>'3 OPBUD Detail'!P40</f>
        <v>0</v>
      </c>
      <c r="K45" s="333">
        <f>Table4[[#This Row],[FY26 BUDGET]]-Table4[[#This Row],[FY2027 REQUESTED BUDGET]]</f>
        <v>-56775.445200000075</v>
      </c>
    </row>
    <row r="46" spans="1:11" ht="15" customHeight="1" x14ac:dyDescent="0.3">
      <c r="A46" s="331">
        <v>838</v>
      </c>
      <c r="B46" s="317" t="s">
        <v>210</v>
      </c>
      <c r="C46" s="332">
        <f>'3 OPBUD Detail'!I41</f>
        <v>-654050</v>
      </c>
      <c r="D46" s="489">
        <f>'3 OPBUD Detail'!J41</f>
        <v>0</v>
      </c>
      <c r="E46" s="489">
        <f>'3 OPBUD Detail'!K41</f>
        <v>-873460</v>
      </c>
      <c r="F46" s="489">
        <f>'3 OPBUD Detail'!L41</f>
        <v>-756012.86</v>
      </c>
      <c r="G46" s="489">
        <f>'3 OPBUD Detail'!M41</f>
        <v>0</v>
      </c>
      <c r="H46" s="489">
        <f>'3 OPBUD Detail'!N41</f>
        <v>0</v>
      </c>
      <c r="I46" s="489">
        <f>'3 OPBUD Detail'!O41</f>
        <v>0</v>
      </c>
      <c r="J46" s="489">
        <f>'3 OPBUD Detail'!P41</f>
        <v>0</v>
      </c>
      <c r="K46" s="333">
        <f>Table4[[#This Row],[FY26 BUDGET]]-Table4[[#This Row],[FY2027 REQUESTED BUDGET]]</f>
        <v>654050</v>
      </c>
    </row>
    <row r="47" spans="1:11" x14ac:dyDescent="0.3">
      <c r="A47" s="331">
        <v>839</v>
      </c>
      <c r="B47" s="317" t="s">
        <v>211</v>
      </c>
      <c r="C47" s="332">
        <f>'3 OPBUD Detail'!I42</f>
        <v>161460.63364104999</v>
      </c>
      <c r="D47" s="489">
        <f>'3 OPBUD Detail'!J42</f>
        <v>487383.78</v>
      </c>
      <c r="E47" s="489">
        <f>'3 OPBUD Detail'!K42</f>
        <v>280986.73000000004</v>
      </c>
      <c r="F47" s="489">
        <f>'3 OPBUD Detail'!L42</f>
        <v>412375.73</v>
      </c>
      <c r="G47" s="489">
        <f>'3 OPBUD Detail'!M42</f>
        <v>200753.26</v>
      </c>
      <c r="H47" s="489">
        <f>'3 OPBUD Detail'!N42</f>
        <v>333293.56</v>
      </c>
      <c r="I47" s="489">
        <f>'3 OPBUD Detail'!O42</f>
        <v>250405.75999999998</v>
      </c>
      <c r="J47" s="489">
        <f>'3 OPBUD Detail'!P42</f>
        <v>377184.4</v>
      </c>
      <c r="K47" s="333">
        <f>Table4[[#This Row],[FY26 BUDGET]]-Table4[[#This Row],[FY2027 REQUESTED BUDGET]]</f>
        <v>325923.14635895006</v>
      </c>
    </row>
    <row r="48" spans="1:11" x14ac:dyDescent="0.3">
      <c r="A48" s="331">
        <v>840</v>
      </c>
      <c r="B48" s="317" t="s">
        <v>212</v>
      </c>
      <c r="C48" s="332">
        <f>'3 OPBUD Detail'!I43</f>
        <v>1255706.6928000001</v>
      </c>
      <c r="D48" s="489">
        <f>'3 OPBUD Detail'!J43</f>
        <v>1172593.2</v>
      </c>
      <c r="E48" s="489">
        <f>'3 OPBUD Detail'!K43</f>
        <v>895587.15999999992</v>
      </c>
      <c r="F48" s="489">
        <f>'3 OPBUD Detail'!L43</f>
        <v>1450516.12</v>
      </c>
      <c r="G48" s="489">
        <f>'3 OPBUD Detail'!M43</f>
        <v>1387118.91</v>
      </c>
      <c r="H48" s="489">
        <f>'3 OPBUD Detail'!N43</f>
        <v>1395985.73</v>
      </c>
      <c r="I48" s="489">
        <f>'3 OPBUD Detail'!O43</f>
        <v>1369216.6300000001</v>
      </c>
      <c r="J48" s="489">
        <f>'3 OPBUD Detail'!P43</f>
        <v>1352974.04</v>
      </c>
      <c r="K48" s="333">
        <f>Table4[[#This Row],[FY26 BUDGET]]-Table4[[#This Row],[FY2027 REQUESTED BUDGET]]</f>
        <v>-83113.492800000124</v>
      </c>
    </row>
    <row r="49" spans="1:11" x14ac:dyDescent="0.3">
      <c r="A49" s="331">
        <v>841</v>
      </c>
      <c r="B49" s="317" t="s">
        <v>213</v>
      </c>
      <c r="C49" s="332">
        <f>'3 OPBUD Detail'!I44</f>
        <v>323673.47239999997</v>
      </c>
      <c r="D49" s="489">
        <f>'3 OPBUD Detail'!J44</f>
        <v>262230</v>
      </c>
      <c r="E49" s="489">
        <f>'3 OPBUD Detail'!K44</f>
        <v>205407.6</v>
      </c>
      <c r="F49" s="489">
        <f>'3 OPBUD Detail'!L44</f>
        <v>305240</v>
      </c>
      <c r="G49" s="489">
        <f>'3 OPBUD Detail'!M44</f>
        <v>265344</v>
      </c>
      <c r="H49" s="489">
        <f>'3 OPBUD Detail'!N44</f>
        <v>244369.5</v>
      </c>
      <c r="I49" s="489">
        <f>'3 OPBUD Detail'!O44</f>
        <v>245133</v>
      </c>
      <c r="J49" s="489">
        <f>'3 OPBUD Detail'!P44</f>
        <v>212891</v>
      </c>
      <c r="K49" s="333">
        <f>Table4[[#This Row],[FY26 BUDGET]]-Table4[[#This Row],[FY2027 REQUESTED BUDGET]]</f>
        <v>-61443.47239999997</v>
      </c>
    </row>
    <row r="50" spans="1:11" x14ac:dyDescent="0.3">
      <c r="A50" s="331">
        <v>842</v>
      </c>
      <c r="B50" s="317" t="s">
        <v>214</v>
      </c>
      <c r="C50" s="332">
        <f>'3 OPBUD Detail'!I45</f>
        <v>0</v>
      </c>
      <c r="D50" s="489">
        <f>'3 OPBUD Detail'!J45</f>
        <v>0</v>
      </c>
      <c r="E50" s="489">
        <f>'3 OPBUD Detail'!K45</f>
        <v>129959.95</v>
      </c>
      <c r="F50" s="489">
        <f>'3 OPBUD Detail'!L45</f>
        <v>14050.69</v>
      </c>
      <c r="G50" s="489">
        <f>'3 OPBUD Detail'!M45</f>
        <v>68373.77</v>
      </c>
      <c r="H50" s="489">
        <f>'3 OPBUD Detail'!N45</f>
        <v>59282.729999999996</v>
      </c>
      <c r="I50" s="489">
        <f>'3 OPBUD Detail'!O45</f>
        <v>55775.14</v>
      </c>
      <c r="J50" s="489">
        <f>'3 OPBUD Detail'!P45</f>
        <v>38100.060000000005</v>
      </c>
      <c r="K50" s="333">
        <f>Table4[[#This Row],[FY26 BUDGET]]-Table4[[#This Row],[FY2027 REQUESTED BUDGET]]</f>
        <v>0</v>
      </c>
    </row>
    <row r="51" spans="1:11" x14ac:dyDescent="0.3">
      <c r="A51" s="331">
        <v>843</v>
      </c>
      <c r="B51" s="317" t="s">
        <v>215</v>
      </c>
      <c r="C51" s="332">
        <f>'3 OPBUD Detail'!I46</f>
        <v>500552.85951500002</v>
      </c>
      <c r="D51" s="489">
        <f>'3 OPBUD Detail'!J46</f>
        <v>726684.51</v>
      </c>
      <c r="E51" s="489">
        <f>'3 OPBUD Detail'!K46</f>
        <v>1075430.4799999997</v>
      </c>
      <c r="F51" s="489">
        <f>'3 OPBUD Detail'!L46</f>
        <v>907362.11999999988</v>
      </c>
      <c r="G51" s="489">
        <f>'3 OPBUD Detail'!M46</f>
        <v>963894.00999999989</v>
      </c>
      <c r="H51" s="489">
        <f>'3 OPBUD Detail'!N46</f>
        <v>662365.46999999986</v>
      </c>
      <c r="I51" s="489">
        <f>'3 OPBUD Detail'!O46</f>
        <v>419091.15999999992</v>
      </c>
      <c r="J51" s="489">
        <f>'3 OPBUD Detail'!P46</f>
        <v>641184.04999999993</v>
      </c>
      <c r="K51" s="333">
        <f>Table4[[#This Row],[FY26 BUDGET]]-Table4[[#This Row],[FY2027 REQUESTED BUDGET]]</f>
        <v>226131.65048499999</v>
      </c>
    </row>
    <row r="52" spans="1:11" x14ac:dyDescent="0.3">
      <c r="A52" s="331">
        <v>844</v>
      </c>
      <c r="B52" s="317" t="s">
        <v>216</v>
      </c>
      <c r="C52" s="332">
        <f>'3 OPBUD Detail'!I47</f>
        <v>525.30000000000007</v>
      </c>
      <c r="D52" s="489">
        <f>'3 OPBUD Detail'!J47</f>
        <v>510</v>
      </c>
      <c r="E52" s="489">
        <f>'3 OPBUD Detail'!K47</f>
        <v>426.09</v>
      </c>
      <c r="F52" s="489">
        <f>'3 OPBUD Detail'!L47</f>
        <v>0</v>
      </c>
      <c r="G52" s="489">
        <f>'3 OPBUD Detail'!M47</f>
        <v>78.12</v>
      </c>
      <c r="H52" s="489">
        <f>'3 OPBUD Detail'!N47</f>
        <v>0</v>
      </c>
      <c r="I52" s="489">
        <f>'3 OPBUD Detail'!O47</f>
        <v>0</v>
      </c>
      <c r="J52" s="489">
        <f>'3 OPBUD Detail'!P47</f>
        <v>35569.82</v>
      </c>
      <c r="K52" s="333">
        <f>Table4[[#This Row],[FY26 BUDGET]]-Table4[[#This Row],[FY2027 REQUESTED BUDGET]]</f>
        <v>-15.300000000000068</v>
      </c>
    </row>
    <row r="53" spans="1:11" x14ac:dyDescent="0.3">
      <c r="A53" s="331">
        <v>845</v>
      </c>
      <c r="B53" s="317" t="s">
        <v>217</v>
      </c>
      <c r="C53" s="332">
        <f>'3 OPBUD Detail'!I48</f>
        <v>0</v>
      </c>
      <c r="D53" s="489">
        <f>'3 OPBUD Detail'!J48</f>
        <v>0</v>
      </c>
      <c r="E53" s="489">
        <f>'3 OPBUD Detail'!K48</f>
        <v>138970.03000000003</v>
      </c>
      <c r="F53" s="489">
        <f>'3 OPBUD Detail'!L48</f>
        <v>140479.72</v>
      </c>
      <c r="G53" s="489">
        <f>'3 OPBUD Detail'!M48</f>
        <v>145402.23000000001</v>
      </c>
      <c r="H53" s="489">
        <f>'3 OPBUD Detail'!N48</f>
        <v>120538.48</v>
      </c>
      <c r="I53" s="489">
        <f>'3 OPBUD Detail'!O48</f>
        <v>100984.63</v>
      </c>
      <c r="J53" s="489">
        <f>'3 OPBUD Detail'!P48</f>
        <v>124337.79</v>
      </c>
      <c r="K53" s="333">
        <f>Table4[[#This Row],[FY26 BUDGET]]-Table4[[#This Row],[FY2027 REQUESTED BUDGET]]</f>
        <v>0</v>
      </c>
    </row>
    <row r="54" spans="1:11" x14ac:dyDescent="0.3">
      <c r="A54" s="331">
        <v>846</v>
      </c>
      <c r="B54" s="317" t="s">
        <v>218</v>
      </c>
      <c r="C54" s="332">
        <f>'3 OPBUD Detail'!I49</f>
        <v>1291443.1781923408</v>
      </c>
      <c r="D54" s="489">
        <f>'3 OPBUD Detail'!J49</f>
        <v>1066376.3700000001</v>
      </c>
      <c r="E54" s="489">
        <f>'3 OPBUD Detail'!K49</f>
        <v>1641616.24</v>
      </c>
      <c r="F54" s="489">
        <f>'3 OPBUD Detail'!L49</f>
        <v>1476524.49</v>
      </c>
      <c r="G54" s="489">
        <f>'3 OPBUD Detail'!M49</f>
        <v>1452276.2599999995</v>
      </c>
      <c r="H54" s="489">
        <f>'3 OPBUD Detail'!N49</f>
        <v>1464687.99</v>
      </c>
      <c r="I54" s="489">
        <f>'3 OPBUD Detail'!O49</f>
        <v>1165092.79</v>
      </c>
      <c r="J54" s="489">
        <f>'3 OPBUD Detail'!P49</f>
        <v>1360999.47</v>
      </c>
      <c r="K54" s="333">
        <f>Table4[[#This Row],[FY26 BUDGET]]-Table4[[#This Row],[FY2027 REQUESTED BUDGET]]</f>
        <v>-225066.80819234066</v>
      </c>
    </row>
    <row r="55" spans="1:11" x14ac:dyDescent="0.3">
      <c r="A55" s="331">
        <v>847</v>
      </c>
      <c r="B55" s="317" t="s">
        <v>219</v>
      </c>
      <c r="C55" s="332">
        <f>'3 OPBUD Detail'!I50</f>
        <v>133018.71668098003</v>
      </c>
      <c r="D55" s="489">
        <f>'3 OPBUD Detail'!J50</f>
        <v>107610.54000000001</v>
      </c>
      <c r="E55" s="489">
        <f>'3 OPBUD Detail'!K50</f>
        <v>112919.15</v>
      </c>
      <c r="F55" s="489">
        <f>'3 OPBUD Detail'!L50</f>
        <v>101750.68000000001</v>
      </c>
      <c r="G55" s="489">
        <f>'3 OPBUD Detail'!M50</f>
        <v>96521.17</v>
      </c>
      <c r="H55" s="489">
        <f>'3 OPBUD Detail'!N50</f>
        <v>89377.95</v>
      </c>
      <c r="I55" s="489">
        <f>'3 OPBUD Detail'!O50</f>
        <v>70549.86</v>
      </c>
      <c r="J55" s="489">
        <f>'3 OPBUD Detail'!P50</f>
        <v>112072.01</v>
      </c>
      <c r="K55" s="333">
        <f>Table4[[#This Row],[FY26 BUDGET]]-Table4[[#This Row],[FY2027 REQUESTED BUDGET]]</f>
        <v>-25408.176680980017</v>
      </c>
    </row>
    <row r="56" spans="1:11" x14ac:dyDescent="0.3">
      <c r="A56" s="331">
        <v>848</v>
      </c>
      <c r="B56" s="317" t="s">
        <v>220</v>
      </c>
      <c r="C56" s="332">
        <f>'3 OPBUD Detail'!I51</f>
        <v>32012.842600700005</v>
      </c>
      <c r="D56" s="489">
        <f>'3 OPBUD Detail'!J51</f>
        <v>21299.39</v>
      </c>
      <c r="E56" s="489">
        <f>'3 OPBUD Detail'!K51</f>
        <v>22939.63</v>
      </c>
      <c r="F56" s="489">
        <f>'3 OPBUD Detail'!L51</f>
        <v>24697.98</v>
      </c>
      <c r="G56" s="489">
        <f>'3 OPBUD Detail'!M51</f>
        <v>19620.5</v>
      </c>
      <c r="H56" s="489">
        <f>'3 OPBUD Detail'!N51</f>
        <v>18773.060000000001</v>
      </c>
      <c r="I56" s="489">
        <f>'3 OPBUD Detail'!O51</f>
        <v>30301.35</v>
      </c>
      <c r="J56" s="489">
        <f>'3 OPBUD Detail'!P51</f>
        <v>15742.64</v>
      </c>
      <c r="K56" s="333">
        <f>Table4[[#This Row],[FY26 BUDGET]]-Table4[[#This Row],[FY2027 REQUESTED BUDGET]]</f>
        <v>-10713.452600700006</v>
      </c>
    </row>
    <row r="57" spans="1:11" x14ac:dyDescent="0.3">
      <c r="A57" s="331">
        <v>849</v>
      </c>
      <c r="B57" s="317" t="s">
        <v>221</v>
      </c>
      <c r="C57" s="332">
        <f>'3 OPBUD Detail'!I52</f>
        <v>0</v>
      </c>
      <c r="D57" s="489">
        <f>'3 OPBUD Detail'!J52</f>
        <v>51976.71</v>
      </c>
      <c r="E57" s="489">
        <f>'3 OPBUD Detail'!K52</f>
        <v>63973.94</v>
      </c>
      <c r="F57" s="489">
        <f>'3 OPBUD Detail'!L52</f>
        <v>24948.42</v>
      </c>
      <c r="G57" s="489">
        <f>'3 OPBUD Detail'!M52</f>
        <v>99180.98</v>
      </c>
      <c r="H57" s="489">
        <f>'3 OPBUD Detail'!N52</f>
        <v>69395.47</v>
      </c>
      <c r="I57" s="489">
        <f>'3 OPBUD Detail'!O52</f>
        <v>57414.93</v>
      </c>
      <c r="J57" s="489">
        <f>'3 OPBUD Detail'!P52</f>
        <v>45649.56</v>
      </c>
      <c r="K57" s="333">
        <f>Table4[[#This Row],[FY26 BUDGET]]-Table4[[#This Row],[FY2027 REQUESTED BUDGET]]</f>
        <v>51976.71</v>
      </c>
    </row>
    <row r="58" spans="1:11" x14ac:dyDescent="0.3">
      <c r="A58" s="331">
        <v>850</v>
      </c>
      <c r="B58" s="317" t="s">
        <v>222</v>
      </c>
      <c r="C58" s="332">
        <f>'3 OPBUD Detail'!I53</f>
        <v>25019939.329999998</v>
      </c>
      <c r="D58" s="489">
        <f>'3 OPBUD Detail'!J53</f>
        <v>22518023</v>
      </c>
      <c r="E58" s="489">
        <f>'3 OPBUD Detail'!K53</f>
        <v>19339527.609999999</v>
      </c>
      <c r="F58" s="489">
        <f>'3 OPBUD Detail'!L53</f>
        <v>17852778.740000002</v>
      </c>
      <c r="G58" s="489">
        <f>'3 OPBUD Detail'!M53</f>
        <v>17581061.18</v>
      </c>
      <c r="H58" s="489">
        <f>'3 OPBUD Detail'!N53</f>
        <v>21762619.469999999</v>
      </c>
      <c r="I58" s="489">
        <f>'3 OPBUD Detail'!O53</f>
        <v>28976971.289999999</v>
      </c>
      <c r="J58" s="489">
        <f>'3 OPBUD Detail'!P53</f>
        <v>21007916.530000001</v>
      </c>
      <c r="K58" s="333">
        <f>Table4[[#This Row],[FY26 BUDGET]]-Table4[[#This Row],[FY2027 REQUESTED BUDGET]]</f>
        <v>-2501916.3299999982</v>
      </c>
    </row>
    <row r="59" spans="1:11" x14ac:dyDescent="0.3">
      <c r="A59" s="331">
        <v>851</v>
      </c>
      <c r="B59" s="317" t="s">
        <v>223</v>
      </c>
      <c r="C59" s="332">
        <f>'3 OPBUD Detail'!I54</f>
        <v>8811.3313999999991</v>
      </c>
      <c r="D59" s="489">
        <f>'3 OPBUD Detail'!J54</f>
        <v>387572.41000000003</v>
      </c>
      <c r="E59" s="489">
        <f>'3 OPBUD Detail'!K54</f>
        <v>416913.39</v>
      </c>
      <c r="F59" s="489">
        <f>'3 OPBUD Detail'!L54</f>
        <v>179043.91</v>
      </c>
      <c r="G59" s="489">
        <f>'3 OPBUD Detail'!M54</f>
        <v>42034.71</v>
      </c>
      <c r="H59" s="489">
        <f>'3 OPBUD Detail'!N54</f>
        <v>45787.07</v>
      </c>
      <c r="I59" s="489">
        <f>'3 OPBUD Detail'!O54</f>
        <v>73282.559999999998</v>
      </c>
      <c r="J59" s="489">
        <f>'3 OPBUD Detail'!P54</f>
        <v>108516.63999999998</v>
      </c>
      <c r="K59" s="333">
        <f>Table4[[#This Row],[FY26 BUDGET]]-Table4[[#This Row],[FY2027 REQUESTED BUDGET]]</f>
        <v>378761.07860000001</v>
      </c>
    </row>
    <row r="60" spans="1:11" x14ac:dyDescent="0.3">
      <c r="A60" s="331">
        <v>852</v>
      </c>
      <c r="B60" s="317" t="s">
        <v>224</v>
      </c>
      <c r="C60" s="332">
        <f>'3 OPBUD Detail'!I55</f>
        <v>0</v>
      </c>
      <c r="D60" s="489">
        <f>'3 OPBUD Detail'!J55</f>
        <v>0</v>
      </c>
      <c r="E60" s="489">
        <f>'3 OPBUD Detail'!K55</f>
        <v>0</v>
      </c>
      <c r="F60" s="489">
        <f>'3 OPBUD Detail'!L55</f>
        <v>87885.75</v>
      </c>
      <c r="G60" s="489">
        <f>'3 OPBUD Detail'!M55</f>
        <v>100036.36</v>
      </c>
      <c r="H60" s="489">
        <f>'3 OPBUD Detail'!N55</f>
        <v>91674.209999999992</v>
      </c>
      <c r="I60" s="489">
        <f>'3 OPBUD Detail'!O55</f>
        <v>97091.15</v>
      </c>
      <c r="J60" s="489">
        <f>'3 OPBUD Detail'!P55</f>
        <v>77193.59</v>
      </c>
      <c r="K60" s="333">
        <f>Table4[[#This Row],[FY26 BUDGET]]-Table4[[#This Row],[FY2027 REQUESTED BUDGET]]</f>
        <v>0</v>
      </c>
    </row>
    <row r="61" spans="1:11" x14ac:dyDescent="0.3">
      <c r="A61" s="331">
        <v>853</v>
      </c>
      <c r="B61" s="317" t="s">
        <v>225</v>
      </c>
      <c r="C61" s="332">
        <f>'3 OPBUD Detail'!I56</f>
        <v>4224821.4026315641</v>
      </c>
      <c r="D61" s="489">
        <f>'3 OPBUD Detail'!J56</f>
        <v>3288430.8099999996</v>
      </c>
      <c r="E61" s="489">
        <f>'3 OPBUD Detail'!K56</f>
        <v>3684032.3099999977</v>
      </c>
      <c r="F61" s="489">
        <f>'3 OPBUD Detail'!L56</f>
        <v>3270413.58</v>
      </c>
      <c r="G61" s="489">
        <f>'3 OPBUD Detail'!M56</f>
        <v>3405990.6799999997</v>
      </c>
      <c r="H61" s="489">
        <f>'3 OPBUD Detail'!N56</f>
        <v>3222816.13</v>
      </c>
      <c r="I61" s="489">
        <f>'3 OPBUD Detail'!O56</f>
        <v>3338571.4899999998</v>
      </c>
      <c r="J61" s="489">
        <f>'3 OPBUD Detail'!P56</f>
        <v>3341483.03</v>
      </c>
      <c r="K61" s="333">
        <f>Table4[[#This Row],[FY26 BUDGET]]-Table4[[#This Row],[FY2027 REQUESTED BUDGET]]</f>
        <v>-936390.59263156448</v>
      </c>
    </row>
    <row r="62" spans="1:11" x14ac:dyDescent="0.3">
      <c r="A62" s="331">
        <v>854</v>
      </c>
      <c r="B62" s="317" t="s">
        <v>226</v>
      </c>
      <c r="C62" s="332">
        <f>'3 OPBUD Detail'!I57</f>
        <v>3155237.3785199127</v>
      </c>
      <c r="D62" s="489">
        <f>'3 OPBUD Detail'!J57</f>
        <v>2748565.5599999996</v>
      </c>
      <c r="E62" s="489">
        <f>'3 OPBUD Detail'!K57</f>
        <v>2835946.9399999995</v>
      </c>
      <c r="F62" s="489">
        <f>'3 OPBUD Detail'!L57</f>
        <v>2848465.32</v>
      </c>
      <c r="G62" s="489">
        <f>'3 OPBUD Detail'!M57</f>
        <v>2537557.4399999995</v>
      </c>
      <c r="H62" s="489">
        <f>'3 OPBUD Detail'!N57</f>
        <v>2569941.6300000004</v>
      </c>
      <c r="I62" s="489">
        <f>'3 OPBUD Detail'!O57</f>
        <v>2564819.3299999996</v>
      </c>
      <c r="J62" s="489">
        <f>'3 OPBUD Detail'!P57</f>
        <v>2761226.8499999996</v>
      </c>
      <c r="K62" s="333">
        <f>Table4[[#This Row],[FY26 BUDGET]]-Table4[[#This Row],[FY2027 REQUESTED BUDGET]]</f>
        <v>-406671.81851991313</v>
      </c>
    </row>
    <row r="63" spans="1:11" x14ac:dyDescent="0.3">
      <c r="A63" s="331">
        <v>855</v>
      </c>
      <c r="B63" s="317" t="s">
        <v>227</v>
      </c>
      <c r="C63" s="332">
        <f>'3 OPBUD Detail'!I58</f>
        <v>591503.69799058</v>
      </c>
      <c r="D63" s="489">
        <f>'3 OPBUD Detail'!J58</f>
        <v>1876718.7900000003</v>
      </c>
      <c r="E63" s="489">
        <f>'3 OPBUD Detail'!K58</f>
        <v>2152811.0299999998</v>
      </c>
      <c r="F63" s="489">
        <f>'3 OPBUD Detail'!L58</f>
        <v>1565089.0599999998</v>
      </c>
      <c r="G63" s="489">
        <f>'3 OPBUD Detail'!M58</f>
        <v>1860212.6400000001</v>
      </c>
      <c r="H63" s="489">
        <f>'3 OPBUD Detail'!N58</f>
        <v>1831129.0400000003</v>
      </c>
      <c r="I63" s="489">
        <f>'3 OPBUD Detail'!O58</f>
        <v>1969632.8600000003</v>
      </c>
      <c r="J63" s="489">
        <f>'3 OPBUD Detail'!P58</f>
        <v>2043044.12</v>
      </c>
      <c r="K63" s="333">
        <f>Table4[[#This Row],[FY26 BUDGET]]-Table4[[#This Row],[FY2027 REQUESTED BUDGET]]</f>
        <v>1285215.0920094203</v>
      </c>
    </row>
    <row r="64" spans="1:11" x14ac:dyDescent="0.3">
      <c r="A64" s="331">
        <v>856</v>
      </c>
      <c r="B64" s="317" t="s">
        <v>228</v>
      </c>
      <c r="C64" s="332">
        <f>'3 OPBUD Detail'!I59</f>
        <v>2837390.4862545091</v>
      </c>
      <c r="D64" s="489">
        <f>'3 OPBUD Detail'!J59</f>
        <v>2281566.4899999998</v>
      </c>
      <c r="E64" s="489">
        <f>'3 OPBUD Detail'!K59</f>
        <v>2194731.4700000002</v>
      </c>
      <c r="F64" s="489">
        <f>'3 OPBUD Detail'!L59</f>
        <v>2110914.62</v>
      </c>
      <c r="G64" s="489">
        <f>'3 OPBUD Detail'!M59</f>
        <v>2191223.08</v>
      </c>
      <c r="H64" s="489">
        <f>'3 OPBUD Detail'!N59</f>
        <v>2078034.3499999999</v>
      </c>
      <c r="I64" s="489">
        <f>'3 OPBUD Detail'!O59</f>
        <v>2018262.1299999994</v>
      </c>
      <c r="J64" s="489">
        <f>'3 OPBUD Detail'!P59</f>
        <v>2183174.2400000002</v>
      </c>
      <c r="K64" s="333">
        <f>Table4[[#This Row],[FY26 BUDGET]]-Table4[[#This Row],[FY2027 REQUESTED BUDGET]]</f>
        <v>-555823.99625450931</v>
      </c>
    </row>
    <row r="65" spans="1:11" x14ac:dyDescent="0.3">
      <c r="A65" s="331">
        <v>857</v>
      </c>
      <c r="B65" s="317" t="s">
        <v>229</v>
      </c>
      <c r="C65" s="332">
        <f>'3 OPBUD Detail'!I60</f>
        <v>314179.8152953395</v>
      </c>
      <c r="D65" s="489">
        <f>'3 OPBUD Detail'!J60</f>
        <v>270739.51</v>
      </c>
      <c r="E65" s="489">
        <f>'3 OPBUD Detail'!K60</f>
        <v>238429.44</v>
      </c>
      <c r="F65" s="489">
        <f>'3 OPBUD Detail'!L60</f>
        <v>247856.22</v>
      </c>
      <c r="G65" s="489">
        <f>'3 OPBUD Detail'!M60</f>
        <v>247420.09999999998</v>
      </c>
      <c r="H65" s="489">
        <f>'3 OPBUD Detail'!N60</f>
        <v>236843.91999999998</v>
      </c>
      <c r="I65" s="489">
        <f>'3 OPBUD Detail'!O60</f>
        <v>225191.01</v>
      </c>
      <c r="J65" s="489">
        <f>'3 OPBUD Detail'!P60</f>
        <v>216354.95999999996</v>
      </c>
      <c r="K65" s="333">
        <f>Table4[[#This Row],[FY26 BUDGET]]-Table4[[#This Row],[FY2027 REQUESTED BUDGET]]</f>
        <v>-43440.305295339494</v>
      </c>
    </row>
    <row r="66" spans="1:11" x14ac:dyDescent="0.3">
      <c r="A66" s="331">
        <v>858</v>
      </c>
      <c r="B66" s="317" t="s">
        <v>230</v>
      </c>
      <c r="C66" s="332">
        <f>'3 OPBUD Detail'!I61</f>
        <v>0</v>
      </c>
      <c r="D66" s="489">
        <f>'3 OPBUD Detail'!J61</f>
        <v>0</v>
      </c>
      <c r="E66" s="489">
        <f>'3 OPBUD Detail'!K61</f>
        <v>50193.29</v>
      </c>
      <c r="F66" s="489">
        <f>'3 OPBUD Detail'!L61</f>
        <v>7997.7100000000009</v>
      </c>
      <c r="G66" s="489">
        <f>'3 OPBUD Detail'!M61</f>
        <v>7800</v>
      </c>
      <c r="H66" s="489">
        <f>'3 OPBUD Detail'!N61</f>
        <v>0</v>
      </c>
      <c r="I66" s="489">
        <f>'3 OPBUD Detail'!O61</f>
        <v>0</v>
      </c>
      <c r="J66" s="489">
        <f>'3 OPBUD Detail'!P61</f>
        <v>0</v>
      </c>
      <c r="K66" s="333">
        <f>Table4[[#This Row],[FY26 BUDGET]]-Table4[[#This Row],[FY2027 REQUESTED BUDGET]]</f>
        <v>0</v>
      </c>
    </row>
    <row r="67" spans="1:11" x14ac:dyDescent="0.3">
      <c r="A67" s="331">
        <v>859</v>
      </c>
      <c r="B67" s="317" t="s">
        <v>231</v>
      </c>
      <c r="C67" s="332">
        <f>'3 OPBUD Detail'!I62</f>
        <v>0</v>
      </c>
      <c r="D67" s="489">
        <f>'3 OPBUD Detail'!J62</f>
        <v>0</v>
      </c>
      <c r="E67" s="489">
        <f>'3 OPBUD Detail'!K62</f>
        <v>0</v>
      </c>
      <c r="F67" s="489">
        <f>'3 OPBUD Detail'!L62</f>
        <v>0</v>
      </c>
      <c r="G67" s="489">
        <f>'3 OPBUD Detail'!M62</f>
        <v>0</v>
      </c>
      <c r="H67" s="489">
        <f>'3 OPBUD Detail'!N62</f>
        <v>0</v>
      </c>
      <c r="I67" s="489">
        <f>'3 OPBUD Detail'!O62</f>
        <v>0</v>
      </c>
      <c r="J67" s="489">
        <f>'3 OPBUD Detail'!P62</f>
        <v>0</v>
      </c>
      <c r="K67" s="333">
        <f>Table4[[#This Row],[FY26 BUDGET]]-Table4[[#This Row],[FY2027 REQUESTED BUDGET]]</f>
        <v>0</v>
      </c>
    </row>
    <row r="68" spans="1:11" x14ac:dyDescent="0.3">
      <c r="A68" s="331">
        <v>860</v>
      </c>
      <c r="B68" s="317" t="s">
        <v>232</v>
      </c>
      <c r="C68" s="332">
        <f>'3 OPBUD Detail'!I63</f>
        <v>4225913.8684241977</v>
      </c>
      <c r="D68" s="489">
        <f>'3 OPBUD Detail'!J63</f>
        <v>3628344.5100000002</v>
      </c>
      <c r="E68" s="489">
        <f>'3 OPBUD Detail'!K63</f>
        <v>4013795.0799999996</v>
      </c>
      <c r="F68" s="489">
        <f>'3 OPBUD Detail'!L63</f>
        <v>3910162.8599999989</v>
      </c>
      <c r="G68" s="489">
        <f>'3 OPBUD Detail'!M63</f>
        <v>4152942.120000002</v>
      </c>
      <c r="H68" s="489">
        <f>'3 OPBUD Detail'!N63</f>
        <v>3467983.08</v>
      </c>
      <c r="I68" s="489">
        <f>'3 OPBUD Detail'!O63</f>
        <v>3094772.4899999998</v>
      </c>
      <c r="J68" s="489">
        <f>'3 OPBUD Detail'!P63</f>
        <v>3299298.4000000013</v>
      </c>
      <c r="K68" s="333">
        <f>Table4[[#This Row],[FY26 BUDGET]]-Table4[[#This Row],[FY2027 REQUESTED BUDGET]]</f>
        <v>-597569.35842419742</v>
      </c>
    </row>
    <row r="69" spans="1:11" x14ac:dyDescent="0.3">
      <c r="A69" s="331">
        <v>861</v>
      </c>
      <c r="B69" s="317" t="s">
        <v>233</v>
      </c>
      <c r="C69" s="332">
        <f>'3 OPBUD Detail'!I64</f>
        <v>1783937.9264478448</v>
      </c>
      <c r="D69" s="489">
        <f>'3 OPBUD Detail'!J64</f>
        <v>1631065.7300000002</v>
      </c>
      <c r="E69" s="489">
        <f>'3 OPBUD Detail'!K64</f>
        <v>1554778.2199999997</v>
      </c>
      <c r="F69" s="489">
        <f>'3 OPBUD Detail'!L64</f>
        <v>1212857.3799999999</v>
      </c>
      <c r="G69" s="489">
        <f>'3 OPBUD Detail'!M64</f>
        <v>1174759.1600000001</v>
      </c>
      <c r="H69" s="489">
        <f>'3 OPBUD Detail'!N64</f>
        <v>1164082.42</v>
      </c>
      <c r="I69" s="489">
        <f>'3 OPBUD Detail'!O64</f>
        <v>860743.7699999999</v>
      </c>
      <c r="J69" s="489">
        <f>'3 OPBUD Detail'!P64</f>
        <v>823328.53000000014</v>
      </c>
      <c r="K69" s="333">
        <f>Table4[[#This Row],[FY26 BUDGET]]-Table4[[#This Row],[FY2027 REQUESTED BUDGET]]</f>
        <v>-152872.19644784462</v>
      </c>
    </row>
    <row r="70" spans="1:11" x14ac:dyDescent="0.3">
      <c r="A70" s="331">
        <v>862</v>
      </c>
      <c r="B70" s="317" t="s">
        <v>234</v>
      </c>
      <c r="C70" s="332">
        <f>'3 OPBUD Detail'!I65</f>
        <v>0</v>
      </c>
      <c r="D70" s="489">
        <f>'3 OPBUD Detail'!J65</f>
        <v>0</v>
      </c>
      <c r="E70" s="489">
        <f>'3 OPBUD Detail'!K65</f>
        <v>0</v>
      </c>
      <c r="F70" s="489">
        <f>'3 OPBUD Detail'!L65</f>
        <v>0</v>
      </c>
      <c r="G70" s="489">
        <f>'3 OPBUD Detail'!M65</f>
        <v>0</v>
      </c>
      <c r="H70" s="489">
        <f>'3 OPBUD Detail'!N65</f>
        <v>0</v>
      </c>
      <c r="I70" s="489">
        <f>'3 OPBUD Detail'!O65</f>
        <v>0</v>
      </c>
      <c r="J70" s="489">
        <f>'3 OPBUD Detail'!P65</f>
        <v>0</v>
      </c>
      <c r="K70" s="333">
        <f>Table4[[#This Row],[FY26 BUDGET]]-Table4[[#This Row],[FY2027 REQUESTED BUDGET]]</f>
        <v>0</v>
      </c>
    </row>
    <row r="71" spans="1:11" x14ac:dyDescent="0.3">
      <c r="A71" s="331">
        <v>863</v>
      </c>
      <c r="B71" s="317" t="s">
        <v>235</v>
      </c>
      <c r="C71" s="332">
        <f>'3 OPBUD Detail'!I66</f>
        <v>714261.65671922499</v>
      </c>
      <c r="D71" s="489">
        <f>'3 OPBUD Detail'!J66</f>
        <v>1105202.7999999998</v>
      </c>
      <c r="E71" s="489">
        <f>'3 OPBUD Detail'!K66</f>
        <v>1422642.01</v>
      </c>
      <c r="F71" s="489">
        <f>'3 OPBUD Detail'!L66</f>
        <v>989577.81000000017</v>
      </c>
      <c r="G71" s="489">
        <f>'3 OPBUD Detail'!M66</f>
        <v>740729.23</v>
      </c>
      <c r="H71" s="489">
        <f>'3 OPBUD Detail'!N66</f>
        <v>608086.68000000005</v>
      </c>
      <c r="I71" s="489">
        <f>'3 OPBUD Detail'!O66</f>
        <v>614088.66999999993</v>
      </c>
      <c r="J71" s="489">
        <f>'3 OPBUD Detail'!P66</f>
        <v>477017.07</v>
      </c>
      <c r="K71" s="333">
        <f>Table4[[#This Row],[FY26 BUDGET]]-Table4[[#This Row],[FY2027 REQUESTED BUDGET]]</f>
        <v>390941.14328077482</v>
      </c>
    </row>
    <row r="72" spans="1:11" x14ac:dyDescent="0.3">
      <c r="A72" s="331">
        <v>864</v>
      </c>
      <c r="B72" s="317" t="s">
        <v>236</v>
      </c>
      <c r="C72" s="332">
        <f>'3 OPBUD Detail'!I67</f>
        <v>683980.30529729114</v>
      </c>
      <c r="D72" s="489">
        <f>'3 OPBUD Detail'!J67</f>
        <v>589615.35000000009</v>
      </c>
      <c r="E72" s="489">
        <f>'3 OPBUD Detail'!K67</f>
        <v>571315.65999999992</v>
      </c>
      <c r="F72" s="489">
        <f>'3 OPBUD Detail'!L67</f>
        <v>256634.23999999999</v>
      </c>
      <c r="G72" s="489">
        <f>'3 OPBUD Detail'!M67</f>
        <v>281145.36</v>
      </c>
      <c r="H72" s="489">
        <f>'3 OPBUD Detail'!N67</f>
        <v>289571.03000000003</v>
      </c>
      <c r="I72" s="489">
        <f>'3 OPBUD Detail'!O67</f>
        <v>283275.00999999995</v>
      </c>
      <c r="J72" s="489">
        <f>'3 OPBUD Detail'!P67</f>
        <v>231811.11000000002</v>
      </c>
      <c r="K72" s="333">
        <f>Table4[[#This Row],[FY26 BUDGET]]-Table4[[#This Row],[FY2027 REQUESTED BUDGET]]</f>
        <v>-94364.955297291046</v>
      </c>
    </row>
    <row r="73" spans="1:11" x14ac:dyDescent="0.3">
      <c r="A73" s="331">
        <v>865</v>
      </c>
      <c r="B73" s="317" t="s">
        <v>237</v>
      </c>
      <c r="C73" s="332">
        <f>'3 OPBUD Detail'!I68</f>
        <v>556200</v>
      </c>
      <c r="D73" s="489">
        <f>'3 OPBUD Detail'!J68</f>
        <v>540000</v>
      </c>
      <c r="E73" s="489">
        <f>'3 OPBUD Detail'!K68</f>
        <v>382362.66</v>
      </c>
      <c r="F73" s="489">
        <f>'3 OPBUD Detail'!L68</f>
        <v>258491.12</v>
      </c>
      <c r="G73" s="489">
        <f>'3 OPBUD Detail'!M68</f>
        <v>188038.23</v>
      </c>
      <c r="H73" s="489">
        <f>'3 OPBUD Detail'!N68</f>
        <v>505947.55</v>
      </c>
      <c r="I73" s="489">
        <f>'3 OPBUD Detail'!O68</f>
        <v>271001.98</v>
      </c>
      <c r="J73" s="489">
        <f>'3 OPBUD Detail'!P68</f>
        <v>420817.06</v>
      </c>
      <c r="K73" s="333">
        <f>Table4[[#This Row],[FY26 BUDGET]]-Table4[[#This Row],[FY2027 REQUESTED BUDGET]]</f>
        <v>-16200</v>
      </c>
    </row>
    <row r="74" spans="1:11" x14ac:dyDescent="0.3">
      <c r="A74" s="331">
        <v>866</v>
      </c>
      <c r="B74" s="317" t="s">
        <v>238</v>
      </c>
      <c r="C74" s="332">
        <f>'3 OPBUD Detail'!I69</f>
        <v>317087.55079343956</v>
      </c>
      <c r="D74" s="489">
        <f>'3 OPBUD Detail'!J69</f>
        <v>605716.18000000005</v>
      </c>
      <c r="E74" s="489">
        <f>'3 OPBUD Detail'!K69</f>
        <v>690590.7300000001</v>
      </c>
      <c r="F74" s="489">
        <f>'3 OPBUD Detail'!L69</f>
        <v>668116.35000000009</v>
      </c>
      <c r="G74" s="489">
        <f>'3 OPBUD Detail'!M69</f>
        <v>636020.50000000012</v>
      </c>
      <c r="H74" s="489">
        <f>'3 OPBUD Detail'!N69</f>
        <v>466692.02999999997</v>
      </c>
      <c r="I74" s="489">
        <f>'3 OPBUD Detail'!O69</f>
        <v>483786.20000000007</v>
      </c>
      <c r="J74" s="489">
        <f>'3 OPBUD Detail'!P69</f>
        <v>508942.52999999997</v>
      </c>
      <c r="K74" s="333">
        <f>Table4[[#This Row],[FY26 BUDGET]]-Table4[[#This Row],[FY2027 REQUESTED BUDGET]]</f>
        <v>288628.62920656049</v>
      </c>
    </row>
    <row r="75" spans="1:11" x14ac:dyDescent="0.3">
      <c r="A75" s="331">
        <v>867</v>
      </c>
      <c r="B75" s="317" t="s">
        <v>239</v>
      </c>
      <c r="C75" s="332">
        <f>'3 OPBUD Detail'!I70</f>
        <v>14929.85</v>
      </c>
      <c r="D75" s="489">
        <f>'3 OPBUD Detail'!J70</f>
        <v>14495</v>
      </c>
      <c r="E75" s="489">
        <f>'3 OPBUD Detail'!K70</f>
        <v>0</v>
      </c>
      <c r="F75" s="489">
        <f>'3 OPBUD Detail'!L70</f>
        <v>19420.460000000003</v>
      </c>
      <c r="G75" s="489">
        <f>'3 OPBUD Detail'!M70</f>
        <v>62611.18</v>
      </c>
      <c r="H75" s="489">
        <f>'3 OPBUD Detail'!N70</f>
        <v>59796.119999999995</v>
      </c>
      <c r="I75" s="489">
        <f>'3 OPBUD Detail'!O70</f>
        <v>58705.090000000004</v>
      </c>
      <c r="J75" s="489">
        <f>'3 OPBUD Detail'!P70</f>
        <v>106356.49000000002</v>
      </c>
      <c r="K75" s="333">
        <f>Table4[[#This Row],[FY26 BUDGET]]-Table4[[#This Row],[FY2027 REQUESTED BUDGET]]</f>
        <v>-434.85000000000036</v>
      </c>
    </row>
    <row r="76" spans="1:11" x14ac:dyDescent="0.3">
      <c r="A76" s="331">
        <v>868</v>
      </c>
      <c r="B76" s="317" t="s">
        <v>240</v>
      </c>
      <c r="C76" s="332">
        <f>'3 OPBUD Detail'!I71</f>
        <v>1222727.3812950607</v>
      </c>
      <c r="D76" s="489">
        <f>'3 OPBUD Detail'!J71</f>
        <v>1131900.0799999998</v>
      </c>
      <c r="E76" s="489">
        <f>'3 OPBUD Detail'!K71</f>
        <v>761134.4</v>
      </c>
      <c r="F76" s="489">
        <f>'3 OPBUD Detail'!L71</f>
        <v>526168.96000000008</v>
      </c>
      <c r="G76" s="489">
        <f>'3 OPBUD Detail'!M71</f>
        <v>378880.28</v>
      </c>
      <c r="H76" s="489">
        <f>'3 OPBUD Detail'!N71</f>
        <v>434604.36</v>
      </c>
      <c r="I76" s="489">
        <f>'3 OPBUD Detail'!O71</f>
        <v>501540.02</v>
      </c>
      <c r="J76" s="489">
        <f>'3 OPBUD Detail'!P71</f>
        <v>463602.06</v>
      </c>
      <c r="K76" s="333">
        <f>Table4[[#This Row],[FY26 BUDGET]]-Table4[[#This Row],[FY2027 REQUESTED BUDGET]]</f>
        <v>-90827.301295060897</v>
      </c>
    </row>
    <row r="77" spans="1:11" x14ac:dyDescent="0.3">
      <c r="A77" s="331">
        <v>869</v>
      </c>
      <c r="B77" s="317" t="s">
        <v>241</v>
      </c>
      <c r="C77" s="332">
        <f>'3 OPBUD Detail'!I72</f>
        <v>2035772.91887818</v>
      </c>
      <c r="D77" s="489">
        <f>'3 OPBUD Detail'!J72</f>
        <v>1455020.09</v>
      </c>
      <c r="E77" s="489">
        <f>'3 OPBUD Detail'!K72</f>
        <v>1390221.5199999998</v>
      </c>
      <c r="F77" s="489">
        <f>'3 OPBUD Detail'!L72</f>
        <v>1063661.5900000001</v>
      </c>
      <c r="G77" s="489">
        <f>'3 OPBUD Detail'!M72</f>
        <v>1053987.72</v>
      </c>
      <c r="H77" s="489">
        <f>'3 OPBUD Detail'!N72</f>
        <v>995911.89000000013</v>
      </c>
      <c r="I77" s="489">
        <f>'3 OPBUD Detail'!O72</f>
        <v>953269.23</v>
      </c>
      <c r="J77" s="489">
        <f>'3 OPBUD Detail'!P72</f>
        <v>1138572.4200000002</v>
      </c>
      <c r="K77" s="333">
        <f>Table4[[#This Row],[FY26 BUDGET]]-Table4[[#This Row],[FY2027 REQUESTED BUDGET]]</f>
        <v>-580752.82887817989</v>
      </c>
    </row>
    <row r="78" spans="1:11" x14ac:dyDescent="0.3">
      <c r="A78" s="331">
        <v>870</v>
      </c>
      <c r="B78" s="317" t="s">
        <v>242</v>
      </c>
      <c r="C78" s="332">
        <f>'3 OPBUD Detail'!I73</f>
        <v>752078.31485624239</v>
      </c>
      <c r="D78" s="489">
        <f>'3 OPBUD Detail'!J73</f>
        <v>519980</v>
      </c>
      <c r="E78" s="489">
        <f>'3 OPBUD Detail'!K73</f>
        <v>634133.39</v>
      </c>
      <c r="F78" s="489">
        <f>'3 OPBUD Detail'!L73</f>
        <v>652548.31000000006</v>
      </c>
      <c r="G78" s="489">
        <f>'3 OPBUD Detail'!M73</f>
        <v>696326.54</v>
      </c>
      <c r="H78" s="489">
        <f>'3 OPBUD Detail'!N73</f>
        <v>714698.03</v>
      </c>
      <c r="I78" s="489">
        <f>'3 OPBUD Detail'!O73</f>
        <v>728546.4600000002</v>
      </c>
      <c r="J78" s="489">
        <f>'3 OPBUD Detail'!P73</f>
        <v>616021.30000000005</v>
      </c>
      <c r="K78" s="333">
        <f>Table4[[#This Row],[FY26 BUDGET]]-Table4[[#This Row],[FY2027 REQUESTED BUDGET]]</f>
        <v>-232098.31485624239</v>
      </c>
    </row>
    <row r="79" spans="1:11" x14ac:dyDescent="0.3">
      <c r="A79" s="331">
        <v>871</v>
      </c>
      <c r="B79" s="317" t="s">
        <v>243</v>
      </c>
      <c r="C79" s="332">
        <f>'3 OPBUD Detail'!I74</f>
        <v>813090.65604345687</v>
      </c>
      <c r="D79" s="489">
        <f>'3 OPBUD Detail'!J74</f>
        <v>632988.41000000015</v>
      </c>
      <c r="E79" s="489">
        <f>'3 OPBUD Detail'!K74</f>
        <v>756841.05999999994</v>
      </c>
      <c r="F79" s="489">
        <f>'3 OPBUD Detail'!L74</f>
        <v>767109.99</v>
      </c>
      <c r="G79" s="489">
        <f>'3 OPBUD Detail'!M74</f>
        <v>696214.1</v>
      </c>
      <c r="H79" s="489">
        <f>'3 OPBUD Detail'!N74</f>
        <v>589612.44999999995</v>
      </c>
      <c r="I79" s="489">
        <f>'3 OPBUD Detail'!O74</f>
        <v>558345.1</v>
      </c>
      <c r="J79" s="489">
        <f>'3 OPBUD Detail'!P74</f>
        <v>695149.14</v>
      </c>
      <c r="K79" s="333">
        <f>Table4[[#This Row],[FY26 BUDGET]]-Table4[[#This Row],[FY2027 REQUESTED BUDGET]]</f>
        <v>-180102.24604345672</v>
      </c>
    </row>
    <row r="80" spans="1:11" x14ac:dyDescent="0.3">
      <c r="A80" s="331">
        <v>872</v>
      </c>
      <c r="B80" s="317" t="s">
        <v>244</v>
      </c>
      <c r="C80" s="332">
        <f>'3 OPBUD Detail'!I75</f>
        <v>405073.96139009757</v>
      </c>
      <c r="D80" s="489">
        <f>'3 OPBUD Detail'!J75</f>
        <v>347933.34</v>
      </c>
      <c r="E80" s="489">
        <f>'3 OPBUD Detail'!K75</f>
        <v>365670.46</v>
      </c>
      <c r="F80" s="489">
        <f>'3 OPBUD Detail'!L75</f>
        <v>385366.89</v>
      </c>
      <c r="G80" s="489">
        <f>'3 OPBUD Detail'!M75</f>
        <v>351834.65</v>
      </c>
      <c r="H80" s="489">
        <f>'3 OPBUD Detail'!N75</f>
        <v>308413.02999999997</v>
      </c>
      <c r="I80" s="489">
        <f>'3 OPBUD Detail'!O75</f>
        <v>220136.62000000002</v>
      </c>
      <c r="J80" s="489">
        <f>'3 OPBUD Detail'!P75</f>
        <v>224423.55</v>
      </c>
      <c r="K80" s="333">
        <f>Table4[[#This Row],[FY26 BUDGET]]-Table4[[#This Row],[FY2027 REQUESTED BUDGET]]</f>
        <v>-57140.621390097542</v>
      </c>
    </row>
    <row r="81" spans="1:11" x14ac:dyDescent="0.3">
      <c r="A81" s="331">
        <v>873</v>
      </c>
      <c r="B81" s="317" t="s">
        <v>245</v>
      </c>
      <c r="C81" s="332">
        <f>'3 OPBUD Detail'!I76</f>
        <v>2558132.1162647549</v>
      </c>
      <c r="D81" s="489">
        <f>'3 OPBUD Detail'!J76</f>
        <v>2127823.9500000002</v>
      </c>
      <c r="E81" s="489">
        <f>'3 OPBUD Detail'!K76</f>
        <v>2579549.04</v>
      </c>
      <c r="F81" s="489">
        <f>'3 OPBUD Detail'!L76</f>
        <v>2033446.9800000004</v>
      </c>
      <c r="G81" s="489">
        <f>'3 OPBUD Detail'!M76</f>
        <v>1699952.5599999998</v>
      </c>
      <c r="H81" s="489">
        <f>'3 OPBUD Detail'!N76</f>
        <v>1477957.35</v>
      </c>
      <c r="I81" s="489">
        <f>'3 OPBUD Detail'!O76</f>
        <v>1750200.3899999997</v>
      </c>
      <c r="J81" s="489">
        <f>'3 OPBUD Detail'!P76</f>
        <v>1898186.2200000004</v>
      </c>
      <c r="K81" s="333">
        <f>Table4[[#This Row],[FY26 BUDGET]]-Table4[[#This Row],[FY2027 REQUESTED BUDGET]]</f>
        <v>-430308.16626475472</v>
      </c>
    </row>
    <row r="82" spans="1:11" x14ac:dyDescent="0.3">
      <c r="A82" s="331">
        <v>874</v>
      </c>
      <c r="B82" s="317" t="s">
        <v>246</v>
      </c>
      <c r="C82" s="332">
        <f>'3 OPBUD Detail'!I77</f>
        <v>130835.76693022679</v>
      </c>
      <c r="D82" s="489">
        <f>'3 OPBUD Detail'!J77</f>
        <v>79338</v>
      </c>
      <c r="E82" s="489">
        <f>'3 OPBUD Detail'!K77</f>
        <v>80519.729999999981</v>
      </c>
      <c r="F82" s="489">
        <f>'3 OPBUD Detail'!L77</f>
        <v>66983.75</v>
      </c>
      <c r="G82" s="489">
        <f>'3 OPBUD Detail'!M77</f>
        <v>62521.249999999993</v>
      </c>
      <c r="H82" s="489">
        <f>'3 OPBUD Detail'!N77</f>
        <v>82028.030000000013</v>
      </c>
      <c r="I82" s="489">
        <f>'3 OPBUD Detail'!O77</f>
        <v>254696.27000000002</v>
      </c>
      <c r="J82" s="489">
        <f>'3 OPBUD Detail'!P77</f>
        <v>233258.79</v>
      </c>
      <c r="K82" s="333">
        <f>Table4[[#This Row],[FY26 BUDGET]]-Table4[[#This Row],[FY2027 REQUESTED BUDGET]]</f>
        <v>-51497.76693022679</v>
      </c>
    </row>
    <row r="83" spans="1:11" x14ac:dyDescent="0.3">
      <c r="A83" s="331">
        <v>875</v>
      </c>
      <c r="B83" s="317" t="s">
        <v>247</v>
      </c>
      <c r="C83" s="332">
        <f>'3 OPBUD Detail'!I78</f>
        <v>7984387.3356675636</v>
      </c>
      <c r="D83" s="489">
        <f>'3 OPBUD Detail'!J78</f>
        <v>7495844.5500000007</v>
      </c>
      <c r="E83" s="489">
        <f>'3 OPBUD Detail'!K78</f>
        <v>6786721.6400000006</v>
      </c>
      <c r="F83" s="489">
        <f>'3 OPBUD Detail'!L78</f>
        <v>6486079.4699999997</v>
      </c>
      <c r="G83" s="489">
        <f>'3 OPBUD Detail'!M78</f>
        <v>5771482.3499999996</v>
      </c>
      <c r="H83" s="489">
        <f>'3 OPBUD Detail'!N78</f>
        <v>5774848.7300000004</v>
      </c>
      <c r="I83" s="489">
        <f>'3 OPBUD Detail'!O78</f>
        <v>3562113.27</v>
      </c>
      <c r="J83" s="489">
        <f>'3 OPBUD Detail'!P78</f>
        <v>2167188.1</v>
      </c>
      <c r="K83" s="333">
        <f>Table4[[#This Row],[FY26 BUDGET]]-Table4[[#This Row],[FY2027 REQUESTED BUDGET]]</f>
        <v>-488542.78566756286</v>
      </c>
    </row>
    <row r="84" spans="1:11" x14ac:dyDescent="0.3">
      <c r="A84" s="331">
        <v>876</v>
      </c>
      <c r="B84" s="317" t="s">
        <v>248</v>
      </c>
      <c r="C84" s="332">
        <f>'3 OPBUD Detail'!I79</f>
        <v>2034562.0496</v>
      </c>
      <c r="D84" s="489">
        <f>'3 OPBUD Detail'!J79</f>
        <v>1919398.16</v>
      </c>
      <c r="E84" s="489">
        <f>'3 OPBUD Detail'!K79</f>
        <v>1787029.84</v>
      </c>
      <c r="F84" s="489">
        <f>'3 OPBUD Detail'!L79</f>
        <v>1721774.33</v>
      </c>
      <c r="G84" s="489">
        <f>'3 OPBUD Detail'!M79</f>
        <v>1690044.6</v>
      </c>
      <c r="H84" s="489">
        <f>'3 OPBUD Detail'!N79</f>
        <v>1453343.28</v>
      </c>
      <c r="I84" s="489">
        <f>'3 OPBUD Detail'!O79</f>
        <v>1267891.08</v>
      </c>
      <c r="J84" s="489">
        <f>'3 OPBUD Detail'!P79</f>
        <v>957574.2</v>
      </c>
      <c r="K84" s="333">
        <f>Table4[[#This Row],[FY26 BUDGET]]-Table4[[#This Row],[FY2027 REQUESTED BUDGET]]</f>
        <v>-115163.88960000011</v>
      </c>
    </row>
    <row r="85" spans="1:11" x14ac:dyDescent="0.3">
      <c r="A85" s="331">
        <v>877</v>
      </c>
      <c r="B85" s="317" t="s">
        <v>249</v>
      </c>
      <c r="C85" s="332">
        <f>'3 OPBUD Detail'!I80</f>
        <v>21584203.847600002</v>
      </c>
      <c r="D85" s="489">
        <f>'3 OPBUD Detail'!J80</f>
        <v>18502366.579999998</v>
      </c>
      <c r="E85" s="489">
        <f>'3 OPBUD Detail'!K80</f>
        <v>18808720.649999999</v>
      </c>
      <c r="F85" s="489">
        <f>'3 OPBUD Detail'!L80</f>
        <v>15616931.859999999</v>
      </c>
      <c r="G85" s="489">
        <f>'3 OPBUD Detail'!M80</f>
        <v>14996698.880000001</v>
      </c>
      <c r="H85" s="489">
        <f>'3 OPBUD Detail'!N80</f>
        <v>14207736.23</v>
      </c>
      <c r="I85" s="489">
        <f>'3 OPBUD Detail'!O80</f>
        <v>11877469.880000001</v>
      </c>
      <c r="J85" s="489">
        <f>'3 OPBUD Detail'!P80</f>
        <v>13076809.67</v>
      </c>
      <c r="K85" s="333">
        <f>Table4[[#This Row],[FY26 BUDGET]]-Table4[[#This Row],[FY2027 REQUESTED BUDGET]]</f>
        <v>-3081837.2676000036</v>
      </c>
    </row>
    <row r="86" spans="1:11" x14ac:dyDescent="0.3">
      <c r="A86" s="331">
        <v>878</v>
      </c>
      <c r="B86" s="317" t="s">
        <v>250</v>
      </c>
      <c r="C86" s="332">
        <f>'3 OPBUD Detail'!I81</f>
        <v>783013.18080000009</v>
      </c>
      <c r="D86" s="489">
        <f>'3 OPBUD Detail'!J81</f>
        <v>740139.68</v>
      </c>
      <c r="E86" s="489">
        <f>'3 OPBUD Detail'!K81</f>
        <v>705755.6</v>
      </c>
      <c r="F86" s="489">
        <f>'3 OPBUD Detail'!L81</f>
        <v>675196.35</v>
      </c>
      <c r="G86" s="489">
        <f>'3 OPBUD Detail'!M81</f>
        <v>623130</v>
      </c>
      <c r="H86" s="489">
        <f>'3 OPBUD Detail'!N81</f>
        <v>590524.96</v>
      </c>
      <c r="I86" s="489">
        <f>'3 OPBUD Detail'!O81</f>
        <v>395014.43</v>
      </c>
      <c r="J86" s="489">
        <f>'3 OPBUD Detail'!P81</f>
        <v>398587.24</v>
      </c>
      <c r="K86" s="333">
        <f>Table4[[#This Row],[FY26 BUDGET]]-Table4[[#This Row],[FY2027 REQUESTED BUDGET]]</f>
        <v>-42873.500800000038</v>
      </c>
    </row>
    <row r="87" spans="1:11" x14ac:dyDescent="0.3">
      <c r="A87" s="331">
        <v>879</v>
      </c>
      <c r="B87" s="317" t="s">
        <v>251</v>
      </c>
      <c r="C87" s="332">
        <f>'3 OPBUD Detail'!I82</f>
        <v>348475.31800000003</v>
      </c>
      <c r="D87" s="489">
        <f>'3 OPBUD Detail'!J82</f>
        <v>428458.86</v>
      </c>
      <c r="E87" s="489">
        <f>'3 OPBUD Detail'!K82</f>
        <v>318521.77</v>
      </c>
      <c r="F87" s="489">
        <f>'3 OPBUD Detail'!L82</f>
        <v>309568.25</v>
      </c>
      <c r="G87" s="489">
        <f>'3 OPBUD Detail'!M82</f>
        <v>310980</v>
      </c>
      <c r="H87" s="489">
        <f>'3 OPBUD Detail'!N82</f>
        <v>286742.28000000003</v>
      </c>
      <c r="I87" s="489">
        <f>'3 OPBUD Detail'!O82</f>
        <v>207212.37</v>
      </c>
      <c r="J87" s="489">
        <f>'3 OPBUD Detail'!P82</f>
        <v>142332.01</v>
      </c>
      <c r="K87" s="333">
        <f>Table4[[#This Row],[FY26 BUDGET]]-Table4[[#This Row],[FY2027 REQUESTED BUDGET]]</f>
        <v>79983.541999999958</v>
      </c>
    </row>
    <row r="88" spans="1:11" x14ac:dyDescent="0.3">
      <c r="A88" s="331">
        <v>880</v>
      </c>
      <c r="B88" s="317" t="s">
        <v>252</v>
      </c>
      <c r="C88" s="332">
        <f>'3 OPBUD Detail'!I83</f>
        <v>0</v>
      </c>
      <c r="D88" s="489">
        <f>'3 OPBUD Detail'!J83</f>
        <v>0</v>
      </c>
      <c r="E88" s="489">
        <f>'3 OPBUD Detail'!K83</f>
        <v>0</v>
      </c>
      <c r="F88" s="489">
        <f>'3 OPBUD Detail'!L83</f>
        <v>0</v>
      </c>
      <c r="G88" s="489">
        <f>'3 OPBUD Detail'!M83</f>
        <v>0</v>
      </c>
      <c r="H88" s="489">
        <f>'3 OPBUD Detail'!N83</f>
        <v>0</v>
      </c>
      <c r="I88" s="489">
        <f>'3 OPBUD Detail'!O83</f>
        <v>0</v>
      </c>
      <c r="J88" s="489">
        <f>'3 OPBUD Detail'!P83</f>
        <v>0</v>
      </c>
      <c r="K88" s="333">
        <f>Table4[[#This Row],[FY26 BUDGET]]-Table4[[#This Row],[FY2027 REQUESTED BUDGET]]</f>
        <v>0</v>
      </c>
    </row>
    <row r="89" spans="1:11" x14ac:dyDescent="0.3">
      <c r="A89" s="331">
        <v>881</v>
      </c>
      <c r="B89" s="317" t="s">
        <v>253</v>
      </c>
      <c r="C89" s="332">
        <f>'3 OPBUD Detail'!I84</f>
        <v>0</v>
      </c>
      <c r="D89" s="489">
        <f>'3 OPBUD Detail'!J84</f>
        <v>0</v>
      </c>
      <c r="E89" s="489">
        <f>'3 OPBUD Detail'!K84</f>
        <v>0</v>
      </c>
      <c r="F89" s="489">
        <f>'3 OPBUD Detail'!L84</f>
        <v>0</v>
      </c>
      <c r="G89" s="489">
        <f>'3 OPBUD Detail'!M84</f>
        <v>0</v>
      </c>
      <c r="H89" s="489">
        <f>'3 OPBUD Detail'!N84</f>
        <v>0</v>
      </c>
      <c r="I89" s="489">
        <f>'3 OPBUD Detail'!O84</f>
        <v>0</v>
      </c>
      <c r="J89" s="489">
        <f>'3 OPBUD Detail'!P84</f>
        <v>0</v>
      </c>
      <c r="K89" s="333">
        <f>Table4[[#This Row],[FY26 BUDGET]]-Table4[[#This Row],[FY2027 REQUESTED BUDGET]]</f>
        <v>0</v>
      </c>
    </row>
    <row r="90" spans="1:11" x14ac:dyDescent="0.3">
      <c r="A90" s="331">
        <v>882</v>
      </c>
      <c r="B90" s="317" t="s">
        <v>254</v>
      </c>
      <c r="C90" s="332">
        <f>'3 OPBUD Detail'!I85</f>
        <v>250717.55113759526</v>
      </c>
      <c r="D90" s="489">
        <f>'3 OPBUD Detail'!J85</f>
        <v>109247</v>
      </c>
      <c r="E90" s="489">
        <f>'3 OPBUD Detail'!K85</f>
        <v>102187.40999999999</v>
      </c>
      <c r="F90" s="489">
        <f>'3 OPBUD Detail'!L85</f>
        <v>93602.75</v>
      </c>
      <c r="G90" s="489">
        <f>'3 OPBUD Detail'!M85</f>
        <v>91091.94</v>
      </c>
      <c r="H90" s="489">
        <f>'3 OPBUD Detail'!N85</f>
        <v>81479.609999999986</v>
      </c>
      <c r="I90" s="489">
        <f>'3 OPBUD Detail'!O85</f>
        <v>83717.179999999993</v>
      </c>
      <c r="J90" s="489">
        <f>'3 OPBUD Detail'!P85</f>
        <v>81709.030000000013</v>
      </c>
      <c r="K90" s="333">
        <f>Table4[[#This Row],[FY26 BUDGET]]-Table4[[#This Row],[FY2027 REQUESTED BUDGET]]</f>
        <v>-141470.55113759526</v>
      </c>
    </row>
    <row r="91" spans="1:11" x14ac:dyDescent="0.3">
      <c r="A91" s="331">
        <v>883</v>
      </c>
      <c r="B91" s="317" t="s">
        <v>255</v>
      </c>
      <c r="C91" s="332">
        <f>'3 OPBUD Detail'!I86</f>
        <v>5420456.4158923393</v>
      </c>
      <c r="D91" s="489">
        <f>'3 OPBUD Detail'!J86</f>
        <v>4394481.6999999993</v>
      </c>
      <c r="E91" s="489">
        <f>'3 OPBUD Detail'!K86</f>
        <v>4976432.3499999996</v>
      </c>
      <c r="F91" s="489">
        <f>'3 OPBUD Detail'!L86</f>
        <v>4926797.2100000018</v>
      </c>
      <c r="G91" s="489">
        <f>'3 OPBUD Detail'!M86</f>
        <v>4663469.4200000009</v>
      </c>
      <c r="H91" s="489">
        <f>'3 OPBUD Detail'!N86</f>
        <v>4418456.9099999983</v>
      </c>
      <c r="I91" s="489">
        <f>'3 OPBUD Detail'!O86</f>
        <v>4504042.47</v>
      </c>
      <c r="J91" s="489">
        <f>'3 OPBUD Detail'!P86</f>
        <v>4604730.6899999985</v>
      </c>
      <c r="K91" s="333">
        <f>Table4[[#This Row],[FY26 BUDGET]]-Table4[[#This Row],[FY2027 REQUESTED BUDGET]]</f>
        <v>-1025974.7158923401</v>
      </c>
    </row>
    <row r="92" spans="1:11" x14ac:dyDescent="0.3">
      <c r="A92" s="331">
        <v>883579</v>
      </c>
      <c r="B92" s="317" t="s">
        <v>256</v>
      </c>
      <c r="C92" s="332">
        <f>'3 OPBUD Detail'!I87</f>
        <v>0</v>
      </c>
      <c r="D92" s="489">
        <f>'3 OPBUD Detail'!J87</f>
        <v>0</v>
      </c>
      <c r="E92" s="489">
        <f>'3 OPBUD Detail'!K87</f>
        <v>0</v>
      </c>
      <c r="F92" s="489">
        <f>'3 OPBUD Detail'!L87</f>
        <v>0</v>
      </c>
      <c r="G92" s="489">
        <f>'3 OPBUD Detail'!M87</f>
        <v>0</v>
      </c>
      <c r="H92" s="489">
        <f>'3 OPBUD Detail'!N87</f>
        <v>0</v>
      </c>
      <c r="I92" s="489">
        <f>'3 OPBUD Detail'!O87</f>
        <v>0</v>
      </c>
      <c r="J92" s="489">
        <f>'3 OPBUD Detail'!P87</f>
        <v>0</v>
      </c>
      <c r="K92" s="333">
        <f>Table4[[#This Row],[FY26 BUDGET]]-Table4[[#This Row],[FY2027 REQUESTED BUDGET]]</f>
        <v>0</v>
      </c>
    </row>
    <row r="93" spans="1:11" x14ac:dyDescent="0.3">
      <c r="A93" s="331">
        <v>883855</v>
      </c>
      <c r="B93" s="317" t="s">
        <v>257</v>
      </c>
      <c r="C93" s="332">
        <f>'3 OPBUD Detail'!I88</f>
        <v>0</v>
      </c>
      <c r="D93" s="489">
        <f>'3 OPBUD Detail'!J88</f>
        <v>0</v>
      </c>
      <c r="E93" s="489">
        <f>'3 OPBUD Detail'!K88</f>
        <v>0</v>
      </c>
      <c r="F93" s="489">
        <f>'3 OPBUD Detail'!L88</f>
        <v>0</v>
      </c>
      <c r="G93" s="489">
        <f>'3 OPBUD Detail'!M88</f>
        <v>0</v>
      </c>
      <c r="H93" s="489">
        <f>'3 OPBUD Detail'!N88</f>
        <v>0</v>
      </c>
      <c r="I93" s="489">
        <f>'3 OPBUD Detail'!O88</f>
        <v>0</v>
      </c>
      <c r="J93" s="489">
        <f>'3 OPBUD Detail'!P88</f>
        <v>0</v>
      </c>
      <c r="K93" s="333">
        <f>Table4[[#This Row],[FY26 BUDGET]]-Table4[[#This Row],[FY2027 REQUESTED BUDGET]]</f>
        <v>0</v>
      </c>
    </row>
    <row r="94" spans="1:11" x14ac:dyDescent="0.3">
      <c r="A94" s="331">
        <v>884</v>
      </c>
      <c r="B94" s="317" t="s">
        <v>258</v>
      </c>
      <c r="C94" s="332">
        <f>'3 OPBUD Detail'!I89</f>
        <v>677786.41243266</v>
      </c>
      <c r="D94" s="489">
        <f>'3 OPBUD Detail'!J89</f>
        <v>569699.65</v>
      </c>
      <c r="E94" s="489">
        <f>'3 OPBUD Detail'!K89</f>
        <v>607111.28</v>
      </c>
      <c r="F94" s="489">
        <f>'3 OPBUD Detail'!L89</f>
        <v>498752.66999999993</v>
      </c>
      <c r="G94" s="489">
        <f>'3 OPBUD Detail'!M89</f>
        <v>418338.08000000007</v>
      </c>
      <c r="H94" s="489">
        <f>'3 OPBUD Detail'!N89</f>
        <v>308167.90999999997</v>
      </c>
      <c r="I94" s="489">
        <f>'3 OPBUD Detail'!O89</f>
        <v>264872.23</v>
      </c>
      <c r="J94" s="489">
        <f>'3 OPBUD Detail'!P89</f>
        <v>220389.81</v>
      </c>
      <c r="K94" s="333">
        <f>Table4[[#This Row],[FY26 BUDGET]]-Table4[[#This Row],[FY2027 REQUESTED BUDGET]]</f>
        <v>-108086.76243265998</v>
      </c>
    </row>
    <row r="95" spans="1:11" x14ac:dyDescent="0.3">
      <c r="A95" s="331">
        <v>885</v>
      </c>
      <c r="B95" s="317" t="s">
        <v>259</v>
      </c>
      <c r="C95" s="332">
        <f>'3 OPBUD Detail'!I90</f>
        <v>333199.95634188002</v>
      </c>
      <c r="D95" s="489">
        <f>'3 OPBUD Detail'!J90</f>
        <v>312116.88</v>
      </c>
      <c r="E95" s="489">
        <f>'3 OPBUD Detail'!K90</f>
        <v>296802.63999999996</v>
      </c>
      <c r="F95" s="489">
        <f>'3 OPBUD Detail'!L90</f>
        <v>292962.22000000003</v>
      </c>
      <c r="G95" s="489">
        <f>'3 OPBUD Detail'!M90</f>
        <v>275221.75</v>
      </c>
      <c r="H95" s="489">
        <f>'3 OPBUD Detail'!N90</f>
        <v>275240.45999999996</v>
      </c>
      <c r="I95" s="489">
        <f>'3 OPBUD Detail'!O90</f>
        <v>285259.19999999995</v>
      </c>
      <c r="J95" s="489">
        <f>'3 OPBUD Detail'!P90</f>
        <v>215136.84999999998</v>
      </c>
      <c r="K95" s="333">
        <f>Table4[[#This Row],[FY26 BUDGET]]-Table4[[#This Row],[FY2027 REQUESTED BUDGET]]</f>
        <v>-21083.07634188002</v>
      </c>
    </row>
    <row r="96" spans="1:11" x14ac:dyDescent="0.3">
      <c r="A96" s="331">
        <v>886</v>
      </c>
      <c r="B96" s="317" t="s">
        <v>260</v>
      </c>
      <c r="C96" s="332">
        <f>'3 OPBUD Detail'!I91</f>
        <v>2805370.3853897145</v>
      </c>
      <c r="D96" s="489">
        <f>'3 OPBUD Detail'!J91</f>
        <v>2457358.66</v>
      </c>
      <c r="E96" s="489">
        <f>'3 OPBUD Detail'!K91</f>
        <v>2716036.44</v>
      </c>
      <c r="F96" s="489">
        <f>'3 OPBUD Detail'!L91</f>
        <v>2770597.99</v>
      </c>
      <c r="G96" s="489">
        <f>'3 OPBUD Detail'!M91</f>
        <v>2636193.0500000003</v>
      </c>
      <c r="H96" s="489">
        <f>'3 OPBUD Detail'!N91</f>
        <v>2741318.4500000007</v>
      </c>
      <c r="I96" s="489">
        <f>'3 OPBUD Detail'!O91</f>
        <v>2886064.7499999995</v>
      </c>
      <c r="J96" s="489">
        <f>'3 OPBUD Detail'!P91</f>
        <v>2774805.6800000006</v>
      </c>
      <c r="K96" s="333">
        <f>Table4[[#This Row],[FY26 BUDGET]]-Table4[[#This Row],[FY2027 REQUESTED BUDGET]]</f>
        <v>-348011.72538971435</v>
      </c>
    </row>
    <row r="97" spans="1:11" x14ac:dyDescent="0.3">
      <c r="A97" s="331">
        <v>887</v>
      </c>
      <c r="B97" s="317" t="s">
        <v>261</v>
      </c>
      <c r="C97" s="332">
        <f>'3 OPBUD Detail'!I92</f>
        <v>13544637.688196372</v>
      </c>
      <c r="D97" s="489">
        <f>'3 OPBUD Detail'!J92</f>
        <v>10959804.939999994</v>
      </c>
      <c r="E97" s="489">
        <f>'3 OPBUD Detail'!K92</f>
        <v>12776037.660000004</v>
      </c>
      <c r="F97" s="489">
        <f>'3 OPBUD Detail'!L92</f>
        <v>11993726.679999994</v>
      </c>
      <c r="G97" s="489">
        <f>'3 OPBUD Detail'!M92</f>
        <v>11764345.129999999</v>
      </c>
      <c r="H97" s="489">
        <f>'3 OPBUD Detail'!N92</f>
        <v>11026593.510000007</v>
      </c>
      <c r="I97" s="489">
        <f>'3 OPBUD Detail'!O92</f>
        <v>10939482.530000005</v>
      </c>
      <c r="J97" s="489">
        <f>'3 OPBUD Detail'!P92</f>
        <v>10469539.490000002</v>
      </c>
      <c r="K97" s="333">
        <f>Table4[[#This Row],[FY26 BUDGET]]-Table4[[#This Row],[FY2027 REQUESTED BUDGET]]</f>
        <v>-2584832.7481963784</v>
      </c>
    </row>
    <row r="98" spans="1:11" x14ac:dyDescent="0.3">
      <c r="A98" s="331">
        <v>887579</v>
      </c>
      <c r="B98" s="317" t="s">
        <v>262</v>
      </c>
      <c r="C98" s="332">
        <f>'3 OPBUD Detail'!I93</f>
        <v>0</v>
      </c>
      <c r="D98" s="489">
        <f>'3 OPBUD Detail'!J93</f>
        <v>0</v>
      </c>
      <c r="E98" s="489">
        <f>'3 OPBUD Detail'!K93</f>
        <v>0</v>
      </c>
      <c r="F98" s="489">
        <f>'3 OPBUD Detail'!L93</f>
        <v>0</v>
      </c>
      <c r="G98" s="489">
        <f>'3 OPBUD Detail'!M93</f>
        <v>0</v>
      </c>
      <c r="H98" s="489">
        <f>'3 OPBUD Detail'!N93</f>
        <v>0</v>
      </c>
      <c r="I98" s="489">
        <f>'3 OPBUD Detail'!O93</f>
        <v>0</v>
      </c>
      <c r="J98" s="489">
        <f>'3 OPBUD Detail'!P93</f>
        <v>0</v>
      </c>
      <c r="K98" s="333">
        <f>Table4[[#This Row],[FY26 BUDGET]]-Table4[[#This Row],[FY2027 REQUESTED BUDGET]]</f>
        <v>0</v>
      </c>
    </row>
    <row r="99" spans="1:11" x14ac:dyDescent="0.3">
      <c r="A99" s="331">
        <v>887855</v>
      </c>
      <c r="B99" s="317" t="s">
        <v>263</v>
      </c>
      <c r="C99" s="332">
        <f>'3 OPBUD Detail'!I94</f>
        <v>0</v>
      </c>
      <c r="D99" s="489">
        <f>'3 OPBUD Detail'!J94</f>
        <v>0</v>
      </c>
      <c r="E99" s="489">
        <f>'3 OPBUD Detail'!K94</f>
        <v>0</v>
      </c>
      <c r="F99" s="489">
        <f>'3 OPBUD Detail'!L94</f>
        <v>0</v>
      </c>
      <c r="G99" s="489">
        <f>'3 OPBUD Detail'!M94</f>
        <v>0</v>
      </c>
      <c r="H99" s="489">
        <f>'3 OPBUD Detail'!N94</f>
        <v>0</v>
      </c>
      <c r="I99" s="489">
        <f>'3 OPBUD Detail'!O94</f>
        <v>0</v>
      </c>
      <c r="J99" s="489">
        <f>'3 OPBUD Detail'!P94</f>
        <v>0</v>
      </c>
      <c r="K99" s="333">
        <f>Table4[[#This Row],[FY26 BUDGET]]-Table4[[#This Row],[FY2027 REQUESTED BUDGET]]</f>
        <v>0</v>
      </c>
    </row>
    <row r="100" spans="1:11" x14ac:dyDescent="0.3">
      <c r="A100" s="331">
        <v>888</v>
      </c>
      <c r="B100" s="317" t="s">
        <v>264</v>
      </c>
      <c r="C100" s="332">
        <f>'3 OPBUD Detail'!I95</f>
        <v>79813.035899999988</v>
      </c>
      <c r="D100" s="489">
        <f>'3 OPBUD Detail'!J95</f>
        <v>29545.500000000004</v>
      </c>
      <c r="E100" s="489">
        <f>'3 OPBUD Detail'!K95</f>
        <v>81716.36</v>
      </c>
      <c r="F100" s="489">
        <f>'3 OPBUD Detail'!L95</f>
        <v>120546.51000000001</v>
      </c>
      <c r="G100" s="489">
        <f>'3 OPBUD Detail'!M95</f>
        <v>91808.569999999978</v>
      </c>
      <c r="H100" s="489">
        <f>'3 OPBUD Detail'!N95</f>
        <v>53898.500000000007</v>
      </c>
      <c r="I100" s="489">
        <f>'3 OPBUD Detail'!O95</f>
        <v>33538.68</v>
      </c>
      <c r="J100" s="489">
        <f>'3 OPBUD Detail'!P95</f>
        <v>29637.45</v>
      </c>
      <c r="K100" s="333">
        <f>Table4[[#This Row],[FY26 BUDGET]]-Table4[[#This Row],[FY2027 REQUESTED BUDGET]]</f>
        <v>-50267.535899999988</v>
      </c>
    </row>
    <row r="101" spans="1:11" x14ac:dyDescent="0.3">
      <c r="A101" s="331">
        <v>889</v>
      </c>
      <c r="B101" s="317" t="s">
        <v>265</v>
      </c>
      <c r="C101" s="332">
        <f>'3 OPBUD Detail'!I96</f>
        <v>476489.02100000007</v>
      </c>
      <c r="D101" s="489">
        <f>'3 OPBUD Detail'!J96</f>
        <v>462610.7</v>
      </c>
      <c r="E101" s="489">
        <f>'3 OPBUD Detail'!K96</f>
        <v>345887.5</v>
      </c>
      <c r="F101" s="489">
        <f>'3 OPBUD Detail'!L96</f>
        <v>355170.25</v>
      </c>
      <c r="G101" s="489">
        <f>'3 OPBUD Detail'!M96</f>
        <v>396193.11</v>
      </c>
      <c r="H101" s="489">
        <f>'3 OPBUD Detail'!N96</f>
        <v>402726.13</v>
      </c>
      <c r="I101" s="489">
        <f>'3 OPBUD Detail'!O96</f>
        <v>412552.15</v>
      </c>
      <c r="J101" s="489">
        <f>'3 OPBUD Detail'!P96</f>
        <v>506115.01</v>
      </c>
      <c r="K101" s="333">
        <f>Table4[[#This Row],[FY26 BUDGET]]-Table4[[#This Row],[FY2027 REQUESTED BUDGET]]</f>
        <v>-13878.321000000054</v>
      </c>
    </row>
    <row r="102" spans="1:11" x14ac:dyDescent="0.3">
      <c r="A102" s="331">
        <v>890</v>
      </c>
      <c r="B102" s="317" t="s">
        <v>266</v>
      </c>
      <c r="C102" s="332">
        <f>'3 OPBUD Detail'!I97</f>
        <v>412244.50140000001</v>
      </c>
      <c r="D102" s="489">
        <f>'3 OPBUD Detail'!J97</f>
        <v>400237.38</v>
      </c>
      <c r="E102" s="489">
        <f>'3 OPBUD Detail'!K97</f>
        <v>224200.13</v>
      </c>
      <c r="F102" s="489">
        <f>'3 OPBUD Detail'!L97</f>
        <v>79073.72</v>
      </c>
      <c r="G102" s="489">
        <f>'3 OPBUD Detail'!M97</f>
        <v>91113.209999999992</v>
      </c>
      <c r="H102" s="489">
        <f>'3 OPBUD Detail'!N97</f>
        <v>280100.11</v>
      </c>
      <c r="I102" s="489">
        <f>'3 OPBUD Detail'!O97</f>
        <v>357443.91000000003</v>
      </c>
      <c r="J102" s="489">
        <f>'3 OPBUD Detail'!P97</f>
        <v>496662.45000000007</v>
      </c>
      <c r="K102" s="333">
        <f>Table4[[#This Row],[FY26 BUDGET]]-Table4[[#This Row],[FY2027 REQUESTED BUDGET]]</f>
        <v>-12007.121400000004</v>
      </c>
    </row>
    <row r="103" spans="1:11" x14ac:dyDescent="0.3">
      <c r="A103" s="331">
        <v>891</v>
      </c>
      <c r="B103" s="317" t="s">
        <v>267</v>
      </c>
      <c r="C103" s="332">
        <f>'3 OPBUD Detail'!I98</f>
        <v>9191515.5779999997</v>
      </c>
      <c r="D103" s="489">
        <f>'3 OPBUD Detail'!J98</f>
        <v>7950137.7500000009</v>
      </c>
      <c r="E103" s="489">
        <f>'3 OPBUD Detail'!K98</f>
        <v>8584126.1699999999</v>
      </c>
      <c r="F103" s="489">
        <f>'3 OPBUD Detail'!L98</f>
        <v>3692951.3500000006</v>
      </c>
      <c r="G103" s="489">
        <f>'3 OPBUD Detail'!M98</f>
        <v>3658709.74</v>
      </c>
      <c r="H103" s="489">
        <f>'3 OPBUD Detail'!N98</f>
        <v>4374282.5200000005</v>
      </c>
      <c r="I103" s="489">
        <f>'3 OPBUD Detail'!O98</f>
        <v>3500844.7800000003</v>
      </c>
      <c r="J103" s="489">
        <f>'3 OPBUD Detail'!P98</f>
        <v>3850220.5900000003</v>
      </c>
      <c r="K103" s="333">
        <f>Table4[[#This Row],[FY26 BUDGET]]-Table4[[#This Row],[FY2027 REQUESTED BUDGET]]</f>
        <v>-1241377.8279999988</v>
      </c>
    </row>
    <row r="104" spans="1:11" x14ac:dyDescent="0.3">
      <c r="A104" s="331">
        <v>892</v>
      </c>
      <c r="B104" s="317" t="s">
        <v>268</v>
      </c>
      <c r="C104" s="332">
        <f>'3 OPBUD Detail'!I99</f>
        <v>419587.39200000005</v>
      </c>
      <c r="D104" s="489">
        <f>'3 OPBUD Detail'!J99</f>
        <v>407366.40000000002</v>
      </c>
      <c r="E104" s="489">
        <f>'3 OPBUD Detail'!K99</f>
        <v>400352.54</v>
      </c>
      <c r="F104" s="489">
        <f>'3 OPBUD Detail'!L99</f>
        <v>395216.22</v>
      </c>
      <c r="G104" s="489">
        <f>'3 OPBUD Detail'!M99</f>
        <v>407853.65</v>
      </c>
      <c r="H104" s="489">
        <f>'3 OPBUD Detail'!N99</f>
        <v>357270.8</v>
      </c>
      <c r="I104" s="489">
        <f>'3 OPBUD Detail'!O99</f>
        <v>290983.71000000002</v>
      </c>
      <c r="J104" s="489">
        <f>'3 OPBUD Detail'!P99</f>
        <v>310440.78999999998</v>
      </c>
      <c r="K104" s="333">
        <f>Table4[[#This Row],[FY26 BUDGET]]-Table4[[#This Row],[FY2027 REQUESTED BUDGET]]</f>
        <v>-12220.992000000027</v>
      </c>
    </row>
    <row r="105" spans="1:11" x14ac:dyDescent="0.3">
      <c r="A105" s="331">
        <v>893</v>
      </c>
      <c r="B105" s="317" t="s">
        <v>269</v>
      </c>
      <c r="C105" s="332">
        <f>'3 OPBUD Detail'!I100</f>
        <v>74776.043000000005</v>
      </c>
      <c r="D105" s="489">
        <f>'3 OPBUD Detail'!J100</f>
        <v>492166.1</v>
      </c>
      <c r="E105" s="489">
        <f>'3 OPBUD Detail'!K100</f>
        <v>387211.06999999995</v>
      </c>
      <c r="F105" s="489">
        <f>'3 OPBUD Detail'!L100</f>
        <v>366972.97000000003</v>
      </c>
      <c r="G105" s="489">
        <f>'3 OPBUD Detail'!M100</f>
        <v>371477.78</v>
      </c>
      <c r="H105" s="489">
        <f>'3 OPBUD Detail'!N100</f>
        <v>327961.5</v>
      </c>
      <c r="I105" s="489">
        <f>'3 OPBUD Detail'!O100</f>
        <v>319823.14</v>
      </c>
      <c r="J105" s="489">
        <f>'3 OPBUD Detail'!P100</f>
        <v>305037.71000000002</v>
      </c>
      <c r="K105" s="333">
        <f>Table4[[#This Row],[FY26 BUDGET]]-Table4[[#This Row],[FY2027 REQUESTED BUDGET]]</f>
        <v>417390.05699999997</v>
      </c>
    </row>
    <row r="106" spans="1:11" x14ac:dyDescent="0.3">
      <c r="A106" s="331">
        <v>894</v>
      </c>
      <c r="B106" s="317" t="s">
        <v>270</v>
      </c>
      <c r="C106" s="332">
        <f>'3 OPBUD Detail'!I101</f>
        <v>2167481.3343000002</v>
      </c>
      <c r="D106" s="489">
        <f>'3 OPBUD Detail'!J101</f>
        <v>1104350.81</v>
      </c>
      <c r="E106" s="489">
        <f>'3 OPBUD Detail'!K101</f>
        <v>1287474.5299999998</v>
      </c>
      <c r="F106" s="489">
        <f>'3 OPBUD Detail'!L101</f>
        <v>1273677.68</v>
      </c>
      <c r="G106" s="489">
        <f>'3 OPBUD Detail'!M101</f>
        <v>1010667.69</v>
      </c>
      <c r="H106" s="489">
        <f>'3 OPBUD Detail'!N101</f>
        <v>1134392.3900000001</v>
      </c>
      <c r="I106" s="489">
        <f>'3 OPBUD Detail'!O101</f>
        <v>1269600</v>
      </c>
      <c r="J106" s="489">
        <f>'3 OPBUD Detail'!P101</f>
        <v>828408.48</v>
      </c>
      <c r="K106" s="333">
        <f>Table4[[#This Row],[FY26 BUDGET]]-Table4[[#This Row],[FY2027 REQUESTED BUDGET]]</f>
        <v>-1063130.5243000002</v>
      </c>
    </row>
    <row r="107" spans="1:11" x14ac:dyDescent="0.3">
      <c r="A107" s="331">
        <v>895</v>
      </c>
      <c r="B107" s="317" t="s">
        <v>271</v>
      </c>
      <c r="C107" s="332">
        <f>'3 OPBUD Detail'!I102</f>
        <v>71256.337300000014</v>
      </c>
      <c r="D107" s="489">
        <f>'3 OPBUD Detail'!J102</f>
        <v>69180.91</v>
      </c>
      <c r="E107" s="489">
        <f>'3 OPBUD Detail'!K102</f>
        <v>92497.190000000017</v>
      </c>
      <c r="F107" s="489">
        <f>'3 OPBUD Detail'!L102</f>
        <v>152070.71000000002</v>
      </c>
      <c r="G107" s="489">
        <f>'3 OPBUD Detail'!M102</f>
        <v>257423.15</v>
      </c>
      <c r="H107" s="489">
        <f>'3 OPBUD Detail'!N102</f>
        <v>173510.62</v>
      </c>
      <c r="I107" s="489">
        <f>'3 OPBUD Detail'!O102</f>
        <v>174648.84</v>
      </c>
      <c r="J107" s="489">
        <f>'3 OPBUD Detail'!P102</f>
        <v>115804.29000000001</v>
      </c>
      <c r="K107" s="333">
        <f>Table4[[#This Row],[FY26 BUDGET]]-Table4[[#This Row],[FY2027 REQUESTED BUDGET]]</f>
        <v>-2075.4273000000103</v>
      </c>
    </row>
    <row r="108" spans="1:11" x14ac:dyDescent="0.3">
      <c r="A108" s="331">
        <v>896</v>
      </c>
      <c r="B108" s="317" t="s">
        <v>272</v>
      </c>
      <c r="C108" s="332">
        <f>'3 OPBUD Detail'!I103</f>
        <v>1787010.8703000001</v>
      </c>
      <c r="D108" s="489">
        <f>'3 OPBUD Detail'!J103</f>
        <v>1687405.51</v>
      </c>
      <c r="E108" s="489">
        <f>'3 OPBUD Detail'!K103</f>
        <v>935814.31</v>
      </c>
      <c r="F108" s="489">
        <f>'3 OPBUD Detail'!L103</f>
        <v>857954.06</v>
      </c>
      <c r="G108" s="489">
        <f>'3 OPBUD Detail'!M103</f>
        <v>910196.14000000013</v>
      </c>
      <c r="H108" s="489">
        <f>'3 OPBUD Detail'!N103</f>
        <v>1011280.17</v>
      </c>
      <c r="I108" s="489">
        <f>'3 OPBUD Detail'!O103</f>
        <v>1306274.5699999998</v>
      </c>
      <c r="J108" s="489">
        <f>'3 OPBUD Detail'!P103</f>
        <v>1098110.1299999999</v>
      </c>
      <c r="K108" s="333">
        <f>Table4[[#This Row],[FY26 BUDGET]]-Table4[[#This Row],[FY2027 REQUESTED BUDGET]]</f>
        <v>-99605.360300000058</v>
      </c>
    </row>
    <row r="109" spans="1:11" s="335" customFormat="1" x14ac:dyDescent="0.3">
      <c r="A109" s="331">
        <v>897</v>
      </c>
      <c r="B109" s="334" t="s">
        <v>273</v>
      </c>
      <c r="C109" s="332">
        <f>'3 OPBUD Detail'!I104</f>
        <v>0</v>
      </c>
      <c r="D109" s="489">
        <f>'3 OPBUD Detail'!J104</f>
        <v>0</v>
      </c>
      <c r="E109" s="489">
        <f>'3 OPBUD Detail'!K104</f>
        <v>0</v>
      </c>
      <c r="F109" s="489">
        <f>'3 OPBUD Detail'!L104</f>
        <v>0</v>
      </c>
      <c r="G109" s="489">
        <f>'3 OPBUD Detail'!M104</f>
        <v>0</v>
      </c>
      <c r="H109" s="489">
        <f>'3 OPBUD Detail'!N104</f>
        <v>0</v>
      </c>
      <c r="I109" s="489">
        <f>'3 OPBUD Detail'!O104</f>
        <v>0</v>
      </c>
      <c r="J109" s="489">
        <f>'3 OPBUD Detail'!P104</f>
        <v>0</v>
      </c>
      <c r="K109" s="333">
        <f>Table4[[#This Row],[FY26 BUDGET]]-Table4[[#This Row],[FY2027 REQUESTED BUDGET]]</f>
        <v>0</v>
      </c>
    </row>
    <row r="110" spans="1:11" x14ac:dyDescent="0.3">
      <c r="A110" s="331">
        <v>898</v>
      </c>
      <c r="B110" s="317" t="s">
        <v>274</v>
      </c>
      <c r="C110" s="332">
        <f>'3 OPBUD Detail'!I105</f>
        <v>5150</v>
      </c>
      <c r="D110" s="489">
        <f>'3 OPBUD Detail'!J105</f>
        <v>-10371481.689999999</v>
      </c>
      <c r="E110" s="489">
        <f>'3 OPBUD Detail'!K105</f>
        <v>-21642112.370000001</v>
      </c>
      <c r="F110" s="489">
        <f>'3 OPBUD Detail'!L105</f>
        <v>0</v>
      </c>
      <c r="G110" s="489">
        <f>'3 OPBUD Detail'!M105</f>
        <v>2157.6999999999998</v>
      </c>
      <c r="H110" s="489">
        <f>'3 OPBUD Detail'!N105</f>
        <v>4140.38</v>
      </c>
      <c r="I110" s="489">
        <f>'3 OPBUD Detail'!O105</f>
        <v>0</v>
      </c>
      <c r="J110" s="489">
        <f>'3 OPBUD Detail'!P105</f>
        <v>0</v>
      </c>
      <c r="K110" s="333">
        <f>Table4[[#This Row],[FY26 BUDGET]]-Table4[[#This Row],[FY2027 REQUESTED BUDGET]]</f>
        <v>-10376631.689999999</v>
      </c>
    </row>
    <row r="111" spans="1:11" x14ac:dyDescent="0.3">
      <c r="A111" s="331">
        <v>899</v>
      </c>
      <c r="B111" s="317" t="s">
        <v>275</v>
      </c>
      <c r="C111" s="332">
        <f>'3 OPBUD Detail'!I106</f>
        <v>0</v>
      </c>
      <c r="D111" s="489">
        <f>'3 OPBUD Detail'!J106</f>
        <v>0</v>
      </c>
      <c r="E111" s="489">
        <f>'3 OPBUD Detail'!K106</f>
        <v>0</v>
      </c>
      <c r="F111" s="489">
        <f>'3 OPBUD Detail'!L106</f>
        <v>0</v>
      </c>
      <c r="G111" s="489">
        <f>'3 OPBUD Detail'!M106</f>
        <v>0</v>
      </c>
      <c r="H111" s="489">
        <f>'3 OPBUD Detail'!N106</f>
        <v>0</v>
      </c>
      <c r="I111" s="489">
        <f>'3 OPBUD Detail'!O106</f>
        <v>0</v>
      </c>
      <c r="J111" s="489">
        <f>'3 OPBUD Detail'!P106</f>
        <v>0</v>
      </c>
      <c r="K111" s="333">
        <f>Table4[[#This Row],[FY26 BUDGET]]-Table4[[#This Row],[FY2027 REQUESTED BUDGET]]</f>
        <v>0</v>
      </c>
    </row>
    <row r="112" spans="1:11" ht="15" thickBot="1" x14ac:dyDescent="0.35">
      <c r="A112" s="336"/>
      <c r="C112" s="337"/>
      <c r="D112" s="490"/>
      <c r="E112" s="490"/>
      <c r="F112" s="490"/>
      <c r="G112" s="490"/>
      <c r="H112" s="490"/>
      <c r="I112" s="490"/>
      <c r="J112" s="490"/>
      <c r="K112" s="339"/>
    </row>
    <row r="113" spans="1:13" ht="16.5" customHeight="1" thickBot="1" x14ac:dyDescent="0.35">
      <c r="A113" s="340"/>
      <c r="B113" s="341" t="s">
        <v>276</v>
      </c>
      <c r="C113" s="332">
        <f>SUBTOTAL(109,Table4[FY2027 REQUESTED BUDGET])</f>
        <v>293562103.28942895</v>
      </c>
      <c r="D113" s="504">
        <f>SUBTOTAL(109,Table4[FY26 BUDGET])</f>
        <v>245860981.81999996</v>
      </c>
      <c r="E113" s="504">
        <f>SUBTOTAL(109,Table4[FY2025])</f>
        <v>242735981.8199999</v>
      </c>
      <c r="F113" s="504">
        <f>SUBTOTAL(109,Table4[FY2024])</f>
        <v>239735981.82000002</v>
      </c>
      <c r="G113" s="504">
        <f>SUBTOTAL(109,Table4[FY2023])</f>
        <v>237235977.46999997</v>
      </c>
      <c r="H113" s="504">
        <f>SUBTOTAL(109,Table4[FY2022])</f>
        <v>235235977.11999995</v>
      </c>
      <c r="I113" s="504">
        <f>SUBTOTAL(109,Table4[FY2021])</f>
        <v>233235977.14000002</v>
      </c>
      <c r="J113" s="504">
        <f>SUBTOTAL(109,Table4[FY2020])</f>
        <v>230985976.96999988</v>
      </c>
      <c r="K113" s="342">
        <f>SUBTOTAL(109,Table4[VARIANCE])</f>
        <v>-47701121.469428897</v>
      </c>
    </row>
    <row r="114" spans="1:13" x14ac:dyDescent="0.3">
      <c r="A114" s="336"/>
      <c r="C114" s="338"/>
      <c r="D114" s="490"/>
      <c r="E114" s="490"/>
      <c r="F114" s="490"/>
      <c r="G114" s="490"/>
      <c r="H114" s="490"/>
      <c r="I114" s="338"/>
      <c r="J114" s="343"/>
      <c r="K114"/>
    </row>
    <row r="115" spans="1:13" ht="37.5" customHeight="1" thickBot="1" x14ac:dyDescent="0.35">
      <c r="A115" s="344" t="s">
        <v>277</v>
      </c>
      <c r="B115" s="345" t="s">
        <v>278</v>
      </c>
      <c r="C115" s="467" t="s">
        <v>1370</v>
      </c>
      <c r="D115" s="491" t="s">
        <v>1372</v>
      </c>
      <c r="E115" s="491" t="s">
        <v>1325</v>
      </c>
      <c r="F115" s="491" t="s">
        <v>1324</v>
      </c>
      <c r="G115" s="491" t="s">
        <v>1326</v>
      </c>
      <c r="H115" s="491" t="s">
        <v>1327</v>
      </c>
      <c r="I115" s="491" t="s">
        <v>1373</v>
      </c>
      <c r="J115" s="491" t="s">
        <v>1374</v>
      </c>
      <c r="K115" s="344" t="s">
        <v>171</v>
      </c>
      <c r="L115" s="322"/>
      <c r="M115" s="322"/>
    </row>
    <row r="116" spans="1:13" ht="18" customHeight="1" x14ac:dyDescent="0.3">
      <c r="A116" s="346" t="s">
        <v>279</v>
      </c>
      <c r="B116" s="347" t="s">
        <v>280</v>
      </c>
      <c r="C116" s="348">
        <f>'3 OPBUD Detail'!I111</f>
        <v>195764002.64973891</v>
      </c>
      <c r="D116" s="492">
        <f>+'3 OPBUD Detail'!J111</f>
        <v>170477528.78</v>
      </c>
      <c r="E116" s="492">
        <f>+'3 OPBUD Detail'!K111</f>
        <v>175380845.27999997</v>
      </c>
      <c r="F116" s="492">
        <f>+'3 OPBUD Detail'!L111</f>
        <v>163928145.71000001</v>
      </c>
      <c r="G116" s="492">
        <f>+'3 OPBUD Detail'!M111</f>
        <v>164229143.63999996</v>
      </c>
      <c r="H116" s="492">
        <f>+'3 OPBUD Detail'!N111</f>
        <v>164710351.26999995</v>
      </c>
      <c r="I116" s="492">
        <f>+'3 OPBUD Detail'!O111</f>
        <v>168377170.13999999</v>
      </c>
      <c r="J116" s="492">
        <f>+'3 OPBUD Detail'!P111</f>
        <v>166468959.19999993</v>
      </c>
      <c r="K116" s="349">
        <f t="shared" ref="K116:K120" si="0">D116-C116</f>
        <v>-25286473.869738907</v>
      </c>
      <c r="L116" s="322"/>
      <c r="M116" s="322"/>
    </row>
    <row r="117" spans="1:13" ht="18" customHeight="1" x14ac:dyDescent="0.3">
      <c r="A117" s="350" t="s">
        <v>281</v>
      </c>
      <c r="B117" s="351" t="s">
        <v>282</v>
      </c>
      <c r="C117" s="348">
        <f>'3 OPBUD Detail'!I112</f>
        <v>8811.3313999999991</v>
      </c>
      <c r="D117" s="492">
        <f>+'3 OPBUD Detail'!J112</f>
        <v>387572.41000000003</v>
      </c>
      <c r="E117" s="492">
        <f>+'3 OPBUD Detail'!K112</f>
        <v>416913.39</v>
      </c>
      <c r="F117" s="492">
        <f>+'3 OPBUD Detail'!L112</f>
        <v>266929.66000000003</v>
      </c>
      <c r="G117" s="492">
        <f>+'3 OPBUD Detail'!M112</f>
        <v>142071.07</v>
      </c>
      <c r="H117" s="492">
        <f>+'3 OPBUD Detail'!N112</f>
        <v>137461.28</v>
      </c>
      <c r="I117" s="492">
        <f>+'3 OPBUD Detail'!O112</f>
        <v>170373.71</v>
      </c>
      <c r="J117" s="492">
        <f>+'3 OPBUD Detail'!P112</f>
        <v>185710.22999999998</v>
      </c>
      <c r="K117" s="352">
        <f t="shared" si="0"/>
        <v>378761.07860000001</v>
      </c>
      <c r="L117" s="322"/>
      <c r="M117" s="322"/>
    </row>
    <row r="118" spans="1:13" ht="18" customHeight="1" x14ac:dyDescent="0.3">
      <c r="A118" s="350" t="s">
        <v>283</v>
      </c>
      <c r="B118" s="351" t="s">
        <v>284</v>
      </c>
      <c r="C118" s="348">
        <f>'3 OPBUD Detail'!I113</f>
        <v>17132984.575563949</v>
      </c>
      <c r="D118" s="492">
        <f>+'3 OPBUD Detail'!J113</f>
        <v>15725431.399999999</v>
      </c>
      <c r="E118" s="492">
        <f>+'3 OPBUD Detail'!K113</f>
        <v>16724717.779999997</v>
      </c>
      <c r="F118" s="492">
        <f>+'3 OPBUD Detail'!L113</f>
        <v>15173756.75</v>
      </c>
      <c r="G118" s="492">
        <f>+'3 OPBUD Detail'!M113</f>
        <v>15577905.220000003</v>
      </c>
      <c r="H118" s="492">
        <f>+'3 OPBUD Detail'!N113</f>
        <v>14570830.57</v>
      </c>
      <c r="I118" s="492">
        <f>+'3 OPBUD Detail'!O113</f>
        <v>14071993.079999998</v>
      </c>
      <c r="J118" s="492">
        <f>+'3 OPBUD Detail'!P113</f>
        <v>14667910.130000001</v>
      </c>
      <c r="K118" s="352">
        <f t="shared" si="0"/>
        <v>-1407553.1755639501</v>
      </c>
      <c r="L118" s="322"/>
      <c r="M118" s="322"/>
    </row>
    <row r="119" spans="1:13" ht="18" customHeight="1" x14ac:dyDescent="0.3">
      <c r="A119" s="350" t="s">
        <v>285</v>
      </c>
      <c r="B119" s="351" t="s">
        <v>286</v>
      </c>
      <c r="C119" s="348">
        <f>'3 OPBUD Detail'!I114</f>
        <v>1954441.9620165161</v>
      </c>
      <c r="D119" s="492">
        <f>+'3 OPBUD Detail'!J114</f>
        <v>2234818.15</v>
      </c>
      <c r="E119" s="492">
        <f>+'3 OPBUD Detail'!K114</f>
        <v>2376320.33</v>
      </c>
      <c r="F119" s="492">
        <f>+'3 OPBUD Detail'!L114</f>
        <v>1504703.1700000004</v>
      </c>
      <c r="G119" s="492">
        <f>+'3 OPBUD Detail'!M114</f>
        <v>1209912.82</v>
      </c>
      <c r="H119" s="492">
        <f>+'3 OPBUD Detail'!N114</f>
        <v>1403605.26</v>
      </c>
      <c r="I119" s="492">
        <f>+'3 OPBUD Detail'!O114</f>
        <v>1168365.6599999999</v>
      </c>
      <c r="J119" s="492">
        <f>+'3 OPBUD Detail'!P114</f>
        <v>1129645.24</v>
      </c>
      <c r="K119" s="352">
        <f t="shared" si="0"/>
        <v>280376.18798348377</v>
      </c>
      <c r="L119" s="322"/>
      <c r="M119" s="322"/>
    </row>
    <row r="120" spans="1:13" ht="18" customHeight="1" thickBot="1" x14ac:dyDescent="0.35">
      <c r="A120" s="353" t="s">
        <v>287</v>
      </c>
      <c r="B120" s="354" t="s">
        <v>288</v>
      </c>
      <c r="C120" s="348">
        <f>'3 OPBUD Detail'!I115</f>
        <v>78701862.770709589</v>
      </c>
      <c r="D120" s="492">
        <f>+'3 OPBUD Detail'!J115</f>
        <v>57035631.079999998</v>
      </c>
      <c r="E120" s="492">
        <f>+'3 OPBUD Detail'!K115</f>
        <v>47837185.040000007</v>
      </c>
      <c r="F120" s="492">
        <f>+'3 OPBUD Detail'!L115</f>
        <v>58862446.529999994</v>
      </c>
      <c r="G120" s="492">
        <f>+'3 OPBUD Detail'!M115</f>
        <v>56076944.719999991</v>
      </c>
      <c r="H120" s="492">
        <f>+'3 OPBUD Detail'!N115</f>
        <v>54413728.74000001</v>
      </c>
      <c r="I120" s="492">
        <f>+'3 OPBUD Detail'!O115</f>
        <v>49448074.550000004</v>
      </c>
      <c r="J120" s="492">
        <f>+'3 OPBUD Detail'!P115</f>
        <v>48533752.170000002</v>
      </c>
      <c r="K120" s="352">
        <f t="shared" si="0"/>
        <v>-21666231.690709591</v>
      </c>
      <c r="L120" s="322"/>
      <c r="M120" s="322"/>
    </row>
    <row r="121" spans="1:13" ht="18" customHeight="1" thickBot="1" x14ac:dyDescent="0.35">
      <c r="A121" s="355"/>
      <c r="B121" s="355"/>
      <c r="C121" s="356">
        <f>SUM(Table15[FY2027 REQUESTED BUDGET])</f>
        <v>293562103.28942895</v>
      </c>
      <c r="D121" s="493">
        <f>SUM(Table15[FY26 BUDGET])</f>
        <v>245860981.81999999</v>
      </c>
      <c r="E121" s="493">
        <f>SUM(Table15[FY2025])</f>
        <v>242735981.81999999</v>
      </c>
      <c r="F121" s="493">
        <f>SUM(Table15[FY2024])</f>
        <v>239735981.81999999</v>
      </c>
      <c r="G121" s="493">
        <f>SUM(Table15[FY2023])</f>
        <v>237235977.46999994</v>
      </c>
      <c r="H121" s="493">
        <f>SUM(Table15[FY2022])</f>
        <v>235235977.11999995</v>
      </c>
      <c r="I121" s="493">
        <f>SUM(Table15[FY20222])</f>
        <v>233235977.14000002</v>
      </c>
      <c r="J121" s="493">
        <f>SUM(Table15[FY20223])</f>
        <v>230985976.96999991</v>
      </c>
      <c r="K121" s="357">
        <f>SUM(K116:K120)</f>
        <v>-47701121.469428964</v>
      </c>
    </row>
    <row r="122" spans="1:13" ht="18" customHeight="1" x14ac:dyDescent="0.3">
      <c r="A122" s="358"/>
      <c r="B122" s="358"/>
      <c r="C122" s="358"/>
      <c r="D122" s="435"/>
      <c r="E122" s="435"/>
      <c r="F122" s="435"/>
      <c r="G122" s="435"/>
      <c r="H122" s="435"/>
      <c r="I122" s="359"/>
      <c r="J122" s="358"/>
    </row>
    <row r="123" spans="1:13" ht="15" hidden="1" thickBot="1" x14ac:dyDescent="0.35">
      <c r="A123" s="358"/>
      <c r="B123" s="358"/>
      <c r="C123" s="358"/>
      <c r="D123" s="435"/>
      <c r="E123" s="494" t="s">
        <v>289</v>
      </c>
      <c r="F123" s="495"/>
      <c r="G123" s="495"/>
      <c r="H123" s="496" t="s">
        <v>290</v>
      </c>
      <c r="I123" s="357">
        <v>0</v>
      </c>
    </row>
    <row r="124" spans="1:13" ht="15" hidden="1" thickBot="1" x14ac:dyDescent="0.35">
      <c r="A124" s="358"/>
      <c r="B124" s="358"/>
      <c r="C124" s="358"/>
      <c r="D124" s="435"/>
      <c r="E124" s="494" t="s">
        <v>291</v>
      </c>
      <c r="F124" s="495"/>
      <c r="G124" s="495"/>
      <c r="H124" s="496" t="s">
        <v>290</v>
      </c>
      <c r="I124" s="357">
        <v>0</v>
      </c>
    </row>
    <row r="125" spans="1:13" ht="15" hidden="1" thickBot="1" x14ac:dyDescent="0.35">
      <c r="A125" s="358"/>
      <c r="B125" s="358"/>
      <c r="C125" s="358"/>
      <c r="D125" s="435"/>
      <c r="E125" s="494" t="s">
        <v>289</v>
      </c>
      <c r="F125" s="495"/>
      <c r="G125" s="495"/>
      <c r="H125" s="443" t="s">
        <v>292</v>
      </c>
      <c r="I125" s="357" t="e">
        <f>+'3 OPBUD Detail'!Q119</f>
        <v>#REF!</v>
      </c>
    </row>
    <row r="126" spans="1:13" ht="15" hidden="1" thickBot="1" x14ac:dyDescent="0.35">
      <c r="A126" s="336"/>
      <c r="C126" s="338"/>
      <c r="D126" s="490"/>
      <c r="E126" s="494" t="s">
        <v>289</v>
      </c>
      <c r="F126" s="495"/>
      <c r="G126" s="495"/>
      <c r="H126" s="443" t="s">
        <v>293</v>
      </c>
      <c r="I126" s="357">
        <f>'[1]3 OPBUD_Detail'!O4379</f>
        <v>0</v>
      </c>
      <c r="J126" s="343"/>
      <c r="K126" s="343"/>
    </row>
    <row r="127" spans="1:13" ht="15" hidden="1" thickBot="1" x14ac:dyDescent="0.35">
      <c r="A127" s="336"/>
      <c r="C127" s="338"/>
      <c r="D127" s="490"/>
      <c r="E127" s="494" t="s">
        <v>289</v>
      </c>
      <c r="F127" s="495"/>
      <c r="G127" s="495"/>
      <c r="H127" s="443" t="s">
        <v>294</v>
      </c>
      <c r="I127" s="357">
        <f>'[1]3 OPBUD_Detail'!O4381</f>
        <v>0</v>
      </c>
      <c r="J127" s="343"/>
      <c r="K127" s="343"/>
    </row>
    <row r="128" spans="1:13" ht="15" hidden="1" thickBot="1" x14ac:dyDescent="0.35">
      <c r="A128" s="358"/>
      <c r="B128" s="358"/>
      <c r="C128" s="358"/>
      <c r="D128" s="435"/>
      <c r="E128" s="497"/>
      <c r="F128" s="497"/>
      <c r="G128" s="497"/>
      <c r="H128" s="498" t="s">
        <v>295</v>
      </c>
      <c r="I128" s="357" t="e">
        <f>SUM(I121:I127)</f>
        <v>#REF!</v>
      </c>
    </row>
    <row r="129" spans="1:17" ht="18" hidden="1" customHeight="1" x14ac:dyDescent="0.3">
      <c r="B129" s="360"/>
      <c r="Q129" s="335"/>
    </row>
    <row r="130" spans="1:17" ht="18" customHeight="1" x14ac:dyDescent="0.3">
      <c r="A130"/>
      <c r="B130"/>
      <c r="C130" s="361"/>
      <c r="D130" s="499"/>
      <c r="E130" s="499"/>
      <c r="Q130" s="335"/>
    </row>
    <row r="131" spans="1:17" ht="18" customHeight="1" x14ac:dyDescent="0.3">
      <c r="A131"/>
      <c r="B131"/>
      <c r="C131" s="361"/>
      <c r="D131" s="499"/>
      <c r="E131" s="499"/>
    </row>
  </sheetData>
  <sheetProtection algorithmName="SHA-512" hashValue="/KqjeG/UKQKKi+xkSM/UpMsxDxhKjZridQ6TOYxzcoA6VXPLOVVTJ25CiSHbw461m/lruMC0Ik/HN++pvaurUQ==" saltValue="LIaKc2Uz0WR8RBbwpWtZnw==" spinCount="100000" sheet="1" objects="1" scenarios="1"/>
  <phoneticPr fontId="87" type="noConversion"/>
  <pageMargins left="0.7" right="0.35" top="0.75" bottom="0.75" header="0.3" footer="0.3"/>
  <pageSetup paperSize="3" scale="84" fitToHeight="0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494D-AFD1-48E5-A2F3-19E8205F22D0}">
  <sheetPr>
    <pageSetUpPr fitToPage="1"/>
  </sheetPr>
  <dimension ref="A2:X5100"/>
  <sheetViews>
    <sheetView tabSelected="1" workbookViewId="0"/>
  </sheetViews>
  <sheetFormatPr defaultColWidth="9" defaultRowHeight="14.4" outlineLevelRow="2" x14ac:dyDescent="0.3"/>
  <cols>
    <col min="1" max="1" width="15.5546875" style="366" customWidth="1"/>
    <col min="2" max="2" width="22.109375" style="366" customWidth="1"/>
    <col min="3" max="3" width="6.44140625" style="367" customWidth="1"/>
    <col min="4" max="4" width="7.6640625" style="367" customWidth="1"/>
    <col min="5" max="5" width="8.6640625" style="367" customWidth="1"/>
    <col min="6" max="6" width="29.33203125" style="367" customWidth="1"/>
    <col min="7" max="7" width="10.5546875" style="367" customWidth="1"/>
    <col min="8" max="8" width="10.6640625" style="462" customWidth="1"/>
    <col min="9" max="9" width="20.33203125" style="447" customWidth="1"/>
    <col min="10" max="10" width="16.109375" style="447" bestFit="1" customWidth="1"/>
    <col min="11" max="11" width="15.109375" style="447" customWidth="1"/>
    <col min="12" max="12" width="15.6640625" style="447" customWidth="1"/>
    <col min="13" max="13" width="18.44140625" style="447" customWidth="1"/>
    <col min="14" max="14" width="16.109375" style="435" customWidth="1"/>
    <col min="15" max="15" width="15.5546875" style="471" customWidth="1"/>
    <col min="16" max="16" width="17.44140625" style="365" customWidth="1"/>
    <col min="17" max="17" width="13.88671875" style="365" customWidth="1"/>
    <col min="18" max="18" width="25.6640625" style="365" customWidth="1"/>
    <col min="19" max="19" width="7.6640625" style="365" customWidth="1"/>
    <col min="20" max="20" width="22.6640625" style="365" customWidth="1"/>
    <col min="21" max="21" width="19" style="365" customWidth="1"/>
    <col min="22" max="16384" width="9" style="365"/>
  </cols>
  <sheetData>
    <row r="2" spans="1:17" ht="27" customHeight="1" x14ac:dyDescent="0.3">
      <c r="A2" s="362" t="s">
        <v>296</v>
      </c>
      <c r="B2" s="362" t="s">
        <v>297</v>
      </c>
      <c r="C2" s="363"/>
      <c r="D2" s="364" t="s">
        <v>298</v>
      </c>
      <c r="E2" s="364" t="s">
        <v>299</v>
      </c>
      <c r="F2" s="364" t="s">
        <v>300</v>
      </c>
      <c r="G2" s="364" t="s">
        <v>170</v>
      </c>
      <c r="H2" s="455" t="s">
        <v>301</v>
      </c>
      <c r="I2" s="503" t="s">
        <v>1370</v>
      </c>
      <c r="J2" s="432" t="s">
        <v>1372</v>
      </c>
      <c r="K2" s="432" t="s">
        <v>1325</v>
      </c>
      <c r="L2" s="432" t="s">
        <v>1324</v>
      </c>
      <c r="M2" s="432" t="s">
        <v>1326</v>
      </c>
      <c r="N2" s="432" t="s">
        <v>1327</v>
      </c>
      <c r="O2" s="432" t="s">
        <v>1375</v>
      </c>
      <c r="P2" s="432" t="s">
        <v>1376</v>
      </c>
      <c r="Q2" s="468" t="s">
        <v>171</v>
      </c>
    </row>
    <row r="3" spans="1:17" x14ac:dyDescent="0.3">
      <c r="D3" s="368">
        <v>800</v>
      </c>
      <c r="E3" s="369"/>
      <c r="F3" s="370" t="s">
        <v>302</v>
      </c>
      <c r="G3" s="371">
        <f t="shared" ref="G3:G34" si="0">SUMIF($D$127:$D$5679,$D3,$G$127:$G$5679)</f>
        <v>63</v>
      </c>
      <c r="H3" s="456"/>
      <c r="I3" s="453">
        <f t="shared" ref="I3:I34" si="1">SUMIF($D$127:$D$5099,$D3,$I$127:$I$5099)</f>
        <v>12480514.267657822</v>
      </c>
      <c r="J3" s="433">
        <f t="shared" ref="J3:J34" si="2">SUMIF($D$127:$D$5679,$D3,$J$127:$J$5679)</f>
        <v>11214472.730000004</v>
      </c>
      <c r="K3" s="433">
        <f t="shared" ref="K3:K34" si="3">SUMIF($D$127:$D$5679,$D3,$K$127:$K$5679)</f>
        <v>12665928.350000003</v>
      </c>
      <c r="L3" s="433">
        <f t="shared" ref="L3:L34" si="4">SUMIF($D$127:$D$5679,$D3,$L$127:$L$5679)</f>
        <v>10150556.629999999</v>
      </c>
      <c r="M3" s="433">
        <f t="shared" ref="M3:M34" si="5">SUMIF($D$127:$D$5679,$D3,$M$127:$M$5679)</f>
        <v>9959847.4800000023</v>
      </c>
      <c r="N3" s="433">
        <f t="shared" ref="N3:N34" si="6">SUMIF($D$127:$D$5679,$D3,$N$127:$N$5679)</f>
        <v>9773662.7999999989</v>
      </c>
      <c r="O3" s="433">
        <f t="shared" ref="O3:O34" si="7">SUMIF($D$127:$D$5679,$D3,$O$127:$O$5679)</f>
        <v>9424897.9699999988</v>
      </c>
      <c r="P3" s="433">
        <f t="shared" ref="P3:P34" si="8">SUMIF($D$127:$D$5679,$D3,$P$127:$P$5679)</f>
        <v>9514850.1999999993</v>
      </c>
      <c r="Q3" s="469">
        <f>+Table210[[#This Row],[FY26 BUDGET]]-Table210[[#This Row],[FY2027 REQUESTED BUDGET]]</f>
        <v>-1266041.5376578178</v>
      </c>
    </row>
    <row r="4" spans="1:17" x14ac:dyDescent="0.3">
      <c r="D4" s="372">
        <v>801</v>
      </c>
      <c r="E4" s="369"/>
      <c r="F4" s="373" t="s">
        <v>173</v>
      </c>
      <c r="G4" s="371">
        <f t="shared" si="0"/>
        <v>288</v>
      </c>
      <c r="H4" s="456"/>
      <c r="I4" s="453">
        <f t="shared" si="1"/>
        <v>18885436.821806107</v>
      </c>
      <c r="J4" s="433">
        <f t="shared" si="2"/>
        <v>19959724.150000006</v>
      </c>
      <c r="K4" s="433">
        <f t="shared" si="3"/>
        <v>30029494.909999996</v>
      </c>
      <c r="L4" s="433">
        <f t="shared" si="4"/>
        <v>31415629.400000002</v>
      </c>
      <c r="M4" s="433">
        <f t="shared" si="5"/>
        <v>31772192.820000008</v>
      </c>
      <c r="N4" s="433">
        <f t="shared" si="6"/>
        <v>30790885.460000012</v>
      </c>
      <c r="O4" s="433">
        <f t="shared" si="7"/>
        <v>32029892.960000008</v>
      </c>
      <c r="P4" s="433">
        <f t="shared" si="8"/>
        <v>32188187.559999999</v>
      </c>
      <c r="Q4" s="469">
        <f>+Table210[[#This Row],[FY26 BUDGET]]-Table210[[#This Row],[FY2027 REQUESTED BUDGET]]</f>
        <v>1074287.3281938992</v>
      </c>
    </row>
    <row r="5" spans="1:17" x14ac:dyDescent="0.3">
      <c r="D5" s="368">
        <v>802</v>
      </c>
      <c r="E5" s="369"/>
      <c r="F5" s="370" t="s">
        <v>174</v>
      </c>
      <c r="G5" s="371">
        <f t="shared" si="0"/>
        <v>0</v>
      </c>
      <c r="H5" s="456"/>
      <c r="I5" s="453">
        <f t="shared" si="1"/>
        <v>4797663.8600000003</v>
      </c>
      <c r="J5" s="433">
        <f t="shared" si="2"/>
        <v>4483798</v>
      </c>
      <c r="K5" s="433">
        <f t="shared" si="3"/>
        <v>4004491.25</v>
      </c>
      <c r="L5" s="433">
        <f t="shared" si="4"/>
        <v>2316684.6800000002</v>
      </c>
      <c r="M5" s="433">
        <f t="shared" si="5"/>
        <v>1228489.4099999999</v>
      </c>
      <c r="N5" s="433">
        <f t="shared" si="6"/>
        <v>1435471.43</v>
      </c>
      <c r="O5" s="433">
        <f t="shared" si="7"/>
        <v>429004.08</v>
      </c>
      <c r="P5" s="433">
        <f t="shared" si="8"/>
        <v>1678701.04</v>
      </c>
      <c r="Q5" s="469">
        <f>+Table210[[#This Row],[FY26 BUDGET]]-Table210[[#This Row],[FY2027 REQUESTED BUDGET]]</f>
        <v>-313865.86000000034</v>
      </c>
    </row>
    <row r="6" spans="1:17" x14ac:dyDescent="0.3">
      <c r="D6" s="372">
        <v>803</v>
      </c>
      <c r="E6" s="369"/>
      <c r="F6" s="373" t="s">
        <v>175</v>
      </c>
      <c r="G6" s="371">
        <f t="shared" si="0"/>
        <v>9</v>
      </c>
      <c r="H6" s="456"/>
      <c r="I6" s="453">
        <f t="shared" si="1"/>
        <v>1317744.2341775035</v>
      </c>
      <c r="J6" s="433">
        <f t="shared" si="2"/>
        <v>83040.69</v>
      </c>
      <c r="K6" s="433">
        <f t="shared" si="3"/>
        <v>231389.76000000004</v>
      </c>
      <c r="L6" s="433">
        <f t="shared" si="4"/>
        <v>308629.48</v>
      </c>
      <c r="M6" s="433">
        <f t="shared" si="5"/>
        <v>255013.94999999998</v>
      </c>
      <c r="N6" s="433">
        <f t="shared" si="6"/>
        <v>245529.14999999997</v>
      </c>
      <c r="O6" s="433">
        <f t="shared" si="7"/>
        <v>0</v>
      </c>
      <c r="P6" s="433">
        <f t="shared" si="8"/>
        <v>0</v>
      </c>
      <c r="Q6" s="469">
        <f>+Table210[[#This Row],[FY26 BUDGET]]-Table210[[#This Row],[FY2027 REQUESTED BUDGET]]</f>
        <v>-1234703.5441775036</v>
      </c>
    </row>
    <row r="7" spans="1:17" x14ac:dyDescent="0.3">
      <c r="D7" s="368">
        <v>804</v>
      </c>
      <c r="E7" s="369"/>
      <c r="F7" s="370" t="s">
        <v>176</v>
      </c>
      <c r="G7" s="371">
        <f t="shared" si="0"/>
        <v>63</v>
      </c>
      <c r="H7" s="456"/>
      <c r="I7" s="453">
        <f t="shared" si="1"/>
        <v>5344091.039007091</v>
      </c>
      <c r="J7" s="433">
        <f t="shared" si="2"/>
        <v>4166117.74</v>
      </c>
      <c r="K7" s="433">
        <f t="shared" si="3"/>
        <v>5086193.6799999988</v>
      </c>
      <c r="L7" s="433">
        <f t="shared" si="4"/>
        <v>5075874.4900000021</v>
      </c>
      <c r="M7" s="433">
        <f t="shared" si="5"/>
        <v>5024695.66</v>
      </c>
      <c r="N7" s="433">
        <f t="shared" si="6"/>
        <v>4865654.4600000009</v>
      </c>
      <c r="O7" s="433">
        <f t="shared" si="7"/>
        <v>4699523.3900000006</v>
      </c>
      <c r="P7" s="433">
        <f t="shared" si="8"/>
        <v>4530794.7499999963</v>
      </c>
      <c r="Q7" s="469">
        <f>+Table210[[#This Row],[FY26 BUDGET]]-Table210[[#This Row],[FY2027 REQUESTED BUDGET]]</f>
        <v>-1177973.2990070907</v>
      </c>
    </row>
    <row r="8" spans="1:17" x14ac:dyDescent="0.3">
      <c r="D8" s="372">
        <v>805</v>
      </c>
      <c r="E8" s="369"/>
      <c r="F8" s="373" t="s">
        <v>177</v>
      </c>
      <c r="G8" s="371">
        <f t="shared" si="0"/>
        <v>0</v>
      </c>
      <c r="H8" s="456"/>
      <c r="I8" s="453">
        <f t="shared" si="1"/>
        <v>114831.9293</v>
      </c>
      <c r="J8" s="433">
        <f t="shared" si="2"/>
        <v>111487.31</v>
      </c>
      <c r="K8" s="433">
        <f t="shared" si="3"/>
        <v>76619.56</v>
      </c>
      <c r="L8" s="433">
        <f t="shared" si="4"/>
        <v>86049.54</v>
      </c>
      <c r="M8" s="433">
        <f t="shared" si="5"/>
        <v>98881.12999999999</v>
      </c>
      <c r="N8" s="433">
        <f t="shared" si="6"/>
        <v>111845.23999999999</v>
      </c>
      <c r="O8" s="433">
        <f t="shared" si="7"/>
        <v>40780.339999999997</v>
      </c>
      <c r="P8" s="433">
        <f t="shared" si="8"/>
        <v>45767.32</v>
      </c>
      <c r="Q8" s="469">
        <f>+Table210[[#This Row],[FY26 BUDGET]]-Table210[[#This Row],[FY2027 REQUESTED BUDGET]]</f>
        <v>-3344.6193000000058</v>
      </c>
    </row>
    <row r="9" spans="1:17" x14ac:dyDescent="0.3">
      <c r="D9" s="368">
        <v>806</v>
      </c>
      <c r="E9" s="369"/>
      <c r="F9" s="370" t="s">
        <v>178</v>
      </c>
      <c r="G9" s="371">
        <f t="shared" si="0"/>
        <v>0</v>
      </c>
      <c r="H9" s="456"/>
      <c r="I9" s="453">
        <f t="shared" si="1"/>
        <v>623774.8078719998</v>
      </c>
      <c r="J9" s="433">
        <f t="shared" si="2"/>
        <v>566870.73999999976</v>
      </c>
      <c r="K9" s="433">
        <f t="shared" si="3"/>
        <v>608540.30000000005</v>
      </c>
      <c r="L9" s="433">
        <f t="shared" si="4"/>
        <v>421314.12</v>
      </c>
      <c r="M9" s="433">
        <f t="shared" si="5"/>
        <v>430724.62999999995</v>
      </c>
      <c r="N9" s="433">
        <f t="shared" si="6"/>
        <v>355559.3</v>
      </c>
      <c r="O9" s="433">
        <f t="shared" si="7"/>
        <v>392320.86999999988</v>
      </c>
      <c r="P9" s="433">
        <f t="shared" si="8"/>
        <v>376904.37000000005</v>
      </c>
      <c r="Q9" s="469">
        <f>+Table210[[#This Row],[FY26 BUDGET]]-Table210[[#This Row],[FY2027 REQUESTED BUDGET]]</f>
        <v>-56904.067872000043</v>
      </c>
    </row>
    <row r="10" spans="1:17" x14ac:dyDescent="0.3">
      <c r="D10" s="372">
        <v>807</v>
      </c>
      <c r="E10" s="369"/>
      <c r="F10" s="373" t="s">
        <v>179</v>
      </c>
      <c r="G10" s="371">
        <f t="shared" si="0"/>
        <v>0</v>
      </c>
      <c r="H10" s="456"/>
      <c r="I10" s="453">
        <f t="shared" si="1"/>
        <v>0</v>
      </c>
      <c r="J10" s="433">
        <f t="shared" si="2"/>
        <v>0</v>
      </c>
      <c r="K10" s="433">
        <f t="shared" si="3"/>
        <v>0</v>
      </c>
      <c r="L10" s="433">
        <f t="shared" si="4"/>
        <v>0</v>
      </c>
      <c r="M10" s="433">
        <f t="shared" si="5"/>
        <v>0</v>
      </c>
      <c r="N10" s="433">
        <f t="shared" si="6"/>
        <v>0</v>
      </c>
      <c r="O10" s="433">
        <f t="shared" si="7"/>
        <v>0</v>
      </c>
      <c r="P10" s="433">
        <f t="shared" si="8"/>
        <v>0</v>
      </c>
      <c r="Q10" s="469">
        <f>+Table210[[#This Row],[FY26 BUDGET]]-Table210[[#This Row],[FY2027 REQUESTED BUDGET]]</f>
        <v>0</v>
      </c>
    </row>
    <row r="11" spans="1:17" x14ac:dyDescent="0.3">
      <c r="D11" s="368">
        <v>808</v>
      </c>
      <c r="E11" s="369"/>
      <c r="F11" s="370" t="s">
        <v>180</v>
      </c>
      <c r="G11" s="371">
        <f t="shared" si="0"/>
        <v>0</v>
      </c>
      <c r="H11" s="456"/>
      <c r="I11" s="453">
        <f t="shared" si="1"/>
        <v>0</v>
      </c>
      <c r="J11" s="433">
        <f t="shared" si="2"/>
        <v>0</v>
      </c>
      <c r="K11" s="433">
        <f t="shared" si="3"/>
        <v>0</v>
      </c>
      <c r="L11" s="433">
        <f t="shared" si="4"/>
        <v>0</v>
      </c>
      <c r="M11" s="433">
        <f t="shared" si="5"/>
        <v>0</v>
      </c>
      <c r="N11" s="433">
        <f t="shared" si="6"/>
        <v>0</v>
      </c>
      <c r="O11" s="433">
        <f t="shared" si="7"/>
        <v>0</v>
      </c>
      <c r="P11" s="433">
        <f t="shared" si="8"/>
        <v>0</v>
      </c>
      <c r="Q11" s="469">
        <f>+Table210[[#This Row],[FY26 BUDGET]]-Table210[[#This Row],[FY2027 REQUESTED BUDGET]]</f>
        <v>0</v>
      </c>
    </row>
    <row r="12" spans="1:17" x14ac:dyDescent="0.3">
      <c r="D12" s="372">
        <v>809</v>
      </c>
      <c r="E12" s="369"/>
      <c r="F12" s="373" t="s">
        <v>181</v>
      </c>
      <c r="G12" s="371">
        <f t="shared" si="0"/>
        <v>52</v>
      </c>
      <c r="H12" s="456"/>
      <c r="I12" s="453">
        <f t="shared" si="1"/>
        <v>826321.44254955009</v>
      </c>
      <c r="J12" s="433">
        <f t="shared" si="2"/>
        <v>5801079.4099999992</v>
      </c>
      <c r="K12" s="433">
        <f t="shared" si="3"/>
        <v>4742923.2700000005</v>
      </c>
      <c r="L12" s="433">
        <f t="shared" si="4"/>
        <v>3436543.8299999996</v>
      </c>
      <c r="M12" s="433">
        <f t="shared" si="5"/>
        <v>3309479.7899999996</v>
      </c>
      <c r="N12" s="433">
        <f t="shared" si="6"/>
        <v>3383298.6599999997</v>
      </c>
      <c r="O12" s="433">
        <f t="shared" si="7"/>
        <v>3705966.709999999</v>
      </c>
      <c r="P12" s="433">
        <f t="shared" si="8"/>
        <v>3939258.6900000004</v>
      </c>
      <c r="Q12" s="469">
        <f>+Table210[[#This Row],[FY26 BUDGET]]-Table210[[#This Row],[FY2027 REQUESTED BUDGET]]</f>
        <v>4974757.9674504492</v>
      </c>
    </row>
    <row r="13" spans="1:17" x14ac:dyDescent="0.3">
      <c r="D13" s="368">
        <v>810</v>
      </c>
      <c r="E13" s="369"/>
      <c r="F13" s="370" t="s">
        <v>182</v>
      </c>
      <c r="G13" s="371">
        <f t="shared" si="0"/>
        <v>53</v>
      </c>
      <c r="H13" s="456"/>
      <c r="I13" s="453">
        <f t="shared" si="1"/>
        <v>1548586.1745962852</v>
      </c>
      <c r="J13" s="433">
        <f t="shared" si="2"/>
        <v>6301537.959999999</v>
      </c>
      <c r="K13" s="433">
        <f t="shared" si="3"/>
        <v>6594240.1099999985</v>
      </c>
      <c r="L13" s="433">
        <f t="shared" si="4"/>
        <v>4788680.9700000016</v>
      </c>
      <c r="M13" s="433">
        <f t="shared" si="5"/>
        <v>6044003.1900000023</v>
      </c>
      <c r="N13" s="433">
        <f t="shared" si="6"/>
        <v>6398991.2399999974</v>
      </c>
      <c r="O13" s="433">
        <f t="shared" si="7"/>
        <v>6267690.6799999997</v>
      </c>
      <c r="P13" s="433">
        <f t="shared" si="8"/>
        <v>6420189.7999999989</v>
      </c>
      <c r="Q13" s="469">
        <f>+Table210[[#This Row],[FY26 BUDGET]]-Table210[[#This Row],[FY2027 REQUESTED BUDGET]]</f>
        <v>4752951.7854037136</v>
      </c>
    </row>
    <row r="14" spans="1:17" x14ac:dyDescent="0.3">
      <c r="D14" s="372">
        <v>811</v>
      </c>
      <c r="E14" s="369"/>
      <c r="F14" s="373" t="s">
        <v>183</v>
      </c>
      <c r="G14" s="371">
        <f t="shared" si="0"/>
        <v>0</v>
      </c>
      <c r="H14" s="456"/>
      <c r="I14" s="453">
        <f t="shared" si="1"/>
        <v>0</v>
      </c>
      <c r="J14" s="433">
        <f t="shared" si="2"/>
        <v>0</v>
      </c>
      <c r="K14" s="433">
        <f t="shared" si="3"/>
        <v>0</v>
      </c>
      <c r="L14" s="433">
        <f t="shared" si="4"/>
        <v>13547.08</v>
      </c>
      <c r="M14" s="433">
        <f t="shared" si="5"/>
        <v>0</v>
      </c>
      <c r="N14" s="433">
        <f t="shared" si="6"/>
        <v>0</v>
      </c>
      <c r="O14" s="433">
        <f t="shared" si="7"/>
        <v>0</v>
      </c>
      <c r="P14" s="433">
        <f t="shared" si="8"/>
        <v>0</v>
      </c>
      <c r="Q14" s="469">
        <f>+Table210[[#This Row],[FY26 BUDGET]]-Table210[[#This Row],[FY2027 REQUESTED BUDGET]]</f>
        <v>0</v>
      </c>
    </row>
    <row r="15" spans="1:17" x14ac:dyDescent="0.3">
      <c r="D15" s="368">
        <v>812</v>
      </c>
      <c r="E15" s="369"/>
      <c r="F15" s="370" t="s">
        <v>184</v>
      </c>
      <c r="G15" s="371">
        <f t="shared" si="0"/>
        <v>18</v>
      </c>
      <c r="H15" s="456"/>
      <c r="I15" s="453">
        <f t="shared" si="1"/>
        <v>2171628.7202615901</v>
      </c>
      <c r="J15" s="433">
        <f t="shared" si="2"/>
        <v>1446558.14</v>
      </c>
      <c r="K15" s="433">
        <f t="shared" si="3"/>
        <v>1544226.13</v>
      </c>
      <c r="L15" s="433">
        <f t="shared" si="4"/>
        <v>1498052.7100000002</v>
      </c>
      <c r="M15" s="433">
        <f t="shared" si="5"/>
        <v>1582964.51</v>
      </c>
      <c r="N15" s="433">
        <f t="shared" si="6"/>
        <v>1883523.7100000002</v>
      </c>
      <c r="O15" s="433">
        <f t="shared" si="7"/>
        <v>1663441.6</v>
      </c>
      <c r="P15" s="433">
        <f t="shared" si="8"/>
        <v>1599014.76</v>
      </c>
      <c r="Q15" s="469">
        <f>+Table210[[#This Row],[FY26 BUDGET]]-Table210[[#This Row],[FY2027 REQUESTED BUDGET]]</f>
        <v>-725070.58026159019</v>
      </c>
    </row>
    <row r="16" spans="1:17" x14ac:dyDescent="0.3">
      <c r="D16" s="372">
        <v>813</v>
      </c>
      <c r="E16" s="369"/>
      <c r="F16" s="373" t="s">
        <v>185</v>
      </c>
      <c r="G16" s="371">
        <f t="shared" si="0"/>
        <v>45</v>
      </c>
      <c r="H16" s="456"/>
      <c r="I16" s="453">
        <f t="shared" si="1"/>
        <v>5163187.218893623</v>
      </c>
      <c r="J16" s="433">
        <f t="shared" si="2"/>
        <v>3504515.7500000005</v>
      </c>
      <c r="K16" s="433">
        <f t="shared" si="3"/>
        <v>3297519.4299999992</v>
      </c>
      <c r="L16" s="433">
        <f t="shared" si="4"/>
        <v>4004963.03</v>
      </c>
      <c r="M16" s="433">
        <f t="shared" si="5"/>
        <v>4030418.58</v>
      </c>
      <c r="N16" s="433">
        <f t="shared" si="6"/>
        <v>3603905.7199999993</v>
      </c>
      <c r="O16" s="433">
        <f t="shared" si="7"/>
        <v>3823829.6500000013</v>
      </c>
      <c r="P16" s="433">
        <f t="shared" si="8"/>
        <v>3786048.6700000013</v>
      </c>
      <c r="Q16" s="469">
        <f>+Table210[[#This Row],[FY26 BUDGET]]-Table210[[#This Row],[FY2027 REQUESTED BUDGET]]</f>
        <v>-1658671.4688936225</v>
      </c>
    </row>
    <row r="17" spans="4:17" x14ac:dyDescent="0.3">
      <c r="D17" s="368">
        <v>814</v>
      </c>
      <c r="E17" s="369"/>
      <c r="F17" s="370" t="s">
        <v>186</v>
      </c>
      <c r="G17" s="371">
        <f t="shared" si="0"/>
        <v>32</v>
      </c>
      <c r="H17" s="456"/>
      <c r="I17" s="453">
        <f t="shared" si="1"/>
        <v>3583984.3713273895</v>
      </c>
      <c r="J17" s="433">
        <f t="shared" si="2"/>
        <v>2009150.98</v>
      </c>
      <c r="K17" s="433">
        <f t="shared" si="3"/>
        <v>2004427.9299999997</v>
      </c>
      <c r="L17" s="433">
        <f t="shared" si="4"/>
        <v>2185595.0499999998</v>
      </c>
      <c r="M17" s="433">
        <f t="shared" si="5"/>
        <v>2507764.9999999991</v>
      </c>
      <c r="N17" s="433">
        <f t="shared" si="6"/>
        <v>2751084.16</v>
      </c>
      <c r="O17" s="433">
        <f t="shared" si="7"/>
        <v>2501792.6999999993</v>
      </c>
      <c r="P17" s="433">
        <f t="shared" si="8"/>
        <v>2328766.2100000014</v>
      </c>
      <c r="Q17" s="469">
        <f>+Table210[[#This Row],[FY26 BUDGET]]-Table210[[#This Row],[FY2027 REQUESTED BUDGET]]</f>
        <v>-1574833.3913273895</v>
      </c>
    </row>
    <row r="18" spans="4:17" x14ac:dyDescent="0.3">
      <c r="D18" s="372">
        <v>815</v>
      </c>
      <c r="E18" s="369"/>
      <c r="F18" s="373" t="s">
        <v>187</v>
      </c>
      <c r="G18" s="371">
        <f t="shared" si="0"/>
        <v>76</v>
      </c>
      <c r="H18" s="456"/>
      <c r="I18" s="453">
        <f t="shared" si="1"/>
        <v>8670185.9650680386</v>
      </c>
      <c r="J18" s="433">
        <f t="shared" si="2"/>
        <v>6425787.5799999991</v>
      </c>
      <c r="K18" s="433">
        <f t="shared" si="3"/>
        <v>6813467.2099999981</v>
      </c>
      <c r="L18" s="433">
        <f t="shared" si="4"/>
        <v>7263409.7000000011</v>
      </c>
      <c r="M18" s="433">
        <f t="shared" si="5"/>
        <v>6410622.2499999991</v>
      </c>
      <c r="N18" s="433">
        <f t="shared" si="6"/>
        <v>6104159.5300000012</v>
      </c>
      <c r="O18" s="433">
        <f t="shared" si="7"/>
        <v>5850366.9000000013</v>
      </c>
      <c r="P18" s="433">
        <f t="shared" si="8"/>
        <v>6082989.9699999997</v>
      </c>
      <c r="Q18" s="469">
        <f>+Table210[[#This Row],[FY26 BUDGET]]-Table210[[#This Row],[FY2027 REQUESTED BUDGET]]</f>
        <v>-2244398.3850680394</v>
      </c>
    </row>
    <row r="19" spans="4:17" x14ac:dyDescent="0.3">
      <c r="D19" s="368">
        <v>816</v>
      </c>
      <c r="E19" s="369"/>
      <c r="F19" s="370" t="s">
        <v>188</v>
      </c>
      <c r="G19" s="371">
        <f t="shared" si="0"/>
        <v>59.7</v>
      </c>
      <c r="H19" s="456"/>
      <c r="I19" s="453">
        <f t="shared" si="1"/>
        <v>6893390.7393363444</v>
      </c>
      <c r="J19" s="433">
        <f t="shared" si="2"/>
        <v>5511831.6700000009</v>
      </c>
      <c r="K19" s="433">
        <f t="shared" si="3"/>
        <v>5679887.6399999987</v>
      </c>
      <c r="L19" s="433">
        <f t="shared" si="4"/>
        <v>7184651.4900000002</v>
      </c>
      <c r="M19" s="433">
        <f t="shared" si="5"/>
        <v>6421935.7299999986</v>
      </c>
      <c r="N19" s="433">
        <f t="shared" si="6"/>
        <v>6215569.7700000005</v>
      </c>
      <c r="O19" s="433">
        <f t="shared" si="7"/>
        <v>6695279.2499999981</v>
      </c>
      <c r="P19" s="433">
        <f t="shared" si="8"/>
        <v>5724728.75</v>
      </c>
      <c r="Q19" s="469">
        <f>+Table210[[#This Row],[FY26 BUDGET]]-Table210[[#This Row],[FY2027 REQUESTED BUDGET]]</f>
        <v>-1381559.0693363436</v>
      </c>
    </row>
    <row r="20" spans="4:17" x14ac:dyDescent="0.3">
      <c r="D20" s="372">
        <v>817</v>
      </c>
      <c r="E20" s="369"/>
      <c r="F20" s="373" t="s">
        <v>189</v>
      </c>
      <c r="G20" s="371">
        <f t="shared" si="0"/>
        <v>59</v>
      </c>
      <c r="H20" s="456"/>
      <c r="I20" s="453">
        <f t="shared" si="1"/>
        <v>7042424.5920813587</v>
      </c>
      <c r="J20" s="433">
        <f t="shared" si="2"/>
        <v>4420583.8699999992</v>
      </c>
      <c r="K20" s="433">
        <f t="shared" si="3"/>
        <v>4350050.6799999988</v>
      </c>
      <c r="L20" s="433">
        <f t="shared" si="4"/>
        <v>4757662.62</v>
      </c>
      <c r="M20" s="433">
        <f t="shared" si="5"/>
        <v>4816767.5900000008</v>
      </c>
      <c r="N20" s="433">
        <f t="shared" si="6"/>
        <v>5769553.0800000001</v>
      </c>
      <c r="O20" s="433">
        <f t="shared" si="7"/>
        <v>5214780.75</v>
      </c>
      <c r="P20" s="433">
        <f t="shared" si="8"/>
        <v>5405963.8600000003</v>
      </c>
      <c r="Q20" s="469">
        <f>+Table210[[#This Row],[FY26 BUDGET]]-Table210[[#This Row],[FY2027 REQUESTED BUDGET]]</f>
        <v>-2621840.7220813595</v>
      </c>
    </row>
    <row r="21" spans="4:17" x14ac:dyDescent="0.3">
      <c r="D21" s="368">
        <v>818</v>
      </c>
      <c r="E21" s="369"/>
      <c r="F21" s="370" t="s">
        <v>190</v>
      </c>
      <c r="G21" s="371">
        <f t="shared" si="0"/>
        <v>68</v>
      </c>
      <c r="H21" s="456"/>
      <c r="I21" s="453">
        <f t="shared" si="1"/>
        <v>7582799.2084963843</v>
      </c>
      <c r="J21" s="433">
        <f t="shared" si="2"/>
        <v>6080504.0600000005</v>
      </c>
      <c r="K21" s="433">
        <f t="shared" si="3"/>
        <v>6209045.1099999994</v>
      </c>
      <c r="L21" s="433">
        <f t="shared" si="4"/>
        <v>5645540.3500000015</v>
      </c>
      <c r="M21" s="433">
        <f t="shared" si="5"/>
        <v>5510969.25</v>
      </c>
      <c r="N21" s="433">
        <f t="shared" si="6"/>
        <v>5616134.879999999</v>
      </c>
      <c r="O21" s="433">
        <f t="shared" si="7"/>
        <v>5561038.3099999996</v>
      </c>
      <c r="P21" s="433">
        <f t="shared" si="8"/>
        <v>5885989.8400000008</v>
      </c>
      <c r="Q21" s="469">
        <f>+Table210[[#This Row],[FY26 BUDGET]]-Table210[[#This Row],[FY2027 REQUESTED BUDGET]]</f>
        <v>-1502295.1484963838</v>
      </c>
    </row>
    <row r="22" spans="4:17" x14ac:dyDescent="0.3">
      <c r="D22" s="372">
        <v>819</v>
      </c>
      <c r="E22" s="369"/>
      <c r="F22" s="373" t="s">
        <v>191</v>
      </c>
      <c r="G22" s="371">
        <f t="shared" si="0"/>
        <v>52.8</v>
      </c>
      <c r="H22" s="456"/>
      <c r="I22" s="453">
        <f t="shared" si="1"/>
        <v>6386749.0678221211</v>
      </c>
      <c r="J22" s="433">
        <f t="shared" si="2"/>
        <v>5087206.1499999994</v>
      </c>
      <c r="K22" s="433">
        <f t="shared" si="3"/>
        <v>5113197.8599999975</v>
      </c>
      <c r="L22" s="433">
        <f t="shared" si="4"/>
        <v>4726246.9999999991</v>
      </c>
      <c r="M22" s="433">
        <f t="shared" si="5"/>
        <v>4506164.2499999991</v>
      </c>
      <c r="N22" s="433">
        <f t="shared" si="6"/>
        <v>4271493.01</v>
      </c>
      <c r="O22" s="433">
        <f t="shared" si="7"/>
        <v>4020151.8899999997</v>
      </c>
      <c r="P22" s="433">
        <f t="shared" si="8"/>
        <v>3820217.4099999997</v>
      </c>
      <c r="Q22" s="469">
        <f>+Table210[[#This Row],[FY26 BUDGET]]-Table210[[#This Row],[FY2027 REQUESTED BUDGET]]</f>
        <v>-1299542.9178221216</v>
      </c>
    </row>
    <row r="23" spans="4:17" x14ac:dyDescent="0.3">
      <c r="D23" s="368">
        <v>820</v>
      </c>
      <c r="E23" s="369"/>
      <c r="F23" s="370" t="s">
        <v>192</v>
      </c>
      <c r="G23" s="371">
        <f t="shared" si="0"/>
        <v>7</v>
      </c>
      <c r="H23" s="456"/>
      <c r="I23" s="453">
        <f t="shared" si="1"/>
        <v>921536.73966112011</v>
      </c>
      <c r="J23" s="433">
        <f t="shared" si="2"/>
        <v>772753.85000000009</v>
      </c>
      <c r="K23" s="433">
        <f t="shared" si="3"/>
        <v>780841.25</v>
      </c>
      <c r="L23" s="433">
        <f t="shared" si="4"/>
        <v>759258.1</v>
      </c>
      <c r="M23" s="433">
        <f t="shared" si="5"/>
        <v>779500.17999999982</v>
      </c>
      <c r="N23" s="433">
        <f t="shared" si="6"/>
        <v>626815.40000000014</v>
      </c>
      <c r="O23" s="433">
        <f t="shared" si="7"/>
        <v>511415.94000000012</v>
      </c>
      <c r="P23" s="433">
        <f t="shared" si="8"/>
        <v>578420.63</v>
      </c>
      <c r="Q23" s="469">
        <f>+Table210[[#This Row],[FY26 BUDGET]]-Table210[[#This Row],[FY2027 REQUESTED BUDGET]]</f>
        <v>-148782.88966112002</v>
      </c>
    </row>
    <row r="24" spans="4:17" x14ac:dyDescent="0.3">
      <c r="D24" s="372">
        <v>821</v>
      </c>
      <c r="E24" s="369"/>
      <c r="F24" s="373" t="s">
        <v>193</v>
      </c>
      <c r="G24" s="371">
        <f t="shared" si="0"/>
        <v>0</v>
      </c>
      <c r="H24" s="456"/>
      <c r="I24" s="453">
        <f t="shared" si="1"/>
        <v>0</v>
      </c>
      <c r="J24" s="433">
        <f t="shared" si="2"/>
        <v>0</v>
      </c>
      <c r="K24" s="433">
        <f t="shared" si="3"/>
        <v>0</v>
      </c>
      <c r="L24" s="433">
        <f t="shared" si="4"/>
        <v>0</v>
      </c>
      <c r="M24" s="433">
        <f t="shared" si="5"/>
        <v>0</v>
      </c>
      <c r="N24" s="433">
        <f t="shared" si="6"/>
        <v>0</v>
      </c>
      <c r="O24" s="433">
        <f t="shared" si="7"/>
        <v>0</v>
      </c>
      <c r="P24" s="433">
        <f t="shared" si="8"/>
        <v>84400.94</v>
      </c>
      <c r="Q24" s="469">
        <f>+Table210[[#This Row],[FY26 BUDGET]]-Table210[[#This Row],[FY2027 REQUESTED BUDGET]]</f>
        <v>0</v>
      </c>
    </row>
    <row r="25" spans="4:17" x14ac:dyDescent="0.3">
      <c r="D25" s="368">
        <v>822</v>
      </c>
      <c r="E25" s="369"/>
      <c r="F25" s="370" t="s">
        <v>194</v>
      </c>
      <c r="G25" s="371">
        <f t="shared" si="0"/>
        <v>5.4</v>
      </c>
      <c r="H25" s="456"/>
      <c r="I25" s="453">
        <f t="shared" si="1"/>
        <v>849396.562833125</v>
      </c>
      <c r="J25" s="433">
        <f t="shared" si="2"/>
        <v>782643.06</v>
      </c>
      <c r="K25" s="433">
        <f t="shared" si="3"/>
        <v>749326.5</v>
      </c>
      <c r="L25" s="433">
        <f t="shared" si="4"/>
        <v>768758.38999999978</v>
      </c>
      <c r="M25" s="433">
        <f t="shared" si="5"/>
        <v>626872.94999999995</v>
      </c>
      <c r="N25" s="433">
        <f t="shared" si="6"/>
        <v>544535.50999999989</v>
      </c>
      <c r="O25" s="433">
        <f t="shared" si="7"/>
        <v>447536.75</v>
      </c>
      <c r="P25" s="433">
        <f t="shared" si="8"/>
        <v>523582.39</v>
      </c>
      <c r="Q25" s="469">
        <f>+Table210[[#This Row],[FY26 BUDGET]]-Table210[[#This Row],[FY2027 REQUESTED BUDGET]]</f>
        <v>-66753.502833124949</v>
      </c>
    </row>
    <row r="26" spans="4:17" x14ac:dyDescent="0.3">
      <c r="D26" s="372">
        <v>823</v>
      </c>
      <c r="E26" s="369"/>
      <c r="F26" s="373" t="s">
        <v>195</v>
      </c>
      <c r="G26" s="371">
        <f t="shared" si="0"/>
        <v>4</v>
      </c>
      <c r="H26" s="456"/>
      <c r="I26" s="453">
        <f t="shared" si="1"/>
        <v>321102.98845238995</v>
      </c>
      <c r="J26" s="433">
        <f t="shared" si="2"/>
        <v>259858.71</v>
      </c>
      <c r="K26" s="433">
        <f t="shared" si="3"/>
        <v>321409.94</v>
      </c>
      <c r="L26" s="433">
        <f t="shared" si="4"/>
        <v>235036.65000000002</v>
      </c>
      <c r="M26" s="433">
        <f t="shared" si="5"/>
        <v>116290.46</v>
      </c>
      <c r="N26" s="433">
        <f t="shared" si="6"/>
        <v>124011.46000000002</v>
      </c>
      <c r="O26" s="433">
        <f t="shared" si="7"/>
        <v>108498.26000000001</v>
      </c>
      <c r="P26" s="433">
        <f t="shared" si="8"/>
        <v>214396.88</v>
      </c>
      <c r="Q26" s="469">
        <f>+Table210[[#This Row],[FY26 BUDGET]]-Table210[[#This Row],[FY2027 REQUESTED BUDGET]]</f>
        <v>-61244.278452389961</v>
      </c>
    </row>
    <row r="27" spans="4:17" x14ac:dyDescent="0.3">
      <c r="D27" s="368">
        <v>824</v>
      </c>
      <c r="E27" s="369"/>
      <c r="F27" s="370" t="s">
        <v>196</v>
      </c>
      <c r="G27" s="371">
        <f t="shared" si="0"/>
        <v>0</v>
      </c>
      <c r="H27" s="456"/>
      <c r="I27" s="453">
        <f t="shared" si="1"/>
        <v>0</v>
      </c>
      <c r="J27" s="433">
        <f t="shared" si="2"/>
        <v>0</v>
      </c>
      <c r="K27" s="433">
        <f t="shared" si="3"/>
        <v>0</v>
      </c>
      <c r="L27" s="433">
        <f t="shared" si="4"/>
        <v>0</v>
      </c>
      <c r="M27" s="433">
        <f t="shared" si="5"/>
        <v>0</v>
      </c>
      <c r="N27" s="433">
        <f t="shared" si="6"/>
        <v>0</v>
      </c>
      <c r="O27" s="433">
        <f t="shared" si="7"/>
        <v>0</v>
      </c>
      <c r="P27" s="433">
        <f t="shared" si="8"/>
        <v>0</v>
      </c>
      <c r="Q27" s="469">
        <f>+Table210[[#This Row],[FY26 BUDGET]]-Table210[[#This Row],[FY2027 REQUESTED BUDGET]]</f>
        <v>0</v>
      </c>
    </row>
    <row r="28" spans="4:17" x14ac:dyDescent="0.3">
      <c r="D28" s="372">
        <v>825</v>
      </c>
      <c r="E28" s="369"/>
      <c r="F28" s="373" t="s">
        <v>197</v>
      </c>
      <c r="G28" s="371">
        <f t="shared" si="0"/>
        <v>3</v>
      </c>
      <c r="H28" s="456"/>
      <c r="I28" s="453">
        <f t="shared" si="1"/>
        <v>409639.70822630997</v>
      </c>
      <c r="J28" s="433">
        <f t="shared" si="2"/>
        <v>290018.26</v>
      </c>
      <c r="K28" s="433">
        <f t="shared" si="3"/>
        <v>280478.71999999997</v>
      </c>
      <c r="L28" s="433">
        <f t="shared" si="4"/>
        <v>267586.7</v>
      </c>
      <c r="M28" s="433">
        <f t="shared" si="5"/>
        <v>259105.45999999996</v>
      </c>
      <c r="N28" s="433">
        <f t="shared" si="6"/>
        <v>199264.06999999998</v>
      </c>
      <c r="O28" s="433">
        <f t="shared" si="7"/>
        <v>205133.86</v>
      </c>
      <c r="P28" s="433">
        <f t="shared" si="8"/>
        <v>385275.8899999999</v>
      </c>
      <c r="Q28" s="469">
        <f>+Table210[[#This Row],[FY26 BUDGET]]-Table210[[#This Row],[FY2027 REQUESTED BUDGET]]</f>
        <v>-119621.44822630996</v>
      </c>
    </row>
    <row r="29" spans="4:17" x14ac:dyDescent="0.3">
      <c r="D29" s="368">
        <v>826</v>
      </c>
      <c r="E29" s="369"/>
      <c r="F29" s="370" t="s">
        <v>198</v>
      </c>
      <c r="G29" s="371">
        <f t="shared" si="0"/>
        <v>0</v>
      </c>
      <c r="H29" s="456"/>
      <c r="I29" s="453">
        <f t="shared" si="1"/>
        <v>65202.677903999996</v>
      </c>
      <c r="J29" s="433">
        <f t="shared" si="2"/>
        <v>6129.17</v>
      </c>
      <c r="K29" s="433">
        <f t="shared" si="3"/>
        <v>57991.360000000001</v>
      </c>
      <c r="L29" s="433">
        <f t="shared" si="4"/>
        <v>86070.9</v>
      </c>
      <c r="M29" s="433">
        <f t="shared" si="5"/>
        <v>104298.14</v>
      </c>
      <c r="N29" s="433">
        <f t="shared" si="6"/>
        <v>67558.77</v>
      </c>
      <c r="O29" s="433">
        <f t="shared" si="7"/>
        <v>0</v>
      </c>
      <c r="P29" s="433">
        <f t="shared" si="8"/>
        <v>83549.489999999991</v>
      </c>
      <c r="Q29" s="469">
        <f>+Table210[[#This Row],[FY26 BUDGET]]-Table210[[#This Row],[FY2027 REQUESTED BUDGET]]</f>
        <v>-59073.507903999998</v>
      </c>
    </row>
    <row r="30" spans="4:17" x14ac:dyDescent="0.3">
      <c r="D30" s="372">
        <v>827</v>
      </c>
      <c r="E30" s="369"/>
      <c r="F30" s="373" t="s">
        <v>199</v>
      </c>
      <c r="G30" s="371">
        <f t="shared" si="0"/>
        <v>148</v>
      </c>
      <c r="H30" s="456"/>
      <c r="I30" s="453">
        <f t="shared" si="1"/>
        <v>61486683.757261045</v>
      </c>
      <c r="J30" s="433">
        <f t="shared" si="2"/>
        <v>48414678.020000003</v>
      </c>
      <c r="K30" s="433">
        <f t="shared" si="3"/>
        <v>44560647.209999993</v>
      </c>
      <c r="L30" s="433">
        <f t="shared" si="4"/>
        <v>37837886.880000018</v>
      </c>
      <c r="M30" s="433">
        <f t="shared" si="5"/>
        <v>38593306.929999992</v>
      </c>
      <c r="N30" s="433">
        <f t="shared" si="6"/>
        <v>36729094.159999996</v>
      </c>
      <c r="O30" s="433">
        <f t="shared" si="7"/>
        <v>35488582.830000006</v>
      </c>
      <c r="P30" s="433">
        <f t="shared" si="8"/>
        <v>38384035.350000001</v>
      </c>
      <c r="Q30" s="469">
        <f>+Table210[[#This Row],[FY26 BUDGET]]-Table210[[#This Row],[FY2027 REQUESTED BUDGET]]</f>
        <v>-13072005.737261042</v>
      </c>
    </row>
    <row r="31" spans="4:17" x14ac:dyDescent="0.3">
      <c r="D31" s="368">
        <v>828</v>
      </c>
      <c r="E31" s="369"/>
      <c r="F31" s="370" t="s">
        <v>200</v>
      </c>
      <c r="G31" s="371">
        <f t="shared" si="0"/>
        <v>5</v>
      </c>
      <c r="H31" s="456"/>
      <c r="I31" s="453">
        <f t="shared" si="1"/>
        <v>1298428.9586628403</v>
      </c>
      <c r="J31" s="433">
        <f t="shared" si="2"/>
        <v>721392.36</v>
      </c>
      <c r="K31" s="433">
        <f t="shared" si="3"/>
        <v>665440.37000000011</v>
      </c>
      <c r="L31" s="433">
        <f t="shared" si="4"/>
        <v>683179.26</v>
      </c>
      <c r="M31" s="433">
        <f t="shared" si="5"/>
        <v>986096.84000000008</v>
      </c>
      <c r="N31" s="433">
        <f t="shared" si="6"/>
        <v>776742.83</v>
      </c>
      <c r="O31" s="433">
        <f t="shared" si="7"/>
        <v>705377.14000000013</v>
      </c>
      <c r="P31" s="433">
        <f t="shared" si="8"/>
        <v>784372.51</v>
      </c>
      <c r="Q31" s="469">
        <f>+Table210[[#This Row],[FY26 BUDGET]]-Table210[[#This Row],[FY2027 REQUESTED BUDGET]]</f>
        <v>-577036.59866284032</v>
      </c>
    </row>
    <row r="32" spans="4:17" x14ac:dyDescent="0.3">
      <c r="D32" s="372">
        <v>829</v>
      </c>
      <c r="E32" s="369"/>
      <c r="F32" s="373" t="s">
        <v>201</v>
      </c>
      <c r="G32" s="371">
        <f t="shared" si="0"/>
        <v>121</v>
      </c>
      <c r="H32" s="456"/>
      <c r="I32" s="453">
        <f t="shared" si="1"/>
        <v>7224595.5210507708</v>
      </c>
      <c r="J32" s="433">
        <f t="shared" si="2"/>
        <v>3543976.84</v>
      </c>
      <c r="K32" s="433">
        <f t="shared" si="3"/>
        <v>4235078.5299999993</v>
      </c>
      <c r="L32" s="433">
        <f t="shared" si="4"/>
        <v>4172836.2500000005</v>
      </c>
      <c r="M32" s="433">
        <f t="shared" si="5"/>
        <v>4639943.7100000009</v>
      </c>
      <c r="N32" s="433">
        <f t="shared" si="6"/>
        <v>4341981.4400000004</v>
      </c>
      <c r="O32" s="433">
        <f t="shared" si="7"/>
        <v>4491919.6400000006</v>
      </c>
      <c r="P32" s="433">
        <f t="shared" si="8"/>
        <v>5644111.419999999</v>
      </c>
      <c r="Q32" s="469">
        <f>+Table210[[#This Row],[FY26 BUDGET]]-Table210[[#This Row],[FY2027 REQUESTED BUDGET]]</f>
        <v>-3680618.6810507709</v>
      </c>
    </row>
    <row r="33" spans="4:17" x14ac:dyDescent="0.3">
      <c r="D33" s="368">
        <v>830</v>
      </c>
      <c r="E33" s="369"/>
      <c r="F33" s="370" t="s">
        <v>202</v>
      </c>
      <c r="G33" s="371">
        <f t="shared" si="0"/>
        <v>4</v>
      </c>
      <c r="H33" s="456"/>
      <c r="I33" s="453">
        <f t="shared" si="1"/>
        <v>532459.55792262836</v>
      </c>
      <c r="J33" s="433">
        <f t="shared" si="2"/>
        <v>452033.88</v>
      </c>
      <c r="K33" s="433">
        <f t="shared" si="3"/>
        <v>395422.25</v>
      </c>
      <c r="L33" s="433">
        <f t="shared" si="4"/>
        <v>346127.8600000001</v>
      </c>
      <c r="M33" s="433">
        <f t="shared" si="5"/>
        <v>397853.17</v>
      </c>
      <c r="N33" s="433">
        <f t="shared" si="6"/>
        <v>380030.04000000004</v>
      </c>
      <c r="O33" s="433">
        <f t="shared" si="7"/>
        <v>354150.40000000002</v>
      </c>
      <c r="P33" s="433">
        <f t="shared" si="8"/>
        <v>302462.13</v>
      </c>
      <c r="Q33" s="469">
        <f>+Table210[[#This Row],[FY26 BUDGET]]-Table210[[#This Row],[FY2027 REQUESTED BUDGET]]</f>
        <v>-80425.677922628354</v>
      </c>
    </row>
    <row r="34" spans="4:17" x14ac:dyDescent="0.3">
      <c r="D34" s="372">
        <v>831</v>
      </c>
      <c r="E34" s="369"/>
      <c r="F34" s="373" t="s">
        <v>203</v>
      </c>
      <c r="G34" s="371">
        <f t="shared" si="0"/>
        <v>0</v>
      </c>
      <c r="H34" s="456"/>
      <c r="I34" s="453">
        <f t="shared" si="1"/>
        <v>214905.13440000004</v>
      </c>
      <c r="J34" s="433">
        <f t="shared" si="2"/>
        <v>475592.2</v>
      </c>
      <c r="K34" s="433">
        <f t="shared" si="3"/>
        <v>552124.75</v>
      </c>
      <c r="L34" s="433">
        <f t="shared" si="4"/>
        <v>321833.12</v>
      </c>
      <c r="M34" s="433">
        <f t="shared" si="5"/>
        <v>367782.91000000003</v>
      </c>
      <c r="N34" s="433">
        <f t="shared" si="6"/>
        <v>204286.68999999997</v>
      </c>
      <c r="O34" s="433">
        <f t="shared" si="7"/>
        <v>2733.44</v>
      </c>
      <c r="P34" s="433">
        <f t="shared" si="8"/>
        <v>244432.23</v>
      </c>
      <c r="Q34" s="469">
        <f>+Table210[[#This Row],[FY26 BUDGET]]-Table210[[#This Row],[FY2027 REQUESTED BUDGET]]</f>
        <v>260687.06559999997</v>
      </c>
    </row>
    <row r="35" spans="4:17" x14ac:dyDescent="0.3">
      <c r="D35" s="368">
        <v>832</v>
      </c>
      <c r="E35" s="369"/>
      <c r="F35" s="370" t="s">
        <v>204</v>
      </c>
      <c r="G35" s="371">
        <f t="shared" ref="G35:G66" si="9">SUMIF($D$127:$D$5679,$D35,$G$127:$G$5679)</f>
        <v>2</v>
      </c>
      <c r="H35" s="456"/>
      <c r="I35" s="453">
        <f t="shared" ref="I35:I66" si="10">SUMIF($D$127:$D$5099,$D35,$I$127:$I$5099)</f>
        <v>209416.03606578999</v>
      </c>
      <c r="J35" s="433">
        <f t="shared" ref="J35:J66" si="11">SUMIF($D$127:$D$5679,$D35,$J$127:$J$5679)</f>
        <v>181920.44</v>
      </c>
      <c r="K35" s="433">
        <f t="shared" ref="K35:K66" si="12">SUMIF($D$127:$D$5679,$D35,$K$127:$K$5679)</f>
        <v>274608.19</v>
      </c>
      <c r="L35" s="433">
        <f t="shared" ref="L35:L66" si="13">SUMIF($D$127:$D$5679,$D35,$L$127:$L$5679)</f>
        <v>249157.41999999998</v>
      </c>
      <c r="M35" s="433">
        <f t="shared" ref="M35:M66" si="14">SUMIF($D$127:$D$5679,$D35,$M$127:$M$5679)</f>
        <v>355968.32000000007</v>
      </c>
      <c r="N35" s="433">
        <f t="shared" ref="N35:N66" si="15">SUMIF($D$127:$D$5679,$D35,$N$127:$N$5679)</f>
        <v>333143.06000000006</v>
      </c>
      <c r="O35" s="433">
        <f t="shared" ref="O35:O66" si="16">SUMIF($D$127:$D$5679,$D35,$O$127:$O$5679)</f>
        <v>383143.81</v>
      </c>
      <c r="P35" s="433">
        <f t="shared" ref="P35:P66" si="17">SUMIF($D$127:$D$5679,$D35,$P$127:$P$5679)</f>
        <v>378301.72</v>
      </c>
      <c r="Q35" s="469">
        <f>+Table210[[#This Row],[FY26 BUDGET]]-Table210[[#This Row],[FY2027 REQUESTED BUDGET]]</f>
        <v>-27495.596065789985</v>
      </c>
    </row>
    <row r="36" spans="4:17" x14ac:dyDescent="0.3">
      <c r="D36" s="372">
        <v>833</v>
      </c>
      <c r="E36" s="369"/>
      <c r="F36" s="373" t="s">
        <v>205</v>
      </c>
      <c r="G36" s="371">
        <f t="shared" si="9"/>
        <v>0</v>
      </c>
      <c r="H36" s="456"/>
      <c r="I36" s="453">
        <f t="shared" si="10"/>
        <v>0</v>
      </c>
      <c r="J36" s="433">
        <f t="shared" si="11"/>
        <v>0</v>
      </c>
      <c r="K36" s="433">
        <f t="shared" si="12"/>
        <v>0</v>
      </c>
      <c r="L36" s="433">
        <f t="shared" si="13"/>
        <v>0</v>
      </c>
      <c r="M36" s="433">
        <f t="shared" si="14"/>
        <v>0</v>
      </c>
      <c r="N36" s="433">
        <f t="shared" si="15"/>
        <v>0</v>
      </c>
      <c r="O36" s="433">
        <f t="shared" si="16"/>
        <v>0</v>
      </c>
      <c r="P36" s="433">
        <f t="shared" si="17"/>
        <v>0</v>
      </c>
      <c r="Q36" s="469">
        <f>+Table210[[#This Row],[FY26 BUDGET]]-Table210[[#This Row],[FY2027 REQUESTED BUDGET]]</f>
        <v>0</v>
      </c>
    </row>
    <row r="37" spans="4:17" x14ac:dyDescent="0.3">
      <c r="D37" s="368">
        <v>834</v>
      </c>
      <c r="E37" s="369"/>
      <c r="F37" s="370" t="s">
        <v>303</v>
      </c>
      <c r="G37" s="371">
        <f t="shared" si="9"/>
        <v>0</v>
      </c>
      <c r="H37" s="456"/>
      <c r="I37" s="453">
        <f t="shared" si="10"/>
        <v>0</v>
      </c>
      <c r="J37" s="433">
        <f t="shared" si="11"/>
        <v>0</v>
      </c>
      <c r="K37" s="433">
        <f t="shared" si="12"/>
        <v>913.05</v>
      </c>
      <c r="L37" s="433">
        <f t="shared" si="13"/>
        <v>6243.23</v>
      </c>
      <c r="M37" s="433">
        <f t="shared" si="14"/>
        <v>0</v>
      </c>
      <c r="N37" s="433">
        <f t="shared" si="15"/>
        <v>0</v>
      </c>
      <c r="O37" s="433">
        <f t="shared" si="16"/>
        <v>0</v>
      </c>
      <c r="P37" s="433">
        <f t="shared" si="17"/>
        <v>0</v>
      </c>
      <c r="Q37" s="469">
        <f>+Table210[[#This Row],[FY26 BUDGET]]-Table210[[#This Row],[FY2027 REQUESTED BUDGET]]</f>
        <v>0</v>
      </c>
    </row>
    <row r="38" spans="4:17" x14ac:dyDescent="0.3">
      <c r="D38" s="372">
        <v>835</v>
      </c>
      <c r="E38" s="369"/>
      <c r="F38" s="373" t="s">
        <v>207</v>
      </c>
      <c r="G38" s="371">
        <f t="shared" si="9"/>
        <v>16</v>
      </c>
      <c r="H38" s="456"/>
      <c r="I38" s="453">
        <f t="shared" si="10"/>
        <v>-225048.97604806451</v>
      </c>
      <c r="J38" s="433">
        <f t="shared" si="11"/>
        <v>123914.16000000009</v>
      </c>
      <c r="K38" s="433">
        <f t="shared" si="12"/>
        <v>-282369.49999999994</v>
      </c>
      <c r="L38" s="433">
        <f t="shared" si="13"/>
        <v>142020.6099999999</v>
      </c>
      <c r="M38" s="433">
        <f t="shared" si="14"/>
        <v>3155.4600000001119</v>
      </c>
      <c r="N38" s="433">
        <f t="shared" si="15"/>
        <v>-188211.9500000001</v>
      </c>
      <c r="O38" s="433">
        <f t="shared" si="16"/>
        <v>-39697.250000000065</v>
      </c>
      <c r="P38" s="433">
        <f t="shared" si="17"/>
        <v>-104680.53000000017</v>
      </c>
      <c r="Q38" s="469">
        <f>+Table210[[#This Row],[FY26 BUDGET]]-Table210[[#This Row],[FY2027 REQUESTED BUDGET]]</f>
        <v>348963.13604806457</v>
      </c>
    </row>
    <row r="39" spans="4:17" x14ac:dyDescent="0.3">
      <c r="D39" s="368">
        <v>836</v>
      </c>
      <c r="E39" s="369"/>
      <c r="F39" s="370" t="s">
        <v>208</v>
      </c>
      <c r="G39" s="371">
        <f t="shared" si="9"/>
        <v>12</v>
      </c>
      <c r="H39" s="456"/>
      <c r="I39" s="453">
        <f t="shared" si="10"/>
        <v>387456.05206361751</v>
      </c>
      <c r="J39" s="433">
        <f t="shared" si="11"/>
        <v>349808.4</v>
      </c>
      <c r="K39" s="433">
        <f t="shared" si="12"/>
        <v>366133.10999999993</v>
      </c>
      <c r="L39" s="433">
        <f t="shared" si="13"/>
        <v>352765.04000000004</v>
      </c>
      <c r="M39" s="433">
        <f t="shared" si="14"/>
        <v>356507.53</v>
      </c>
      <c r="N39" s="433">
        <f t="shared" si="15"/>
        <v>325237.62000000005</v>
      </c>
      <c r="O39" s="433">
        <f t="shared" si="16"/>
        <v>356468.73</v>
      </c>
      <c r="P39" s="433">
        <f t="shared" si="17"/>
        <v>313303.57999999996</v>
      </c>
      <c r="Q39" s="469">
        <f>+Table210[[#This Row],[FY26 BUDGET]]-Table210[[#This Row],[FY2027 REQUESTED BUDGET]]</f>
        <v>-37647.652063617483</v>
      </c>
    </row>
    <row r="40" spans="4:17" x14ac:dyDescent="0.3">
      <c r="D40" s="372">
        <v>837</v>
      </c>
      <c r="E40" s="369"/>
      <c r="F40" s="373" t="s">
        <v>209</v>
      </c>
      <c r="G40" s="371">
        <f t="shared" si="9"/>
        <v>0</v>
      </c>
      <c r="H40" s="456"/>
      <c r="I40" s="453">
        <f t="shared" si="10"/>
        <v>570630.44520000007</v>
      </c>
      <c r="J40" s="433">
        <f t="shared" si="11"/>
        <v>513855</v>
      </c>
      <c r="K40" s="433">
        <f t="shared" si="12"/>
        <v>336871.76</v>
      </c>
      <c r="L40" s="433">
        <f t="shared" si="13"/>
        <v>465041.3</v>
      </c>
      <c r="M40" s="433">
        <f t="shared" si="14"/>
        <v>451901.97</v>
      </c>
      <c r="N40" s="433">
        <f t="shared" si="15"/>
        <v>448851.16000000003</v>
      </c>
      <c r="O40" s="433">
        <f t="shared" si="16"/>
        <v>300212</v>
      </c>
      <c r="P40" s="433">
        <f t="shared" si="17"/>
        <v>0</v>
      </c>
      <c r="Q40" s="469">
        <f>+Table210[[#This Row],[FY26 BUDGET]]-Table210[[#This Row],[FY2027 REQUESTED BUDGET]]</f>
        <v>-56775.445200000075</v>
      </c>
    </row>
    <row r="41" spans="4:17" x14ac:dyDescent="0.3">
      <c r="D41" s="368">
        <v>838</v>
      </c>
      <c r="E41" s="369"/>
      <c r="F41" s="370" t="s">
        <v>210</v>
      </c>
      <c r="G41" s="371">
        <f t="shared" si="9"/>
        <v>0</v>
      </c>
      <c r="H41" s="456"/>
      <c r="I41" s="453">
        <f t="shared" si="10"/>
        <v>-654050</v>
      </c>
      <c r="J41" s="433">
        <f t="shared" si="11"/>
        <v>0</v>
      </c>
      <c r="K41" s="433">
        <f t="shared" si="12"/>
        <v>-873460</v>
      </c>
      <c r="L41" s="433">
        <f t="shared" si="13"/>
        <v>-756012.86</v>
      </c>
      <c r="M41" s="433">
        <f t="shared" si="14"/>
        <v>0</v>
      </c>
      <c r="N41" s="433">
        <f t="shared" si="15"/>
        <v>0</v>
      </c>
      <c r="O41" s="433">
        <f t="shared" si="16"/>
        <v>0</v>
      </c>
      <c r="P41" s="433">
        <f t="shared" si="17"/>
        <v>0</v>
      </c>
      <c r="Q41" s="469">
        <f>+Table210[[#This Row],[FY26 BUDGET]]-Table210[[#This Row],[FY2027 REQUESTED BUDGET]]</f>
        <v>654050</v>
      </c>
    </row>
    <row r="42" spans="4:17" x14ac:dyDescent="0.3">
      <c r="D42" s="372">
        <v>839</v>
      </c>
      <c r="E42" s="369"/>
      <c r="F42" s="373" t="s">
        <v>211</v>
      </c>
      <c r="G42" s="371">
        <f t="shared" si="9"/>
        <v>4</v>
      </c>
      <c r="H42" s="456"/>
      <c r="I42" s="453">
        <f t="shared" si="10"/>
        <v>161460.63364104999</v>
      </c>
      <c r="J42" s="433">
        <f t="shared" si="11"/>
        <v>487383.78</v>
      </c>
      <c r="K42" s="433">
        <f t="shared" si="12"/>
        <v>280986.73000000004</v>
      </c>
      <c r="L42" s="433">
        <f t="shared" si="13"/>
        <v>412375.73</v>
      </c>
      <c r="M42" s="433">
        <f t="shared" si="14"/>
        <v>200753.26</v>
      </c>
      <c r="N42" s="433">
        <f t="shared" si="15"/>
        <v>333293.56</v>
      </c>
      <c r="O42" s="433">
        <f t="shared" si="16"/>
        <v>250405.75999999998</v>
      </c>
      <c r="P42" s="433">
        <f t="shared" si="17"/>
        <v>377184.4</v>
      </c>
      <c r="Q42" s="469">
        <f>+Table210[[#This Row],[FY26 BUDGET]]-Table210[[#This Row],[FY2027 REQUESTED BUDGET]]</f>
        <v>325923.14635895006</v>
      </c>
    </row>
    <row r="43" spans="4:17" x14ac:dyDescent="0.3">
      <c r="D43" s="368">
        <v>840</v>
      </c>
      <c r="E43" s="369"/>
      <c r="F43" s="370" t="s">
        <v>212</v>
      </c>
      <c r="G43" s="371">
        <f t="shared" si="9"/>
        <v>0</v>
      </c>
      <c r="H43" s="456"/>
      <c r="I43" s="453">
        <f t="shared" si="10"/>
        <v>1255706.6928000001</v>
      </c>
      <c r="J43" s="433">
        <f t="shared" si="11"/>
        <v>1172593.2</v>
      </c>
      <c r="K43" s="433">
        <f t="shared" si="12"/>
        <v>895587.15999999992</v>
      </c>
      <c r="L43" s="434">
        <f t="shared" si="13"/>
        <v>1450516.12</v>
      </c>
      <c r="M43" s="433">
        <f t="shared" si="14"/>
        <v>1387118.91</v>
      </c>
      <c r="N43" s="433">
        <f t="shared" si="15"/>
        <v>1395985.73</v>
      </c>
      <c r="O43" s="433">
        <f t="shared" si="16"/>
        <v>1369216.6300000001</v>
      </c>
      <c r="P43" s="433">
        <f t="shared" si="17"/>
        <v>1352974.04</v>
      </c>
      <c r="Q43" s="470">
        <f>+Table210[[#This Row],[FY26 BUDGET]]-Table210[[#This Row],[FY2027 REQUESTED BUDGET]]</f>
        <v>-83113.492800000124</v>
      </c>
    </row>
    <row r="44" spans="4:17" x14ac:dyDescent="0.3">
      <c r="D44" s="372">
        <v>841</v>
      </c>
      <c r="E44" s="369"/>
      <c r="F44" s="373" t="s">
        <v>213</v>
      </c>
      <c r="G44" s="371">
        <f t="shared" si="9"/>
        <v>0</v>
      </c>
      <c r="H44" s="456"/>
      <c r="I44" s="453">
        <f t="shared" si="10"/>
        <v>323673.47239999997</v>
      </c>
      <c r="J44" s="433">
        <f t="shared" si="11"/>
        <v>262230</v>
      </c>
      <c r="K44" s="433">
        <f t="shared" si="12"/>
        <v>205407.6</v>
      </c>
      <c r="L44" s="434">
        <f t="shared" si="13"/>
        <v>305240</v>
      </c>
      <c r="M44" s="433">
        <f t="shared" si="14"/>
        <v>265344</v>
      </c>
      <c r="N44" s="433">
        <f t="shared" si="15"/>
        <v>244369.5</v>
      </c>
      <c r="O44" s="433">
        <f t="shared" si="16"/>
        <v>245133</v>
      </c>
      <c r="P44" s="433">
        <f t="shared" si="17"/>
        <v>212891</v>
      </c>
      <c r="Q44" s="470">
        <f>+Table210[[#This Row],[FY26 BUDGET]]-Table210[[#This Row],[FY2027 REQUESTED BUDGET]]</f>
        <v>-61443.47239999997</v>
      </c>
    </row>
    <row r="45" spans="4:17" x14ac:dyDescent="0.3">
      <c r="D45" s="368">
        <v>842</v>
      </c>
      <c r="E45" s="369"/>
      <c r="F45" s="370" t="s">
        <v>214</v>
      </c>
      <c r="G45" s="371">
        <f t="shared" si="9"/>
        <v>0</v>
      </c>
      <c r="H45" s="456"/>
      <c r="I45" s="453">
        <f t="shared" si="10"/>
        <v>0</v>
      </c>
      <c r="J45" s="433">
        <f t="shared" si="11"/>
        <v>0</v>
      </c>
      <c r="K45" s="433">
        <f t="shared" si="12"/>
        <v>129959.95</v>
      </c>
      <c r="L45" s="434">
        <f t="shared" si="13"/>
        <v>14050.69</v>
      </c>
      <c r="M45" s="433">
        <f t="shared" si="14"/>
        <v>68373.77</v>
      </c>
      <c r="N45" s="433">
        <f t="shared" si="15"/>
        <v>59282.729999999996</v>
      </c>
      <c r="O45" s="433">
        <f t="shared" si="16"/>
        <v>55775.14</v>
      </c>
      <c r="P45" s="433">
        <f t="shared" si="17"/>
        <v>38100.060000000005</v>
      </c>
      <c r="Q45" s="470">
        <f>+Table210[[#This Row],[FY26 BUDGET]]-Table210[[#This Row],[FY2027 REQUESTED BUDGET]]</f>
        <v>0</v>
      </c>
    </row>
    <row r="46" spans="4:17" x14ac:dyDescent="0.3">
      <c r="D46" s="372">
        <v>843</v>
      </c>
      <c r="E46" s="369"/>
      <c r="F46" s="373" t="s">
        <v>215</v>
      </c>
      <c r="G46" s="371">
        <f t="shared" si="9"/>
        <v>33</v>
      </c>
      <c r="H46" s="456"/>
      <c r="I46" s="453">
        <f t="shared" si="10"/>
        <v>500552.85951500002</v>
      </c>
      <c r="J46" s="433">
        <f t="shared" si="11"/>
        <v>726684.51</v>
      </c>
      <c r="K46" s="433">
        <f t="shared" si="12"/>
        <v>1075430.4799999997</v>
      </c>
      <c r="L46" s="434">
        <f t="shared" si="13"/>
        <v>907362.11999999988</v>
      </c>
      <c r="M46" s="433">
        <f t="shared" si="14"/>
        <v>963894.00999999989</v>
      </c>
      <c r="N46" s="433">
        <f t="shared" si="15"/>
        <v>662365.46999999986</v>
      </c>
      <c r="O46" s="433">
        <f t="shared" si="16"/>
        <v>419091.15999999992</v>
      </c>
      <c r="P46" s="433">
        <f t="shared" si="17"/>
        <v>641184.04999999993</v>
      </c>
      <c r="Q46" s="470">
        <f>+Table210[[#This Row],[FY26 BUDGET]]-Table210[[#This Row],[FY2027 REQUESTED BUDGET]]</f>
        <v>226131.65048499999</v>
      </c>
    </row>
    <row r="47" spans="4:17" x14ac:dyDescent="0.3">
      <c r="D47" s="368">
        <v>844</v>
      </c>
      <c r="E47" s="369"/>
      <c r="F47" s="370" t="s">
        <v>216</v>
      </c>
      <c r="G47" s="371">
        <f t="shared" si="9"/>
        <v>0</v>
      </c>
      <c r="H47" s="456"/>
      <c r="I47" s="453">
        <f t="shared" si="10"/>
        <v>525.30000000000007</v>
      </c>
      <c r="J47" s="433">
        <f t="shared" si="11"/>
        <v>510</v>
      </c>
      <c r="K47" s="433">
        <f t="shared" si="12"/>
        <v>426.09</v>
      </c>
      <c r="L47" s="433">
        <f t="shared" si="13"/>
        <v>0</v>
      </c>
      <c r="M47" s="433">
        <f t="shared" si="14"/>
        <v>78.12</v>
      </c>
      <c r="N47" s="433">
        <f t="shared" si="15"/>
        <v>0</v>
      </c>
      <c r="O47" s="433">
        <f t="shared" si="16"/>
        <v>0</v>
      </c>
      <c r="P47" s="433">
        <f t="shared" si="17"/>
        <v>35569.82</v>
      </c>
      <c r="Q47" s="469">
        <f>+Table210[[#This Row],[FY26 BUDGET]]-Table210[[#This Row],[FY2027 REQUESTED BUDGET]]</f>
        <v>-15.300000000000068</v>
      </c>
    </row>
    <row r="48" spans="4:17" x14ac:dyDescent="0.3">
      <c r="D48" s="372">
        <v>845</v>
      </c>
      <c r="E48" s="369"/>
      <c r="F48" s="373" t="s">
        <v>217</v>
      </c>
      <c r="G48" s="371">
        <f t="shared" si="9"/>
        <v>0</v>
      </c>
      <c r="H48" s="456"/>
      <c r="I48" s="453">
        <f t="shared" si="10"/>
        <v>0</v>
      </c>
      <c r="J48" s="433">
        <f t="shared" si="11"/>
        <v>0</v>
      </c>
      <c r="K48" s="433">
        <f t="shared" si="12"/>
        <v>138970.03000000003</v>
      </c>
      <c r="L48" s="433">
        <f t="shared" si="13"/>
        <v>140479.72</v>
      </c>
      <c r="M48" s="433">
        <f t="shared" si="14"/>
        <v>145402.23000000001</v>
      </c>
      <c r="N48" s="433">
        <f t="shared" si="15"/>
        <v>120538.48</v>
      </c>
      <c r="O48" s="433">
        <f t="shared" si="16"/>
        <v>100984.63</v>
      </c>
      <c r="P48" s="433">
        <f t="shared" si="17"/>
        <v>124337.79</v>
      </c>
      <c r="Q48" s="469">
        <f>+Table210[[#This Row],[FY26 BUDGET]]-Table210[[#This Row],[FY2027 REQUESTED BUDGET]]</f>
        <v>0</v>
      </c>
    </row>
    <row r="49" spans="4:17" x14ac:dyDescent="0.3">
      <c r="D49" s="368">
        <v>846</v>
      </c>
      <c r="E49" s="369"/>
      <c r="F49" s="370" t="s">
        <v>218</v>
      </c>
      <c r="G49" s="371">
        <f t="shared" si="9"/>
        <v>6</v>
      </c>
      <c r="H49" s="456"/>
      <c r="I49" s="453">
        <f t="shared" si="10"/>
        <v>1291443.1781923408</v>
      </c>
      <c r="J49" s="433">
        <f t="shared" si="11"/>
        <v>1066376.3700000001</v>
      </c>
      <c r="K49" s="433">
        <f t="shared" si="12"/>
        <v>1641616.24</v>
      </c>
      <c r="L49" s="433">
        <f t="shared" si="13"/>
        <v>1476524.49</v>
      </c>
      <c r="M49" s="433">
        <f t="shared" si="14"/>
        <v>1452276.2599999995</v>
      </c>
      <c r="N49" s="433">
        <f t="shared" si="15"/>
        <v>1464687.99</v>
      </c>
      <c r="O49" s="433">
        <f t="shared" si="16"/>
        <v>1165092.79</v>
      </c>
      <c r="P49" s="433">
        <f t="shared" si="17"/>
        <v>1360999.47</v>
      </c>
      <c r="Q49" s="469">
        <f>+Table210[[#This Row],[FY26 BUDGET]]-Table210[[#This Row],[FY2027 REQUESTED BUDGET]]</f>
        <v>-225066.80819234066</v>
      </c>
    </row>
    <row r="50" spans="4:17" x14ac:dyDescent="0.3">
      <c r="D50" s="372">
        <v>847</v>
      </c>
      <c r="E50" s="369"/>
      <c r="F50" s="373" t="s">
        <v>219</v>
      </c>
      <c r="G50" s="371">
        <f t="shared" si="9"/>
        <v>0</v>
      </c>
      <c r="H50" s="456"/>
      <c r="I50" s="453">
        <f t="shared" si="10"/>
        <v>133018.71668098003</v>
      </c>
      <c r="J50" s="433">
        <f t="shared" si="11"/>
        <v>107610.54000000001</v>
      </c>
      <c r="K50" s="433">
        <f t="shared" si="12"/>
        <v>112919.15</v>
      </c>
      <c r="L50" s="433">
        <f t="shared" si="13"/>
        <v>101750.68000000001</v>
      </c>
      <c r="M50" s="433">
        <f t="shared" si="14"/>
        <v>96521.17</v>
      </c>
      <c r="N50" s="433">
        <f t="shared" si="15"/>
        <v>89377.95</v>
      </c>
      <c r="O50" s="433">
        <f t="shared" si="16"/>
        <v>70549.86</v>
      </c>
      <c r="P50" s="433">
        <f t="shared" si="17"/>
        <v>112072.01</v>
      </c>
      <c r="Q50" s="469">
        <f>+Table210[[#This Row],[FY26 BUDGET]]-Table210[[#This Row],[FY2027 REQUESTED BUDGET]]</f>
        <v>-25408.176680980017</v>
      </c>
    </row>
    <row r="51" spans="4:17" x14ac:dyDescent="0.3">
      <c r="D51" s="368">
        <v>848</v>
      </c>
      <c r="E51" s="369"/>
      <c r="F51" s="370" t="s">
        <v>220</v>
      </c>
      <c r="G51" s="371">
        <f t="shared" si="9"/>
        <v>0</v>
      </c>
      <c r="H51" s="456"/>
      <c r="I51" s="453">
        <f t="shared" si="10"/>
        <v>32012.842600700005</v>
      </c>
      <c r="J51" s="433">
        <f t="shared" si="11"/>
        <v>21299.39</v>
      </c>
      <c r="K51" s="433">
        <f t="shared" si="12"/>
        <v>22939.63</v>
      </c>
      <c r="L51" s="433">
        <f t="shared" si="13"/>
        <v>24697.98</v>
      </c>
      <c r="M51" s="433">
        <f t="shared" si="14"/>
        <v>19620.5</v>
      </c>
      <c r="N51" s="433">
        <f t="shared" si="15"/>
        <v>18773.060000000001</v>
      </c>
      <c r="O51" s="433">
        <f t="shared" si="16"/>
        <v>30301.35</v>
      </c>
      <c r="P51" s="433">
        <f t="shared" si="17"/>
        <v>15742.64</v>
      </c>
      <c r="Q51" s="469">
        <f>+Table210[[#This Row],[FY26 BUDGET]]-Table210[[#This Row],[FY2027 REQUESTED BUDGET]]</f>
        <v>-10713.452600700006</v>
      </c>
    </row>
    <row r="52" spans="4:17" x14ac:dyDescent="0.3">
      <c r="D52" s="372">
        <v>849</v>
      </c>
      <c r="E52" s="369"/>
      <c r="F52" s="373" t="s">
        <v>221</v>
      </c>
      <c r="G52" s="371">
        <f t="shared" si="9"/>
        <v>0</v>
      </c>
      <c r="H52" s="456"/>
      <c r="I52" s="453">
        <f t="shared" si="10"/>
        <v>0</v>
      </c>
      <c r="J52" s="433">
        <f t="shared" si="11"/>
        <v>51976.71</v>
      </c>
      <c r="K52" s="433">
        <f t="shared" si="12"/>
        <v>63973.94</v>
      </c>
      <c r="L52" s="433">
        <f t="shared" si="13"/>
        <v>24948.42</v>
      </c>
      <c r="M52" s="433">
        <f t="shared" si="14"/>
        <v>99180.98</v>
      </c>
      <c r="N52" s="433">
        <f t="shared" si="15"/>
        <v>69395.47</v>
      </c>
      <c r="O52" s="433">
        <f t="shared" si="16"/>
        <v>57414.93</v>
      </c>
      <c r="P52" s="433">
        <f t="shared" si="17"/>
        <v>45649.56</v>
      </c>
      <c r="Q52" s="469">
        <f>+Table210[[#This Row],[FY26 BUDGET]]-Table210[[#This Row],[FY2027 REQUESTED BUDGET]]</f>
        <v>51976.71</v>
      </c>
    </row>
    <row r="53" spans="4:17" x14ac:dyDescent="0.3">
      <c r="D53" s="368">
        <v>850</v>
      </c>
      <c r="E53" s="369"/>
      <c r="F53" s="370" t="s">
        <v>222</v>
      </c>
      <c r="G53" s="371">
        <f t="shared" si="9"/>
        <v>0</v>
      </c>
      <c r="H53" s="456"/>
      <c r="I53" s="453">
        <f t="shared" si="10"/>
        <v>25019939.329999998</v>
      </c>
      <c r="J53" s="433">
        <f t="shared" si="11"/>
        <v>22518023</v>
      </c>
      <c r="K53" s="433">
        <f t="shared" si="12"/>
        <v>19339527.609999999</v>
      </c>
      <c r="L53" s="433">
        <f t="shared" si="13"/>
        <v>17852778.740000002</v>
      </c>
      <c r="M53" s="433">
        <f t="shared" si="14"/>
        <v>17581061.18</v>
      </c>
      <c r="N53" s="433">
        <f t="shared" si="15"/>
        <v>21762619.469999999</v>
      </c>
      <c r="O53" s="433">
        <f t="shared" si="16"/>
        <v>28976971.289999999</v>
      </c>
      <c r="P53" s="433">
        <f t="shared" si="17"/>
        <v>21007916.530000001</v>
      </c>
      <c r="Q53" s="469">
        <f>+Table210[[#This Row],[FY26 BUDGET]]-Table210[[#This Row],[FY2027 REQUESTED BUDGET]]</f>
        <v>-2501916.3299999982</v>
      </c>
    </row>
    <row r="54" spans="4:17" x14ac:dyDescent="0.3">
      <c r="D54" s="374">
        <v>851</v>
      </c>
      <c r="E54" s="375"/>
      <c r="F54" s="376" t="s">
        <v>223</v>
      </c>
      <c r="G54" s="371">
        <f t="shared" si="9"/>
        <v>1</v>
      </c>
      <c r="H54" s="456"/>
      <c r="I54" s="453">
        <f t="shared" si="10"/>
        <v>8811.3313999999991</v>
      </c>
      <c r="J54" s="433">
        <f t="shared" si="11"/>
        <v>387572.41000000003</v>
      </c>
      <c r="K54" s="433">
        <f t="shared" si="12"/>
        <v>416913.39</v>
      </c>
      <c r="L54" s="433">
        <f t="shared" si="13"/>
        <v>179043.91</v>
      </c>
      <c r="M54" s="433">
        <f t="shared" si="14"/>
        <v>42034.71</v>
      </c>
      <c r="N54" s="433">
        <f t="shared" si="15"/>
        <v>45787.07</v>
      </c>
      <c r="O54" s="433">
        <f t="shared" si="16"/>
        <v>73282.559999999998</v>
      </c>
      <c r="P54" s="433">
        <f t="shared" si="17"/>
        <v>108516.63999999998</v>
      </c>
      <c r="Q54" s="469">
        <f>+Table210[[#This Row],[FY26 BUDGET]]-Table210[[#This Row],[FY2027 REQUESTED BUDGET]]</f>
        <v>378761.07860000001</v>
      </c>
    </row>
    <row r="55" spans="4:17" x14ac:dyDescent="0.3">
      <c r="D55" s="377">
        <v>852</v>
      </c>
      <c r="E55" s="375"/>
      <c r="F55" s="378" t="s">
        <v>224</v>
      </c>
      <c r="G55" s="371">
        <f t="shared" si="9"/>
        <v>0</v>
      </c>
      <c r="H55" s="456"/>
      <c r="I55" s="453">
        <f t="shared" si="10"/>
        <v>0</v>
      </c>
      <c r="J55" s="433">
        <f t="shared" si="11"/>
        <v>0</v>
      </c>
      <c r="K55" s="433">
        <f t="shared" si="12"/>
        <v>0</v>
      </c>
      <c r="L55" s="433">
        <f t="shared" si="13"/>
        <v>87885.75</v>
      </c>
      <c r="M55" s="433">
        <f t="shared" si="14"/>
        <v>100036.36</v>
      </c>
      <c r="N55" s="433">
        <f t="shared" si="15"/>
        <v>91674.209999999992</v>
      </c>
      <c r="O55" s="433">
        <f t="shared" si="16"/>
        <v>97091.15</v>
      </c>
      <c r="P55" s="433">
        <f t="shared" si="17"/>
        <v>77193.59</v>
      </c>
      <c r="Q55" s="469">
        <f>+Table210[[#This Row],[FY26 BUDGET]]-Table210[[#This Row],[FY2027 REQUESTED BUDGET]]</f>
        <v>0</v>
      </c>
    </row>
    <row r="56" spans="4:17" x14ac:dyDescent="0.3">
      <c r="D56" s="377">
        <v>853</v>
      </c>
      <c r="E56" s="375"/>
      <c r="F56" s="378" t="s">
        <v>225</v>
      </c>
      <c r="G56" s="371">
        <f t="shared" si="9"/>
        <v>33</v>
      </c>
      <c r="H56" s="456"/>
      <c r="I56" s="453">
        <f t="shared" si="10"/>
        <v>4224821.4026315641</v>
      </c>
      <c r="J56" s="433">
        <f t="shared" si="11"/>
        <v>3288430.8099999996</v>
      </c>
      <c r="K56" s="433">
        <f t="shared" si="12"/>
        <v>3684032.3099999977</v>
      </c>
      <c r="L56" s="433">
        <f t="shared" si="13"/>
        <v>3270413.58</v>
      </c>
      <c r="M56" s="433">
        <f t="shared" si="14"/>
        <v>3405990.6799999997</v>
      </c>
      <c r="N56" s="433">
        <f t="shared" si="15"/>
        <v>3222816.13</v>
      </c>
      <c r="O56" s="433">
        <f t="shared" si="16"/>
        <v>3338571.4899999998</v>
      </c>
      <c r="P56" s="433">
        <f t="shared" si="17"/>
        <v>3341483.03</v>
      </c>
      <c r="Q56" s="469">
        <f>+Table210[[#This Row],[FY26 BUDGET]]-Table210[[#This Row],[FY2027 REQUESTED BUDGET]]</f>
        <v>-936390.59263156448</v>
      </c>
    </row>
    <row r="57" spans="4:17" x14ac:dyDescent="0.3">
      <c r="D57" s="374">
        <v>854</v>
      </c>
      <c r="E57" s="375"/>
      <c r="F57" s="376" t="s">
        <v>226</v>
      </c>
      <c r="G57" s="371">
        <f t="shared" si="9"/>
        <v>24</v>
      </c>
      <c r="H57" s="456"/>
      <c r="I57" s="453">
        <f t="shared" si="10"/>
        <v>3155237.3785199127</v>
      </c>
      <c r="J57" s="433">
        <f t="shared" si="11"/>
        <v>2748565.5599999996</v>
      </c>
      <c r="K57" s="433">
        <f t="shared" si="12"/>
        <v>2835946.9399999995</v>
      </c>
      <c r="L57" s="433">
        <f t="shared" si="13"/>
        <v>2848465.32</v>
      </c>
      <c r="M57" s="433">
        <f t="shared" si="14"/>
        <v>2537557.4399999995</v>
      </c>
      <c r="N57" s="433">
        <f t="shared" si="15"/>
        <v>2569941.6300000004</v>
      </c>
      <c r="O57" s="433">
        <f t="shared" si="16"/>
        <v>2564819.3299999996</v>
      </c>
      <c r="P57" s="433">
        <f t="shared" si="17"/>
        <v>2761226.8499999996</v>
      </c>
      <c r="Q57" s="469">
        <f>+Table210[[#This Row],[FY26 BUDGET]]-Table210[[#This Row],[FY2027 REQUESTED BUDGET]]</f>
        <v>-406671.81851991313</v>
      </c>
    </row>
    <row r="58" spans="4:17" x14ac:dyDescent="0.3">
      <c r="D58" s="377">
        <v>855</v>
      </c>
      <c r="E58" s="375"/>
      <c r="F58" s="378" t="s">
        <v>227</v>
      </c>
      <c r="G58" s="371">
        <f t="shared" si="9"/>
        <v>22</v>
      </c>
      <c r="H58" s="456"/>
      <c r="I58" s="453">
        <f t="shared" si="10"/>
        <v>591503.69799058</v>
      </c>
      <c r="J58" s="433">
        <f t="shared" si="11"/>
        <v>1876718.7900000003</v>
      </c>
      <c r="K58" s="433">
        <f t="shared" si="12"/>
        <v>2152811.0299999998</v>
      </c>
      <c r="L58" s="433">
        <f t="shared" si="13"/>
        <v>1565089.0599999998</v>
      </c>
      <c r="M58" s="433">
        <f t="shared" si="14"/>
        <v>1860212.6400000001</v>
      </c>
      <c r="N58" s="433">
        <f t="shared" si="15"/>
        <v>1831129.0400000003</v>
      </c>
      <c r="O58" s="433">
        <f t="shared" si="16"/>
        <v>1969632.8600000003</v>
      </c>
      <c r="P58" s="433">
        <f t="shared" si="17"/>
        <v>2043044.12</v>
      </c>
      <c r="Q58" s="469">
        <f>+Table210[[#This Row],[FY26 BUDGET]]-Table210[[#This Row],[FY2027 REQUESTED BUDGET]]</f>
        <v>1285215.0920094203</v>
      </c>
    </row>
    <row r="59" spans="4:17" x14ac:dyDescent="0.3">
      <c r="D59" s="374">
        <v>856</v>
      </c>
      <c r="E59" s="375"/>
      <c r="F59" s="376" t="s">
        <v>228</v>
      </c>
      <c r="G59" s="371">
        <f t="shared" si="9"/>
        <v>24</v>
      </c>
      <c r="H59" s="456"/>
      <c r="I59" s="453">
        <f t="shared" si="10"/>
        <v>2837390.4862545091</v>
      </c>
      <c r="J59" s="433">
        <f t="shared" si="11"/>
        <v>2281566.4899999998</v>
      </c>
      <c r="K59" s="433">
        <f t="shared" si="12"/>
        <v>2194731.4700000002</v>
      </c>
      <c r="L59" s="433">
        <f t="shared" si="13"/>
        <v>2110914.62</v>
      </c>
      <c r="M59" s="433">
        <f t="shared" si="14"/>
        <v>2191223.08</v>
      </c>
      <c r="N59" s="433">
        <f t="shared" si="15"/>
        <v>2078034.3499999999</v>
      </c>
      <c r="O59" s="433">
        <f t="shared" si="16"/>
        <v>2018262.1299999994</v>
      </c>
      <c r="P59" s="433">
        <f t="shared" si="17"/>
        <v>2183174.2400000002</v>
      </c>
      <c r="Q59" s="469">
        <f>+Table210[[#This Row],[FY26 BUDGET]]-Table210[[#This Row],[FY2027 REQUESTED BUDGET]]</f>
        <v>-555823.99625450931</v>
      </c>
    </row>
    <row r="60" spans="4:17" x14ac:dyDescent="0.3">
      <c r="D60" s="377">
        <v>857</v>
      </c>
      <c r="E60" s="375"/>
      <c r="F60" s="378" t="s">
        <v>229</v>
      </c>
      <c r="G60" s="371">
        <f t="shared" si="9"/>
        <v>3</v>
      </c>
      <c r="H60" s="456"/>
      <c r="I60" s="453">
        <f t="shared" si="10"/>
        <v>314179.8152953395</v>
      </c>
      <c r="J60" s="433">
        <f t="shared" si="11"/>
        <v>270739.51</v>
      </c>
      <c r="K60" s="433">
        <f t="shared" si="12"/>
        <v>238429.44</v>
      </c>
      <c r="L60" s="433">
        <f t="shared" si="13"/>
        <v>247856.22</v>
      </c>
      <c r="M60" s="433">
        <f t="shared" si="14"/>
        <v>247420.09999999998</v>
      </c>
      <c r="N60" s="433">
        <f t="shared" si="15"/>
        <v>236843.91999999998</v>
      </c>
      <c r="O60" s="433">
        <f t="shared" si="16"/>
        <v>225191.01</v>
      </c>
      <c r="P60" s="433">
        <f t="shared" si="17"/>
        <v>216354.95999999996</v>
      </c>
      <c r="Q60" s="469">
        <f>+Table210[[#This Row],[FY26 BUDGET]]-Table210[[#This Row],[FY2027 REQUESTED BUDGET]]</f>
        <v>-43440.305295339494</v>
      </c>
    </row>
    <row r="61" spans="4:17" x14ac:dyDescent="0.3">
      <c r="D61" s="374">
        <v>858</v>
      </c>
      <c r="E61" s="375"/>
      <c r="F61" s="376" t="s">
        <v>230</v>
      </c>
      <c r="G61" s="371">
        <f t="shared" si="9"/>
        <v>0</v>
      </c>
      <c r="H61" s="456"/>
      <c r="I61" s="453">
        <f t="shared" si="10"/>
        <v>0</v>
      </c>
      <c r="J61" s="433">
        <f t="shared" si="11"/>
        <v>0</v>
      </c>
      <c r="K61" s="433">
        <f t="shared" si="12"/>
        <v>50193.29</v>
      </c>
      <c r="L61" s="433">
        <f t="shared" si="13"/>
        <v>7997.7100000000009</v>
      </c>
      <c r="M61" s="433">
        <f t="shared" si="14"/>
        <v>7800</v>
      </c>
      <c r="N61" s="433">
        <f t="shared" si="15"/>
        <v>0</v>
      </c>
      <c r="O61" s="433">
        <f t="shared" si="16"/>
        <v>0</v>
      </c>
      <c r="P61" s="433">
        <f t="shared" si="17"/>
        <v>0</v>
      </c>
      <c r="Q61" s="469">
        <f>+Table210[[#This Row],[FY26 BUDGET]]-Table210[[#This Row],[FY2027 REQUESTED BUDGET]]</f>
        <v>0</v>
      </c>
    </row>
    <row r="62" spans="4:17" x14ac:dyDescent="0.3">
      <c r="D62" s="377">
        <v>859</v>
      </c>
      <c r="E62" s="375"/>
      <c r="F62" s="378" t="s">
        <v>231</v>
      </c>
      <c r="G62" s="371">
        <f t="shared" si="9"/>
        <v>0</v>
      </c>
      <c r="H62" s="456"/>
      <c r="I62" s="453">
        <f t="shared" si="10"/>
        <v>0</v>
      </c>
      <c r="J62" s="433">
        <f t="shared" si="11"/>
        <v>0</v>
      </c>
      <c r="K62" s="433">
        <f t="shared" si="12"/>
        <v>0</v>
      </c>
      <c r="L62" s="433">
        <f t="shared" si="13"/>
        <v>0</v>
      </c>
      <c r="M62" s="433">
        <f t="shared" si="14"/>
        <v>0</v>
      </c>
      <c r="N62" s="433">
        <f t="shared" si="15"/>
        <v>0</v>
      </c>
      <c r="O62" s="433">
        <f t="shared" si="16"/>
        <v>0</v>
      </c>
      <c r="P62" s="433">
        <f t="shared" si="17"/>
        <v>0</v>
      </c>
      <c r="Q62" s="469">
        <f>+Table210[[#This Row],[FY26 BUDGET]]-Table210[[#This Row],[FY2027 REQUESTED BUDGET]]</f>
        <v>0</v>
      </c>
    </row>
    <row r="63" spans="4:17" x14ac:dyDescent="0.3">
      <c r="D63" s="374">
        <v>860</v>
      </c>
      <c r="E63" s="375"/>
      <c r="F63" s="376" t="s">
        <v>232</v>
      </c>
      <c r="G63" s="371">
        <f t="shared" si="9"/>
        <v>30</v>
      </c>
      <c r="H63" s="456"/>
      <c r="I63" s="453">
        <f t="shared" si="10"/>
        <v>4225913.8684241977</v>
      </c>
      <c r="J63" s="433">
        <f t="shared" si="11"/>
        <v>3628344.5100000002</v>
      </c>
      <c r="K63" s="433">
        <f t="shared" si="12"/>
        <v>4013795.0799999996</v>
      </c>
      <c r="L63" s="433">
        <f t="shared" si="13"/>
        <v>3910162.8599999989</v>
      </c>
      <c r="M63" s="433">
        <f t="shared" si="14"/>
        <v>4152942.120000002</v>
      </c>
      <c r="N63" s="433">
        <f t="shared" si="15"/>
        <v>3467983.08</v>
      </c>
      <c r="O63" s="433">
        <f t="shared" si="16"/>
        <v>3094772.4899999998</v>
      </c>
      <c r="P63" s="433">
        <f t="shared" si="17"/>
        <v>3299298.4000000013</v>
      </c>
      <c r="Q63" s="469">
        <f>+Table210[[#This Row],[FY26 BUDGET]]-Table210[[#This Row],[FY2027 REQUESTED BUDGET]]</f>
        <v>-597569.35842419742</v>
      </c>
    </row>
    <row r="64" spans="4:17" x14ac:dyDescent="0.3">
      <c r="D64" s="377">
        <v>861</v>
      </c>
      <c r="E64" s="375"/>
      <c r="F64" s="378" t="s">
        <v>233</v>
      </c>
      <c r="G64" s="371">
        <f t="shared" si="9"/>
        <v>16</v>
      </c>
      <c r="H64" s="456"/>
      <c r="I64" s="453">
        <f t="shared" si="10"/>
        <v>1783937.9264478448</v>
      </c>
      <c r="J64" s="433">
        <f t="shared" si="11"/>
        <v>1631065.7300000002</v>
      </c>
      <c r="K64" s="433">
        <f t="shared" si="12"/>
        <v>1554778.2199999997</v>
      </c>
      <c r="L64" s="433">
        <f t="shared" si="13"/>
        <v>1212857.3799999999</v>
      </c>
      <c r="M64" s="433">
        <f t="shared" si="14"/>
        <v>1174759.1600000001</v>
      </c>
      <c r="N64" s="433">
        <f t="shared" si="15"/>
        <v>1164082.42</v>
      </c>
      <c r="O64" s="433">
        <f t="shared" si="16"/>
        <v>860743.7699999999</v>
      </c>
      <c r="P64" s="433">
        <f t="shared" si="17"/>
        <v>823328.53000000014</v>
      </c>
      <c r="Q64" s="469">
        <f>+Table210[[#This Row],[FY26 BUDGET]]-Table210[[#This Row],[FY2027 REQUESTED BUDGET]]</f>
        <v>-152872.19644784462</v>
      </c>
    </row>
    <row r="65" spans="4:17" x14ac:dyDescent="0.3">
      <c r="D65" s="374">
        <v>862</v>
      </c>
      <c r="E65" s="375"/>
      <c r="F65" s="376" t="s">
        <v>234</v>
      </c>
      <c r="G65" s="371">
        <f t="shared" si="9"/>
        <v>0</v>
      </c>
      <c r="H65" s="456"/>
      <c r="I65" s="453">
        <f t="shared" si="10"/>
        <v>0</v>
      </c>
      <c r="J65" s="433">
        <f t="shared" si="11"/>
        <v>0</v>
      </c>
      <c r="K65" s="433">
        <f t="shared" si="12"/>
        <v>0</v>
      </c>
      <c r="L65" s="433">
        <f t="shared" si="13"/>
        <v>0</v>
      </c>
      <c r="M65" s="433">
        <f t="shared" si="14"/>
        <v>0</v>
      </c>
      <c r="N65" s="433">
        <f t="shared" si="15"/>
        <v>0</v>
      </c>
      <c r="O65" s="433">
        <f t="shared" si="16"/>
        <v>0</v>
      </c>
      <c r="P65" s="433">
        <f t="shared" si="17"/>
        <v>0</v>
      </c>
      <c r="Q65" s="469">
        <f>+Table210[[#This Row],[FY26 BUDGET]]-Table210[[#This Row],[FY2027 REQUESTED BUDGET]]</f>
        <v>0</v>
      </c>
    </row>
    <row r="66" spans="4:17" x14ac:dyDescent="0.3">
      <c r="D66" s="374">
        <v>863</v>
      </c>
      <c r="E66" s="375"/>
      <c r="F66" s="376" t="s">
        <v>235</v>
      </c>
      <c r="G66" s="371">
        <f t="shared" si="9"/>
        <v>3</v>
      </c>
      <c r="H66" s="456"/>
      <c r="I66" s="453">
        <f t="shared" si="10"/>
        <v>714261.65671922499</v>
      </c>
      <c r="J66" s="433">
        <f t="shared" si="11"/>
        <v>1105202.7999999998</v>
      </c>
      <c r="K66" s="433">
        <f t="shared" si="12"/>
        <v>1422642.01</v>
      </c>
      <c r="L66" s="433">
        <f t="shared" si="13"/>
        <v>989577.81000000017</v>
      </c>
      <c r="M66" s="433">
        <f t="shared" si="14"/>
        <v>740729.23</v>
      </c>
      <c r="N66" s="433">
        <f t="shared" si="15"/>
        <v>608086.68000000005</v>
      </c>
      <c r="O66" s="433">
        <f t="shared" si="16"/>
        <v>614088.66999999993</v>
      </c>
      <c r="P66" s="433">
        <f t="shared" si="17"/>
        <v>477017.07</v>
      </c>
      <c r="Q66" s="469">
        <f>+Table210[[#This Row],[FY26 BUDGET]]-Table210[[#This Row],[FY2027 REQUESTED BUDGET]]</f>
        <v>390941.14328077482</v>
      </c>
    </row>
    <row r="67" spans="4:17" x14ac:dyDescent="0.3">
      <c r="D67" s="377">
        <v>864</v>
      </c>
      <c r="E67" s="375"/>
      <c r="F67" s="378" t="s">
        <v>236</v>
      </c>
      <c r="G67" s="371">
        <f t="shared" ref="G67:G98" si="18">SUMIF($D$127:$D$5679,$D67,$G$127:$G$5679)</f>
        <v>9</v>
      </c>
      <c r="H67" s="456"/>
      <c r="I67" s="453">
        <f t="shared" ref="I67:I98" si="19">SUMIF($D$127:$D$5099,$D67,$I$127:$I$5099)</f>
        <v>683980.30529729114</v>
      </c>
      <c r="J67" s="433">
        <f t="shared" ref="J67:J98" si="20">SUMIF($D$127:$D$5679,$D67,$J$127:$J$5679)</f>
        <v>589615.35000000009</v>
      </c>
      <c r="K67" s="433">
        <f t="shared" ref="K67:K98" si="21">SUMIF($D$127:$D$5679,$D67,$K$127:$K$5679)</f>
        <v>571315.65999999992</v>
      </c>
      <c r="L67" s="433">
        <f t="shared" ref="L67:L98" si="22">SUMIF($D$127:$D$5679,$D67,$L$127:$L$5679)</f>
        <v>256634.23999999999</v>
      </c>
      <c r="M67" s="433">
        <f t="shared" ref="M67:M98" si="23">SUMIF($D$127:$D$5679,$D67,$M$127:$M$5679)</f>
        <v>281145.36</v>
      </c>
      <c r="N67" s="433">
        <f t="shared" ref="N67:N98" si="24">SUMIF($D$127:$D$5679,$D67,$N$127:$N$5679)</f>
        <v>289571.03000000003</v>
      </c>
      <c r="O67" s="433">
        <f t="shared" ref="O67:O98" si="25">SUMIF($D$127:$D$5679,$D67,$O$127:$O$5679)</f>
        <v>283275.00999999995</v>
      </c>
      <c r="P67" s="433">
        <f t="shared" ref="P67:P98" si="26">SUMIF($D$127:$D$5679,$D67,$P$127:$P$5679)</f>
        <v>231811.11000000002</v>
      </c>
      <c r="Q67" s="469">
        <f>+Table210[[#This Row],[FY26 BUDGET]]-Table210[[#This Row],[FY2027 REQUESTED BUDGET]]</f>
        <v>-94364.955297291046</v>
      </c>
    </row>
    <row r="68" spans="4:17" x14ac:dyDescent="0.3">
      <c r="D68" s="374">
        <v>865</v>
      </c>
      <c r="E68" s="375"/>
      <c r="F68" s="376" t="s">
        <v>237</v>
      </c>
      <c r="G68" s="371">
        <f t="shared" si="18"/>
        <v>0</v>
      </c>
      <c r="H68" s="456"/>
      <c r="I68" s="453">
        <f t="shared" si="19"/>
        <v>556200</v>
      </c>
      <c r="J68" s="433">
        <f t="shared" si="20"/>
        <v>540000</v>
      </c>
      <c r="K68" s="433">
        <f t="shared" si="21"/>
        <v>382362.66</v>
      </c>
      <c r="L68" s="433">
        <f t="shared" si="22"/>
        <v>258491.12</v>
      </c>
      <c r="M68" s="433">
        <f t="shared" si="23"/>
        <v>188038.23</v>
      </c>
      <c r="N68" s="433">
        <f t="shared" si="24"/>
        <v>505947.55</v>
      </c>
      <c r="O68" s="433">
        <f t="shared" si="25"/>
        <v>271001.98</v>
      </c>
      <c r="P68" s="433">
        <f t="shared" si="26"/>
        <v>420817.06</v>
      </c>
      <c r="Q68" s="469">
        <f>+Table210[[#This Row],[FY26 BUDGET]]-Table210[[#This Row],[FY2027 REQUESTED BUDGET]]</f>
        <v>-16200</v>
      </c>
    </row>
    <row r="69" spans="4:17" x14ac:dyDescent="0.3">
      <c r="D69" s="374">
        <v>866</v>
      </c>
      <c r="E69" s="375"/>
      <c r="F69" s="376" t="s">
        <v>238</v>
      </c>
      <c r="G69" s="371">
        <f t="shared" si="18"/>
        <v>3</v>
      </c>
      <c r="H69" s="456"/>
      <c r="I69" s="453">
        <f t="shared" si="19"/>
        <v>317087.55079343956</v>
      </c>
      <c r="J69" s="433">
        <f t="shared" si="20"/>
        <v>605716.18000000005</v>
      </c>
      <c r="K69" s="433">
        <f t="shared" si="21"/>
        <v>690590.7300000001</v>
      </c>
      <c r="L69" s="433">
        <f t="shared" si="22"/>
        <v>668116.35000000009</v>
      </c>
      <c r="M69" s="433">
        <f t="shared" si="23"/>
        <v>636020.50000000012</v>
      </c>
      <c r="N69" s="433">
        <f t="shared" si="24"/>
        <v>466692.02999999997</v>
      </c>
      <c r="O69" s="433">
        <f t="shared" si="25"/>
        <v>483786.20000000007</v>
      </c>
      <c r="P69" s="433">
        <f t="shared" si="26"/>
        <v>508942.52999999997</v>
      </c>
      <c r="Q69" s="469">
        <f>+Table210[[#This Row],[FY26 BUDGET]]-Table210[[#This Row],[FY2027 REQUESTED BUDGET]]</f>
        <v>288628.62920656049</v>
      </c>
    </row>
    <row r="70" spans="4:17" x14ac:dyDescent="0.3">
      <c r="D70" s="377">
        <v>867</v>
      </c>
      <c r="E70" s="375"/>
      <c r="F70" s="378" t="s">
        <v>239</v>
      </c>
      <c r="G70" s="371">
        <f t="shared" si="18"/>
        <v>0</v>
      </c>
      <c r="H70" s="456"/>
      <c r="I70" s="453">
        <f t="shared" si="19"/>
        <v>14929.85</v>
      </c>
      <c r="J70" s="433">
        <f t="shared" si="20"/>
        <v>14495</v>
      </c>
      <c r="K70" s="433">
        <f t="shared" si="21"/>
        <v>0</v>
      </c>
      <c r="L70" s="433">
        <f t="shared" si="22"/>
        <v>19420.460000000003</v>
      </c>
      <c r="M70" s="433">
        <f t="shared" si="23"/>
        <v>62611.18</v>
      </c>
      <c r="N70" s="433">
        <f t="shared" si="24"/>
        <v>59796.119999999995</v>
      </c>
      <c r="O70" s="433">
        <f t="shared" si="25"/>
        <v>58705.090000000004</v>
      </c>
      <c r="P70" s="433">
        <f t="shared" si="26"/>
        <v>106356.49000000002</v>
      </c>
      <c r="Q70" s="469">
        <f>+Table210[[#This Row],[FY26 BUDGET]]-Table210[[#This Row],[FY2027 REQUESTED BUDGET]]</f>
        <v>-434.85000000000036</v>
      </c>
    </row>
    <row r="71" spans="4:17" x14ac:dyDescent="0.3">
      <c r="D71" s="374">
        <v>868</v>
      </c>
      <c r="E71" s="375"/>
      <c r="F71" s="376" t="s">
        <v>240</v>
      </c>
      <c r="G71" s="371">
        <f t="shared" si="18"/>
        <v>6</v>
      </c>
      <c r="H71" s="456"/>
      <c r="I71" s="453">
        <f t="shared" si="19"/>
        <v>1222727.3812950607</v>
      </c>
      <c r="J71" s="433">
        <f t="shared" si="20"/>
        <v>1131900.0799999998</v>
      </c>
      <c r="K71" s="433">
        <f t="shared" si="21"/>
        <v>761134.4</v>
      </c>
      <c r="L71" s="433">
        <f t="shared" si="22"/>
        <v>526168.96000000008</v>
      </c>
      <c r="M71" s="433">
        <f t="shared" si="23"/>
        <v>378880.28</v>
      </c>
      <c r="N71" s="433">
        <f t="shared" si="24"/>
        <v>434604.36</v>
      </c>
      <c r="O71" s="433">
        <f t="shared" si="25"/>
        <v>501540.02</v>
      </c>
      <c r="P71" s="433">
        <f t="shared" si="26"/>
        <v>463602.06</v>
      </c>
      <c r="Q71" s="469">
        <f>+Table210[[#This Row],[FY26 BUDGET]]-Table210[[#This Row],[FY2027 REQUESTED BUDGET]]</f>
        <v>-90827.301295060897</v>
      </c>
    </row>
    <row r="72" spans="4:17" x14ac:dyDescent="0.3">
      <c r="D72" s="377">
        <v>869</v>
      </c>
      <c r="E72" s="375"/>
      <c r="F72" s="378" t="s">
        <v>241</v>
      </c>
      <c r="G72" s="371">
        <f t="shared" si="18"/>
        <v>3</v>
      </c>
      <c r="H72" s="456"/>
      <c r="I72" s="453">
        <f t="shared" si="19"/>
        <v>2035772.91887818</v>
      </c>
      <c r="J72" s="433">
        <f t="shared" si="20"/>
        <v>1455020.09</v>
      </c>
      <c r="K72" s="433">
        <f t="shared" si="21"/>
        <v>1390221.5199999998</v>
      </c>
      <c r="L72" s="433">
        <f t="shared" si="22"/>
        <v>1063661.5900000001</v>
      </c>
      <c r="M72" s="433">
        <f t="shared" si="23"/>
        <v>1053987.72</v>
      </c>
      <c r="N72" s="433">
        <f t="shared" si="24"/>
        <v>995911.89000000013</v>
      </c>
      <c r="O72" s="433">
        <f t="shared" si="25"/>
        <v>953269.23</v>
      </c>
      <c r="P72" s="433">
        <f t="shared" si="26"/>
        <v>1138572.4200000002</v>
      </c>
      <c r="Q72" s="469">
        <f>+Table210[[#This Row],[FY26 BUDGET]]-Table210[[#This Row],[FY2027 REQUESTED BUDGET]]</f>
        <v>-580752.82887817989</v>
      </c>
    </row>
    <row r="73" spans="4:17" x14ac:dyDescent="0.3">
      <c r="D73" s="374">
        <v>870</v>
      </c>
      <c r="E73" s="375"/>
      <c r="F73" s="376" t="s">
        <v>242</v>
      </c>
      <c r="G73" s="371">
        <f t="shared" si="18"/>
        <v>6</v>
      </c>
      <c r="H73" s="456"/>
      <c r="I73" s="453">
        <f t="shared" si="19"/>
        <v>752078.31485624239</v>
      </c>
      <c r="J73" s="433">
        <f t="shared" si="20"/>
        <v>519980</v>
      </c>
      <c r="K73" s="433">
        <f t="shared" si="21"/>
        <v>634133.39</v>
      </c>
      <c r="L73" s="433">
        <f t="shared" si="22"/>
        <v>652548.31000000006</v>
      </c>
      <c r="M73" s="433">
        <f t="shared" si="23"/>
        <v>696326.54</v>
      </c>
      <c r="N73" s="433">
        <f t="shared" si="24"/>
        <v>714698.03</v>
      </c>
      <c r="O73" s="433">
        <f t="shared" si="25"/>
        <v>728546.4600000002</v>
      </c>
      <c r="P73" s="433">
        <f t="shared" si="26"/>
        <v>616021.30000000005</v>
      </c>
      <c r="Q73" s="469">
        <f>+Table210[[#This Row],[FY26 BUDGET]]-Table210[[#This Row],[FY2027 REQUESTED BUDGET]]</f>
        <v>-232098.31485624239</v>
      </c>
    </row>
    <row r="74" spans="4:17" x14ac:dyDescent="0.3">
      <c r="D74" s="377">
        <v>871</v>
      </c>
      <c r="E74" s="375"/>
      <c r="F74" s="378" t="s">
        <v>243</v>
      </c>
      <c r="G74" s="371">
        <f t="shared" si="18"/>
        <v>8</v>
      </c>
      <c r="H74" s="456"/>
      <c r="I74" s="453">
        <f t="shared" si="19"/>
        <v>813090.65604345687</v>
      </c>
      <c r="J74" s="433">
        <f t="shared" si="20"/>
        <v>632988.41000000015</v>
      </c>
      <c r="K74" s="433">
        <f t="shared" si="21"/>
        <v>756841.05999999994</v>
      </c>
      <c r="L74" s="433">
        <f t="shared" si="22"/>
        <v>767109.99</v>
      </c>
      <c r="M74" s="433">
        <f t="shared" si="23"/>
        <v>696214.1</v>
      </c>
      <c r="N74" s="433">
        <f t="shared" si="24"/>
        <v>589612.44999999995</v>
      </c>
      <c r="O74" s="433">
        <f t="shared" si="25"/>
        <v>558345.1</v>
      </c>
      <c r="P74" s="433">
        <f t="shared" si="26"/>
        <v>695149.14</v>
      </c>
      <c r="Q74" s="469">
        <f>+Table210[[#This Row],[FY26 BUDGET]]-Table210[[#This Row],[FY2027 REQUESTED BUDGET]]</f>
        <v>-180102.24604345672</v>
      </c>
    </row>
    <row r="75" spans="4:17" x14ac:dyDescent="0.3">
      <c r="D75" s="374">
        <v>872</v>
      </c>
      <c r="E75" s="375"/>
      <c r="F75" s="376" t="s">
        <v>244</v>
      </c>
      <c r="G75" s="371">
        <f t="shared" si="18"/>
        <v>4</v>
      </c>
      <c r="H75" s="456"/>
      <c r="I75" s="453">
        <f t="shared" si="19"/>
        <v>405073.96139009757</v>
      </c>
      <c r="J75" s="433">
        <f t="shared" si="20"/>
        <v>347933.34</v>
      </c>
      <c r="K75" s="433">
        <f t="shared" si="21"/>
        <v>365670.46</v>
      </c>
      <c r="L75" s="433">
        <f t="shared" si="22"/>
        <v>385366.89</v>
      </c>
      <c r="M75" s="433">
        <f t="shared" si="23"/>
        <v>351834.65</v>
      </c>
      <c r="N75" s="433">
        <f t="shared" si="24"/>
        <v>308413.02999999997</v>
      </c>
      <c r="O75" s="433">
        <f t="shared" si="25"/>
        <v>220136.62000000002</v>
      </c>
      <c r="P75" s="433">
        <f t="shared" si="26"/>
        <v>224423.55</v>
      </c>
      <c r="Q75" s="469">
        <f>+Table210[[#This Row],[FY26 BUDGET]]-Table210[[#This Row],[FY2027 REQUESTED BUDGET]]</f>
        <v>-57140.621390097542</v>
      </c>
    </row>
    <row r="76" spans="4:17" x14ac:dyDescent="0.3">
      <c r="D76" s="377">
        <v>873</v>
      </c>
      <c r="E76" s="375"/>
      <c r="F76" s="378" t="s">
        <v>245</v>
      </c>
      <c r="G76" s="371">
        <f t="shared" si="18"/>
        <v>10</v>
      </c>
      <c r="H76" s="456"/>
      <c r="I76" s="453">
        <f t="shared" si="19"/>
        <v>2558132.1162647549</v>
      </c>
      <c r="J76" s="433">
        <f t="shared" si="20"/>
        <v>2127823.9500000002</v>
      </c>
      <c r="K76" s="433">
        <f t="shared" si="21"/>
        <v>2579549.04</v>
      </c>
      <c r="L76" s="433">
        <f t="shared" si="22"/>
        <v>2033446.9800000004</v>
      </c>
      <c r="M76" s="433">
        <f t="shared" si="23"/>
        <v>1699952.5599999998</v>
      </c>
      <c r="N76" s="433">
        <f t="shared" si="24"/>
        <v>1477957.35</v>
      </c>
      <c r="O76" s="433">
        <f t="shared" si="25"/>
        <v>1750200.3899999997</v>
      </c>
      <c r="P76" s="433">
        <f t="shared" si="26"/>
        <v>1898186.2200000004</v>
      </c>
      <c r="Q76" s="469">
        <f>+Table210[[#This Row],[FY26 BUDGET]]-Table210[[#This Row],[FY2027 REQUESTED BUDGET]]</f>
        <v>-430308.16626475472</v>
      </c>
    </row>
    <row r="77" spans="4:17" x14ac:dyDescent="0.3">
      <c r="D77" s="374">
        <v>874</v>
      </c>
      <c r="E77" s="375"/>
      <c r="F77" s="376" t="s">
        <v>246</v>
      </c>
      <c r="G77" s="371">
        <f t="shared" si="18"/>
        <v>1</v>
      </c>
      <c r="H77" s="456"/>
      <c r="I77" s="453">
        <f t="shared" si="19"/>
        <v>130835.76693022679</v>
      </c>
      <c r="J77" s="433">
        <f t="shared" si="20"/>
        <v>79338</v>
      </c>
      <c r="K77" s="433">
        <f t="shared" si="21"/>
        <v>80519.729999999981</v>
      </c>
      <c r="L77" s="433">
        <f t="shared" si="22"/>
        <v>66983.75</v>
      </c>
      <c r="M77" s="433">
        <f t="shared" si="23"/>
        <v>62521.249999999993</v>
      </c>
      <c r="N77" s="433">
        <f t="shared" si="24"/>
        <v>82028.030000000013</v>
      </c>
      <c r="O77" s="433">
        <f t="shared" si="25"/>
        <v>254696.27000000002</v>
      </c>
      <c r="P77" s="433">
        <f t="shared" si="26"/>
        <v>233258.79</v>
      </c>
      <c r="Q77" s="469">
        <f>+Table210[[#This Row],[FY26 BUDGET]]-Table210[[#This Row],[FY2027 REQUESTED BUDGET]]</f>
        <v>-51497.76693022679</v>
      </c>
    </row>
    <row r="78" spans="4:17" x14ac:dyDescent="0.3">
      <c r="D78" s="377">
        <v>875</v>
      </c>
      <c r="E78" s="375"/>
      <c r="F78" s="378" t="s">
        <v>247</v>
      </c>
      <c r="G78" s="371">
        <f t="shared" si="18"/>
        <v>5</v>
      </c>
      <c r="H78" s="456"/>
      <c r="I78" s="453">
        <f t="shared" si="19"/>
        <v>7984387.3356675636</v>
      </c>
      <c r="J78" s="433">
        <f t="shared" si="20"/>
        <v>7495844.5500000007</v>
      </c>
      <c r="K78" s="433">
        <f t="shared" si="21"/>
        <v>6786721.6400000006</v>
      </c>
      <c r="L78" s="433">
        <f t="shared" si="22"/>
        <v>6486079.4699999997</v>
      </c>
      <c r="M78" s="433">
        <f t="shared" si="23"/>
        <v>5771482.3499999996</v>
      </c>
      <c r="N78" s="433">
        <f t="shared" si="24"/>
        <v>5774848.7300000004</v>
      </c>
      <c r="O78" s="433">
        <f t="shared" si="25"/>
        <v>3562113.27</v>
      </c>
      <c r="P78" s="433">
        <f t="shared" si="26"/>
        <v>2167188.1</v>
      </c>
      <c r="Q78" s="469">
        <f>+Table210[[#This Row],[FY26 BUDGET]]-Table210[[#This Row],[FY2027 REQUESTED BUDGET]]</f>
        <v>-488542.78566756286</v>
      </c>
    </row>
    <row r="79" spans="4:17" x14ac:dyDescent="0.3">
      <c r="D79" s="374">
        <v>876</v>
      </c>
      <c r="E79" s="375"/>
      <c r="F79" s="376" t="s">
        <v>248</v>
      </c>
      <c r="G79" s="371">
        <f t="shared" si="18"/>
        <v>0</v>
      </c>
      <c r="H79" s="456"/>
      <c r="I79" s="453">
        <f t="shared" si="19"/>
        <v>2034562.0496</v>
      </c>
      <c r="J79" s="433">
        <f t="shared" si="20"/>
        <v>1919398.16</v>
      </c>
      <c r="K79" s="433">
        <f t="shared" si="21"/>
        <v>1787029.84</v>
      </c>
      <c r="L79" s="433">
        <f t="shared" si="22"/>
        <v>1721774.33</v>
      </c>
      <c r="M79" s="433">
        <f t="shared" si="23"/>
        <v>1690044.6</v>
      </c>
      <c r="N79" s="433">
        <f t="shared" si="24"/>
        <v>1453343.28</v>
      </c>
      <c r="O79" s="433">
        <f t="shared" si="25"/>
        <v>1267891.08</v>
      </c>
      <c r="P79" s="433">
        <f t="shared" si="26"/>
        <v>957574.2</v>
      </c>
      <c r="Q79" s="469">
        <f>+Table210[[#This Row],[FY26 BUDGET]]-Table210[[#This Row],[FY2027 REQUESTED BUDGET]]</f>
        <v>-115163.88960000011</v>
      </c>
    </row>
    <row r="80" spans="4:17" x14ac:dyDescent="0.3">
      <c r="D80" s="377">
        <v>877</v>
      </c>
      <c r="E80" s="375"/>
      <c r="F80" s="378" t="s">
        <v>249</v>
      </c>
      <c r="G80" s="371">
        <f t="shared" si="18"/>
        <v>0</v>
      </c>
      <c r="H80" s="456"/>
      <c r="I80" s="453">
        <f t="shared" si="19"/>
        <v>21584203.847600002</v>
      </c>
      <c r="J80" s="433">
        <f t="shared" si="20"/>
        <v>18502366.579999998</v>
      </c>
      <c r="K80" s="433">
        <f t="shared" si="21"/>
        <v>18808720.649999999</v>
      </c>
      <c r="L80" s="433">
        <f t="shared" si="22"/>
        <v>15616931.859999999</v>
      </c>
      <c r="M80" s="433">
        <f t="shared" si="23"/>
        <v>14996698.880000001</v>
      </c>
      <c r="N80" s="433">
        <f t="shared" si="24"/>
        <v>14207736.23</v>
      </c>
      <c r="O80" s="433">
        <f t="shared" si="25"/>
        <v>11877469.880000001</v>
      </c>
      <c r="P80" s="433">
        <f t="shared" si="26"/>
        <v>13076809.67</v>
      </c>
      <c r="Q80" s="469">
        <f>+Table210[[#This Row],[FY26 BUDGET]]-Table210[[#This Row],[FY2027 REQUESTED BUDGET]]</f>
        <v>-3081837.2676000036</v>
      </c>
    </row>
    <row r="81" spans="4:17" x14ac:dyDescent="0.3">
      <c r="D81" s="374">
        <v>878</v>
      </c>
      <c r="E81" s="375"/>
      <c r="F81" s="376" t="s">
        <v>250</v>
      </c>
      <c r="G81" s="371">
        <f t="shared" si="18"/>
        <v>0</v>
      </c>
      <c r="H81" s="456"/>
      <c r="I81" s="453">
        <f t="shared" si="19"/>
        <v>783013.18080000009</v>
      </c>
      <c r="J81" s="433">
        <f t="shared" si="20"/>
        <v>740139.68</v>
      </c>
      <c r="K81" s="433">
        <f t="shared" si="21"/>
        <v>705755.6</v>
      </c>
      <c r="L81" s="433">
        <f t="shared" si="22"/>
        <v>675196.35</v>
      </c>
      <c r="M81" s="433">
        <f t="shared" si="23"/>
        <v>623130</v>
      </c>
      <c r="N81" s="433">
        <f t="shared" si="24"/>
        <v>590524.96</v>
      </c>
      <c r="O81" s="433">
        <f t="shared" si="25"/>
        <v>395014.43</v>
      </c>
      <c r="P81" s="433">
        <f t="shared" si="26"/>
        <v>398587.24</v>
      </c>
      <c r="Q81" s="469">
        <f>+Table210[[#This Row],[FY26 BUDGET]]-Table210[[#This Row],[FY2027 REQUESTED BUDGET]]</f>
        <v>-42873.500800000038</v>
      </c>
    </row>
    <row r="82" spans="4:17" x14ac:dyDescent="0.3">
      <c r="D82" s="377">
        <v>879</v>
      </c>
      <c r="E82" s="375"/>
      <c r="F82" s="378" t="s">
        <v>251</v>
      </c>
      <c r="G82" s="371">
        <f t="shared" si="18"/>
        <v>0</v>
      </c>
      <c r="H82" s="456"/>
      <c r="I82" s="453">
        <f t="shared" si="19"/>
        <v>348475.31800000003</v>
      </c>
      <c r="J82" s="433">
        <f t="shared" si="20"/>
        <v>428458.86</v>
      </c>
      <c r="K82" s="433">
        <f t="shared" si="21"/>
        <v>318521.77</v>
      </c>
      <c r="L82" s="433">
        <f t="shared" si="22"/>
        <v>309568.25</v>
      </c>
      <c r="M82" s="433">
        <f t="shared" si="23"/>
        <v>310980</v>
      </c>
      <c r="N82" s="433">
        <f t="shared" si="24"/>
        <v>286742.28000000003</v>
      </c>
      <c r="O82" s="433">
        <f t="shared" si="25"/>
        <v>207212.37</v>
      </c>
      <c r="P82" s="433">
        <f t="shared" si="26"/>
        <v>142332.01</v>
      </c>
      <c r="Q82" s="469">
        <f>+Table210[[#This Row],[FY26 BUDGET]]-Table210[[#This Row],[FY2027 REQUESTED BUDGET]]</f>
        <v>79983.541999999958</v>
      </c>
    </row>
    <row r="83" spans="4:17" x14ac:dyDescent="0.3">
      <c r="D83" s="374">
        <v>880</v>
      </c>
      <c r="E83" s="375"/>
      <c r="F83" s="376" t="s">
        <v>252</v>
      </c>
      <c r="G83" s="371">
        <f t="shared" si="18"/>
        <v>0</v>
      </c>
      <c r="H83" s="456"/>
      <c r="I83" s="453">
        <f t="shared" si="19"/>
        <v>0</v>
      </c>
      <c r="J83" s="433">
        <f t="shared" si="20"/>
        <v>0</v>
      </c>
      <c r="K83" s="433">
        <f t="shared" si="21"/>
        <v>0</v>
      </c>
      <c r="L83" s="433">
        <f t="shared" si="22"/>
        <v>0</v>
      </c>
      <c r="M83" s="433">
        <f t="shared" si="23"/>
        <v>0</v>
      </c>
      <c r="N83" s="433">
        <f t="shared" si="24"/>
        <v>0</v>
      </c>
      <c r="O83" s="433">
        <f t="shared" si="25"/>
        <v>0</v>
      </c>
      <c r="P83" s="433">
        <f t="shared" si="26"/>
        <v>0</v>
      </c>
      <c r="Q83" s="469">
        <f>+Table210[[#This Row],[FY26 BUDGET]]-Table210[[#This Row],[FY2027 REQUESTED BUDGET]]</f>
        <v>0</v>
      </c>
    </row>
    <row r="84" spans="4:17" x14ac:dyDescent="0.3">
      <c r="D84" s="377">
        <v>881</v>
      </c>
      <c r="E84" s="375"/>
      <c r="F84" s="378" t="s">
        <v>253</v>
      </c>
      <c r="G84" s="371">
        <f t="shared" si="18"/>
        <v>0</v>
      </c>
      <c r="H84" s="456"/>
      <c r="I84" s="453">
        <f t="shared" si="19"/>
        <v>0</v>
      </c>
      <c r="J84" s="433">
        <f t="shared" si="20"/>
        <v>0</v>
      </c>
      <c r="K84" s="433">
        <f t="shared" si="21"/>
        <v>0</v>
      </c>
      <c r="L84" s="433">
        <f t="shared" si="22"/>
        <v>0</v>
      </c>
      <c r="M84" s="433">
        <f t="shared" si="23"/>
        <v>0</v>
      </c>
      <c r="N84" s="433">
        <f t="shared" si="24"/>
        <v>0</v>
      </c>
      <c r="O84" s="433">
        <f t="shared" si="25"/>
        <v>0</v>
      </c>
      <c r="P84" s="433">
        <f t="shared" si="26"/>
        <v>0</v>
      </c>
      <c r="Q84" s="469">
        <f>+Table210[[#This Row],[FY26 BUDGET]]-Table210[[#This Row],[FY2027 REQUESTED BUDGET]]</f>
        <v>0</v>
      </c>
    </row>
    <row r="85" spans="4:17" x14ac:dyDescent="0.3">
      <c r="D85" s="374">
        <v>882</v>
      </c>
      <c r="E85" s="375"/>
      <c r="F85" s="376" t="s">
        <v>254</v>
      </c>
      <c r="G85" s="371">
        <f t="shared" si="18"/>
        <v>1</v>
      </c>
      <c r="H85" s="456"/>
      <c r="I85" s="453">
        <f t="shared" si="19"/>
        <v>250717.55113759526</v>
      </c>
      <c r="J85" s="433">
        <f t="shared" si="20"/>
        <v>109247</v>
      </c>
      <c r="K85" s="433">
        <f t="shared" si="21"/>
        <v>102187.40999999999</v>
      </c>
      <c r="L85" s="433">
        <f t="shared" si="22"/>
        <v>93602.75</v>
      </c>
      <c r="M85" s="433">
        <f t="shared" si="23"/>
        <v>91091.94</v>
      </c>
      <c r="N85" s="433">
        <f t="shared" si="24"/>
        <v>81479.609999999986</v>
      </c>
      <c r="O85" s="433">
        <f t="shared" si="25"/>
        <v>83717.179999999993</v>
      </c>
      <c r="P85" s="433">
        <f t="shared" si="26"/>
        <v>81709.030000000013</v>
      </c>
      <c r="Q85" s="469">
        <f>+Table210[[#This Row],[FY26 BUDGET]]-Table210[[#This Row],[FY2027 REQUESTED BUDGET]]</f>
        <v>-141470.55113759526</v>
      </c>
    </row>
    <row r="86" spans="4:17" x14ac:dyDescent="0.3">
      <c r="D86" s="377">
        <v>883</v>
      </c>
      <c r="E86" s="375"/>
      <c r="F86" s="378" t="s">
        <v>255</v>
      </c>
      <c r="G86" s="371">
        <f t="shared" si="18"/>
        <v>74</v>
      </c>
      <c r="H86" s="456"/>
      <c r="I86" s="453">
        <f t="shared" si="19"/>
        <v>5420456.4158923393</v>
      </c>
      <c r="J86" s="433">
        <f t="shared" si="20"/>
        <v>4394481.6999999993</v>
      </c>
      <c r="K86" s="433">
        <f t="shared" si="21"/>
        <v>4976432.3499999996</v>
      </c>
      <c r="L86" s="433">
        <f t="shared" si="22"/>
        <v>4926797.2100000018</v>
      </c>
      <c r="M86" s="433">
        <f t="shared" si="23"/>
        <v>4663469.4200000009</v>
      </c>
      <c r="N86" s="433">
        <f t="shared" si="24"/>
        <v>4418456.9099999983</v>
      </c>
      <c r="O86" s="433">
        <f t="shared" si="25"/>
        <v>4504042.47</v>
      </c>
      <c r="P86" s="433">
        <f t="shared" si="26"/>
        <v>4604730.6899999985</v>
      </c>
      <c r="Q86" s="469">
        <f>+Table210[[#This Row],[FY26 BUDGET]]-Table210[[#This Row],[FY2027 REQUESTED BUDGET]]</f>
        <v>-1025974.7158923401</v>
      </c>
    </row>
    <row r="87" spans="4:17" x14ac:dyDescent="0.3">
      <c r="D87" s="374">
        <v>883579</v>
      </c>
      <c r="E87" s="375"/>
      <c r="F87" s="376" t="s">
        <v>256</v>
      </c>
      <c r="G87" s="371">
        <f t="shared" si="18"/>
        <v>0</v>
      </c>
      <c r="H87" s="456"/>
      <c r="I87" s="453">
        <f t="shared" si="19"/>
        <v>0</v>
      </c>
      <c r="J87" s="433">
        <f t="shared" si="20"/>
        <v>0</v>
      </c>
      <c r="K87" s="433">
        <f t="shared" si="21"/>
        <v>0</v>
      </c>
      <c r="L87" s="433">
        <f t="shared" si="22"/>
        <v>0</v>
      </c>
      <c r="M87" s="433">
        <f t="shared" si="23"/>
        <v>0</v>
      </c>
      <c r="N87" s="433">
        <f t="shared" si="24"/>
        <v>0</v>
      </c>
      <c r="O87" s="433">
        <f t="shared" si="25"/>
        <v>0</v>
      </c>
      <c r="P87" s="433">
        <f t="shared" si="26"/>
        <v>0</v>
      </c>
      <c r="Q87" s="469">
        <f>+Table210[[#This Row],[FY26 BUDGET]]-Table210[[#This Row],[FY2027 REQUESTED BUDGET]]</f>
        <v>0</v>
      </c>
    </row>
    <row r="88" spans="4:17" x14ac:dyDescent="0.3">
      <c r="D88" s="377">
        <v>883855</v>
      </c>
      <c r="E88" s="375"/>
      <c r="F88" s="378" t="s">
        <v>257</v>
      </c>
      <c r="G88" s="371">
        <f t="shared" si="18"/>
        <v>0</v>
      </c>
      <c r="H88" s="456"/>
      <c r="I88" s="453">
        <f t="shared" si="19"/>
        <v>0</v>
      </c>
      <c r="J88" s="433">
        <f t="shared" si="20"/>
        <v>0</v>
      </c>
      <c r="K88" s="433">
        <f t="shared" si="21"/>
        <v>0</v>
      </c>
      <c r="L88" s="433">
        <f t="shared" si="22"/>
        <v>0</v>
      </c>
      <c r="M88" s="433">
        <f t="shared" si="23"/>
        <v>0</v>
      </c>
      <c r="N88" s="433">
        <f t="shared" si="24"/>
        <v>0</v>
      </c>
      <c r="O88" s="433">
        <f t="shared" si="25"/>
        <v>0</v>
      </c>
      <c r="P88" s="433">
        <f t="shared" si="26"/>
        <v>0</v>
      </c>
      <c r="Q88" s="469">
        <f>+Table210[[#This Row],[FY26 BUDGET]]-Table210[[#This Row],[FY2027 REQUESTED BUDGET]]</f>
        <v>0</v>
      </c>
    </row>
    <row r="89" spans="4:17" x14ac:dyDescent="0.3">
      <c r="D89" s="374">
        <v>884</v>
      </c>
      <c r="E89" s="375"/>
      <c r="F89" s="376" t="s">
        <v>258</v>
      </c>
      <c r="G89" s="371">
        <f t="shared" si="18"/>
        <v>3</v>
      </c>
      <c r="H89" s="456"/>
      <c r="I89" s="453">
        <f t="shared" si="19"/>
        <v>677786.41243266</v>
      </c>
      <c r="J89" s="433">
        <f t="shared" si="20"/>
        <v>569699.65</v>
      </c>
      <c r="K89" s="433">
        <f t="shared" si="21"/>
        <v>607111.28</v>
      </c>
      <c r="L89" s="433">
        <f t="shared" si="22"/>
        <v>498752.66999999993</v>
      </c>
      <c r="M89" s="433">
        <f t="shared" si="23"/>
        <v>418338.08000000007</v>
      </c>
      <c r="N89" s="433">
        <f t="shared" si="24"/>
        <v>308167.90999999997</v>
      </c>
      <c r="O89" s="433">
        <f t="shared" si="25"/>
        <v>264872.23</v>
      </c>
      <c r="P89" s="433">
        <f t="shared" si="26"/>
        <v>220389.81</v>
      </c>
      <c r="Q89" s="469">
        <f>+Table210[[#This Row],[FY26 BUDGET]]-Table210[[#This Row],[FY2027 REQUESTED BUDGET]]</f>
        <v>-108086.76243265998</v>
      </c>
    </row>
    <row r="90" spans="4:17" x14ac:dyDescent="0.3">
      <c r="D90" s="377">
        <v>885</v>
      </c>
      <c r="E90" s="375"/>
      <c r="F90" s="378" t="s">
        <v>259</v>
      </c>
      <c r="G90" s="371">
        <f t="shared" si="18"/>
        <v>2</v>
      </c>
      <c r="H90" s="456"/>
      <c r="I90" s="453">
        <f t="shared" si="19"/>
        <v>333199.95634188002</v>
      </c>
      <c r="J90" s="433">
        <f t="shared" si="20"/>
        <v>312116.88</v>
      </c>
      <c r="K90" s="433">
        <f t="shared" si="21"/>
        <v>296802.63999999996</v>
      </c>
      <c r="L90" s="433">
        <f t="shared" si="22"/>
        <v>292962.22000000003</v>
      </c>
      <c r="M90" s="433">
        <f t="shared" si="23"/>
        <v>275221.75</v>
      </c>
      <c r="N90" s="433">
        <f t="shared" si="24"/>
        <v>275240.45999999996</v>
      </c>
      <c r="O90" s="433">
        <f t="shared" si="25"/>
        <v>285259.19999999995</v>
      </c>
      <c r="P90" s="433">
        <f t="shared" si="26"/>
        <v>215136.84999999998</v>
      </c>
      <c r="Q90" s="469">
        <f>+Table210[[#This Row],[FY26 BUDGET]]-Table210[[#This Row],[FY2027 REQUESTED BUDGET]]</f>
        <v>-21083.07634188002</v>
      </c>
    </row>
    <row r="91" spans="4:17" x14ac:dyDescent="0.3">
      <c r="D91" s="374">
        <v>886</v>
      </c>
      <c r="E91" s="375"/>
      <c r="F91" s="376" t="s">
        <v>260</v>
      </c>
      <c r="G91" s="371">
        <f t="shared" si="18"/>
        <v>17</v>
      </c>
      <c r="H91" s="456"/>
      <c r="I91" s="453">
        <f t="shared" si="19"/>
        <v>2805370.3853897145</v>
      </c>
      <c r="J91" s="433">
        <f t="shared" si="20"/>
        <v>2457358.66</v>
      </c>
      <c r="K91" s="433">
        <f t="shared" si="21"/>
        <v>2716036.44</v>
      </c>
      <c r="L91" s="433">
        <f t="shared" si="22"/>
        <v>2770597.99</v>
      </c>
      <c r="M91" s="433">
        <f t="shared" si="23"/>
        <v>2636193.0500000003</v>
      </c>
      <c r="N91" s="433">
        <f t="shared" si="24"/>
        <v>2741318.4500000007</v>
      </c>
      <c r="O91" s="433">
        <f t="shared" si="25"/>
        <v>2886064.7499999995</v>
      </c>
      <c r="P91" s="433">
        <f t="shared" si="26"/>
        <v>2774805.6800000006</v>
      </c>
      <c r="Q91" s="469">
        <f>+Table210[[#This Row],[FY26 BUDGET]]-Table210[[#This Row],[FY2027 REQUESTED BUDGET]]</f>
        <v>-348011.72538971435</v>
      </c>
    </row>
    <row r="92" spans="4:17" x14ac:dyDescent="0.3">
      <c r="D92" s="377">
        <v>887</v>
      </c>
      <c r="E92" s="375"/>
      <c r="F92" s="378" t="s">
        <v>261</v>
      </c>
      <c r="G92" s="371">
        <f t="shared" si="18"/>
        <v>140</v>
      </c>
      <c r="H92" s="456"/>
      <c r="I92" s="453">
        <f t="shared" si="19"/>
        <v>13544637.688196372</v>
      </c>
      <c r="J92" s="433">
        <f t="shared" si="20"/>
        <v>10959804.939999994</v>
      </c>
      <c r="K92" s="433">
        <f t="shared" si="21"/>
        <v>12776037.660000004</v>
      </c>
      <c r="L92" s="433">
        <f t="shared" si="22"/>
        <v>11993726.679999994</v>
      </c>
      <c r="M92" s="433">
        <f t="shared" si="23"/>
        <v>11764345.129999999</v>
      </c>
      <c r="N92" s="433">
        <f t="shared" si="24"/>
        <v>11026593.510000007</v>
      </c>
      <c r="O92" s="433">
        <f t="shared" si="25"/>
        <v>10939482.530000005</v>
      </c>
      <c r="P92" s="433">
        <f t="shared" si="26"/>
        <v>10469539.490000002</v>
      </c>
      <c r="Q92" s="469">
        <f>+Table210[[#This Row],[FY26 BUDGET]]-Table210[[#This Row],[FY2027 REQUESTED BUDGET]]</f>
        <v>-2584832.7481963784</v>
      </c>
    </row>
    <row r="93" spans="4:17" x14ac:dyDescent="0.3">
      <c r="D93" s="374">
        <v>887579</v>
      </c>
      <c r="E93" s="375"/>
      <c r="F93" s="376" t="s">
        <v>262</v>
      </c>
      <c r="G93" s="371">
        <f t="shared" si="18"/>
        <v>0</v>
      </c>
      <c r="H93" s="456"/>
      <c r="I93" s="453">
        <f t="shared" si="19"/>
        <v>0</v>
      </c>
      <c r="J93" s="433">
        <f t="shared" si="20"/>
        <v>0</v>
      </c>
      <c r="K93" s="433">
        <f t="shared" si="21"/>
        <v>0</v>
      </c>
      <c r="L93" s="433">
        <f t="shared" si="22"/>
        <v>0</v>
      </c>
      <c r="M93" s="433">
        <f t="shared" si="23"/>
        <v>0</v>
      </c>
      <c r="N93" s="433">
        <f t="shared" si="24"/>
        <v>0</v>
      </c>
      <c r="O93" s="433">
        <f t="shared" si="25"/>
        <v>0</v>
      </c>
      <c r="P93" s="433">
        <f t="shared" si="26"/>
        <v>0</v>
      </c>
      <c r="Q93" s="469">
        <f>+Table210[[#This Row],[FY26 BUDGET]]-Table210[[#This Row],[FY2027 REQUESTED BUDGET]]</f>
        <v>0</v>
      </c>
    </row>
    <row r="94" spans="4:17" x14ac:dyDescent="0.3">
      <c r="D94" s="377">
        <v>887855</v>
      </c>
      <c r="E94" s="375"/>
      <c r="F94" s="378" t="s">
        <v>263</v>
      </c>
      <c r="G94" s="371">
        <f t="shared" si="18"/>
        <v>0</v>
      </c>
      <c r="H94" s="456"/>
      <c r="I94" s="453">
        <f t="shared" si="19"/>
        <v>0</v>
      </c>
      <c r="J94" s="433">
        <f t="shared" si="20"/>
        <v>0</v>
      </c>
      <c r="K94" s="433">
        <f t="shared" si="21"/>
        <v>0</v>
      </c>
      <c r="L94" s="433">
        <f t="shared" si="22"/>
        <v>0</v>
      </c>
      <c r="M94" s="433">
        <f t="shared" si="23"/>
        <v>0</v>
      </c>
      <c r="N94" s="433">
        <f t="shared" si="24"/>
        <v>0</v>
      </c>
      <c r="O94" s="433">
        <f t="shared" si="25"/>
        <v>0</v>
      </c>
      <c r="P94" s="433">
        <f t="shared" si="26"/>
        <v>0</v>
      </c>
      <c r="Q94" s="469">
        <f>+Table210[[#This Row],[FY26 BUDGET]]-Table210[[#This Row],[FY2027 REQUESTED BUDGET]]</f>
        <v>0</v>
      </c>
    </row>
    <row r="95" spans="4:17" x14ac:dyDescent="0.3">
      <c r="D95" s="374">
        <v>888</v>
      </c>
      <c r="E95" s="375"/>
      <c r="F95" s="376" t="s">
        <v>264</v>
      </c>
      <c r="G95" s="371">
        <f t="shared" si="18"/>
        <v>2</v>
      </c>
      <c r="H95" s="456"/>
      <c r="I95" s="453">
        <f t="shared" si="19"/>
        <v>79813.035899999988</v>
      </c>
      <c r="J95" s="433">
        <f t="shared" si="20"/>
        <v>29545.500000000004</v>
      </c>
      <c r="K95" s="433">
        <f t="shared" si="21"/>
        <v>81716.36</v>
      </c>
      <c r="L95" s="433">
        <f t="shared" si="22"/>
        <v>120546.51000000001</v>
      </c>
      <c r="M95" s="433">
        <f t="shared" si="23"/>
        <v>91808.569999999978</v>
      </c>
      <c r="N95" s="433">
        <f t="shared" si="24"/>
        <v>53898.500000000007</v>
      </c>
      <c r="O95" s="433">
        <f t="shared" si="25"/>
        <v>33538.68</v>
      </c>
      <c r="P95" s="433">
        <f t="shared" si="26"/>
        <v>29637.45</v>
      </c>
      <c r="Q95" s="469">
        <f>+Table210[[#This Row],[FY26 BUDGET]]-Table210[[#This Row],[FY2027 REQUESTED BUDGET]]</f>
        <v>-50267.535899999988</v>
      </c>
    </row>
    <row r="96" spans="4:17" x14ac:dyDescent="0.3">
      <c r="D96" s="377">
        <v>889</v>
      </c>
      <c r="E96" s="375"/>
      <c r="F96" s="378" t="s">
        <v>265</v>
      </c>
      <c r="G96" s="371">
        <f t="shared" si="18"/>
        <v>0</v>
      </c>
      <c r="H96" s="456"/>
      <c r="I96" s="453">
        <f t="shared" si="19"/>
        <v>476489.02100000007</v>
      </c>
      <c r="J96" s="433">
        <f t="shared" si="20"/>
        <v>462610.7</v>
      </c>
      <c r="K96" s="433">
        <f t="shared" si="21"/>
        <v>345887.5</v>
      </c>
      <c r="L96" s="433">
        <f t="shared" si="22"/>
        <v>355170.25</v>
      </c>
      <c r="M96" s="433">
        <f t="shared" si="23"/>
        <v>396193.11</v>
      </c>
      <c r="N96" s="433">
        <f t="shared" si="24"/>
        <v>402726.13</v>
      </c>
      <c r="O96" s="433">
        <f t="shared" si="25"/>
        <v>412552.15</v>
      </c>
      <c r="P96" s="433">
        <f t="shared" si="26"/>
        <v>506115.01</v>
      </c>
      <c r="Q96" s="469">
        <f>+Table210[[#This Row],[FY26 BUDGET]]-Table210[[#This Row],[FY2027 REQUESTED BUDGET]]</f>
        <v>-13878.321000000054</v>
      </c>
    </row>
    <row r="97" spans="4:17" x14ac:dyDescent="0.3">
      <c r="D97" s="374">
        <v>890</v>
      </c>
      <c r="E97" s="375"/>
      <c r="F97" s="376" t="s">
        <v>266</v>
      </c>
      <c r="G97" s="371">
        <f t="shared" si="18"/>
        <v>0</v>
      </c>
      <c r="H97" s="456"/>
      <c r="I97" s="453">
        <f t="shared" si="19"/>
        <v>412244.50140000001</v>
      </c>
      <c r="J97" s="433">
        <f t="shared" si="20"/>
        <v>400237.38</v>
      </c>
      <c r="K97" s="433">
        <f t="shared" si="21"/>
        <v>224200.13</v>
      </c>
      <c r="L97" s="433">
        <f t="shared" si="22"/>
        <v>79073.72</v>
      </c>
      <c r="M97" s="433">
        <f t="shared" si="23"/>
        <v>91113.209999999992</v>
      </c>
      <c r="N97" s="433">
        <f t="shared" si="24"/>
        <v>280100.11</v>
      </c>
      <c r="O97" s="433">
        <f t="shared" si="25"/>
        <v>357443.91000000003</v>
      </c>
      <c r="P97" s="433">
        <f t="shared" si="26"/>
        <v>496662.45000000007</v>
      </c>
      <c r="Q97" s="469">
        <f>+Table210[[#This Row],[FY26 BUDGET]]-Table210[[#This Row],[FY2027 REQUESTED BUDGET]]</f>
        <v>-12007.121400000004</v>
      </c>
    </row>
    <row r="98" spans="4:17" x14ac:dyDescent="0.3">
      <c r="D98" s="377">
        <v>891</v>
      </c>
      <c r="E98" s="375"/>
      <c r="F98" s="378" t="s">
        <v>267</v>
      </c>
      <c r="G98" s="371">
        <f t="shared" si="18"/>
        <v>0</v>
      </c>
      <c r="H98" s="456"/>
      <c r="I98" s="453">
        <f t="shared" si="19"/>
        <v>9191515.5779999997</v>
      </c>
      <c r="J98" s="433">
        <f t="shared" si="20"/>
        <v>7950137.7500000009</v>
      </c>
      <c r="K98" s="433">
        <f t="shared" si="21"/>
        <v>8584126.1699999999</v>
      </c>
      <c r="L98" s="433">
        <f t="shared" si="22"/>
        <v>3692951.3500000006</v>
      </c>
      <c r="M98" s="433">
        <f t="shared" si="23"/>
        <v>3658709.74</v>
      </c>
      <c r="N98" s="433">
        <f t="shared" si="24"/>
        <v>4374282.5200000005</v>
      </c>
      <c r="O98" s="433">
        <f t="shared" si="25"/>
        <v>3500844.7800000003</v>
      </c>
      <c r="P98" s="433">
        <f t="shared" si="26"/>
        <v>3850220.5900000003</v>
      </c>
      <c r="Q98" s="469">
        <f>+Table210[[#This Row],[FY26 BUDGET]]-Table210[[#This Row],[FY2027 REQUESTED BUDGET]]</f>
        <v>-1241377.8279999988</v>
      </c>
    </row>
    <row r="99" spans="4:17" x14ac:dyDescent="0.3">
      <c r="D99" s="374">
        <v>892</v>
      </c>
      <c r="E99" s="375"/>
      <c r="F99" s="376" t="s">
        <v>268</v>
      </c>
      <c r="G99" s="371">
        <f t="shared" ref="G99:G106" si="27">SUMIF($D$127:$D$5679,$D99,$G$127:$G$5679)</f>
        <v>0</v>
      </c>
      <c r="H99" s="456"/>
      <c r="I99" s="453">
        <f t="shared" ref="I99:I106" si="28">SUMIF($D$127:$D$5099,$D99,$I$127:$I$5099)</f>
        <v>419587.39200000005</v>
      </c>
      <c r="J99" s="433">
        <f t="shared" ref="J99:J106" si="29">SUMIF($D$127:$D$5679,$D99,$J$127:$J$5679)</f>
        <v>407366.40000000002</v>
      </c>
      <c r="K99" s="433">
        <f t="shared" ref="K99:K106" si="30">SUMIF($D$127:$D$5679,$D99,$K$127:$K$5679)</f>
        <v>400352.54</v>
      </c>
      <c r="L99" s="433">
        <f t="shared" ref="L99:L106" si="31">SUMIF($D$127:$D$5679,$D99,$L$127:$L$5679)</f>
        <v>395216.22</v>
      </c>
      <c r="M99" s="433">
        <f t="shared" ref="M99:M106" si="32">SUMIF($D$127:$D$5679,$D99,$M$127:$M$5679)</f>
        <v>407853.65</v>
      </c>
      <c r="N99" s="433">
        <f t="shared" ref="N99:N107" si="33">SUMIF($D$127:$D$5679,$D99,$N$127:$N$5679)</f>
        <v>357270.8</v>
      </c>
      <c r="O99" s="433">
        <f t="shared" ref="O99:O107" si="34">SUMIF($D$127:$D$5679,$D99,$O$127:$O$5679)</f>
        <v>290983.71000000002</v>
      </c>
      <c r="P99" s="433">
        <f t="shared" ref="P99:P107" si="35">SUMIF($D$127:$D$5679,$D99,$P$127:$P$5679)</f>
        <v>310440.78999999998</v>
      </c>
      <c r="Q99" s="469">
        <f>+Table210[[#This Row],[FY26 BUDGET]]-Table210[[#This Row],[FY2027 REQUESTED BUDGET]]</f>
        <v>-12220.992000000027</v>
      </c>
    </row>
    <row r="100" spans="4:17" x14ac:dyDescent="0.3">
      <c r="D100" s="377">
        <v>893</v>
      </c>
      <c r="E100" s="375"/>
      <c r="F100" s="378" t="s">
        <v>269</v>
      </c>
      <c r="G100" s="371">
        <f t="shared" si="27"/>
        <v>0</v>
      </c>
      <c r="H100" s="456"/>
      <c r="I100" s="453">
        <f t="shared" si="28"/>
        <v>74776.043000000005</v>
      </c>
      <c r="J100" s="433">
        <f t="shared" si="29"/>
        <v>492166.1</v>
      </c>
      <c r="K100" s="433">
        <f t="shared" si="30"/>
        <v>387211.06999999995</v>
      </c>
      <c r="L100" s="433">
        <f t="shared" si="31"/>
        <v>366972.97000000003</v>
      </c>
      <c r="M100" s="433">
        <f t="shared" si="32"/>
        <v>371477.78</v>
      </c>
      <c r="N100" s="433">
        <f t="shared" si="33"/>
        <v>327961.5</v>
      </c>
      <c r="O100" s="433">
        <f t="shared" si="34"/>
        <v>319823.14</v>
      </c>
      <c r="P100" s="433">
        <f t="shared" si="35"/>
        <v>305037.71000000002</v>
      </c>
      <c r="Q100" s="469">
        <f>+Table210[[#This Row],[FY26 BUDGET]]-Table210[[#This Row],[FY2027 REQUESTED BUDGET]]</f>
        <v>417390.05699999997</v>
      </c>
    </row>
    <row r="101" spans="4:17" x14ac:dyDescent="0.3">
      <c r="D101" s="374">
        <v>894</v>
      </c>
      <c r="E101" s="375"/>
      <c r="F101" s="376" t="s">
        <v>270</v>
      </c>
      <c r="G101" s="371">
        <f t="shared" si="27"/>
        <v>0</v>
      </c>
      <c r="H101" s="456"/>
      <c r="I101" s="453">
        <f t="shared" si="28"/>
        <v>2167481.3343000002</v>
      </c>
      <c r="J101" s="433">
        <f t="shared" si="29"/>
        <v>1104350.81</v>
      </c>
      <c r="K101" s="433">
        <f t="shared" si="30"/>
        <v>1287474.5299999998</v>
      </c>
      <c r="L101" s="433">
        <f t="shared" si="31"/>
        <v>1273677.68</v>
      </c>
      <c r="M101" s="433">
        <f t="shared" si="32"/>
        <v>1010667.69</v>
      </c>
      <c r="N101" s="433">
        <f t="shared" si="33"/>
        <v>1134392.3900000001</v>
      </c>
      <c r="O101" s="433">
        <f t="shared" si="34"/>
        <v>1269600</v>
      </c>
      <c r="P101" s="433">
        <f t="shared" si="35"/>
        <v>828408.48</v>
      </c>
      <c r="Q101" s="469">
        <f>+Table210[[#This Row],[FY26 BUDGET]]-Table210[[#This Row],[FY2027 REQUESTED BUDGET]]</f>
        <v>-1063130.5243000002</v>
      </c>
    </row>
    <row r="102" spans="4:17" x14ac:dyDescent="0.3">
      <c r="D102" s="377">
        <v>895</v>
      </c>
      <c r="E102" s="375"/>
      <c r="F102" s="378" t="s">
        <v>271</v>
      </c>
      <c r="G102" s="371">
        <f t="shared" si="27"/>
        <v>0</v>
      </c>
      <c r="H102" s="456"/>
      <c r="I102" s="453">
        <f t="shared" si="28"/>
        <v>71256.337300000014</v>
      </c>
      <c r="J102" s="433">
        <f t="shared" si="29"/>
        <v>69180.91</v>
      </c>
      <c r="K102" s="433">
        <f t="shared" si="30"/>
        <v>92497.190000000017</v>
      </c>
      <c r="L102" s="433">
        <f t="shared" si="31"/>
        <v>152070.71000000002</v>
      </c>
      <c r="M102" s="433">
        <f t="shared" si="32"/>
        <v>257423.15</v>
      </c>
      <c r="N102" s="433">
        <f t="shared" si="33"/>
        <v>173510.62</v>
      </c>
      <c r="O102" s="433">
        <f t="shared" si="34"/>
        <v>174648.84</v>
      </c>
      <c r="P102" s="433">
        <f t="shared" si="35"/>
        <v>115804.29000000001</v>
      </c>
      <c r="Q102" s="469">
        <f>+Table210[[#This Row],[FY26 BUDGET]]-Table210[[#This Row],[FY2027 REQUESTED BUDGET]]</f>
        <v>-2075.4273000000103</v>
      </c>
    </row>
    <row r="103" spans="4:17" x14ac:dyDescent="0.3">
      <c r="D103" s="374">
        <v>896</v>
      </c>
      <c r="E103" s="375"/>
      <c r="F103" s="376" t="s">
        <v>272</v>
      </c>
      <c r="G103" s="371">
        <f t="shared" si="27"/>
        <v>0</v>
      </c>
      <c r="H103" s="456"/>
      <c r="I103" s="453">
        <f t="shared" si="28"/>
        <v>1787010.8703000001</v>
      </c>
      <c r="J103" s="433">
        <f t="shared" si="29"/>
        <v>1687405.51</v>
      </c>
      <c r="K103" s="433">
        <f t="shared" si="30"/>
        <v>935814.31</v>
      </c>
      <c r="L103" s="433">
        <f t="shared" si="31"/>
        <v>857954.06</v>
      </c>
      <c r="M103" s="433">
        <f t="shared" si="32"/>
        <v>910196.14000000013</v>
      </c>
      <c r="N103" s="433">
        <f t="shared" si="33"/>
        <v>1011280.17</v>
      </c>
      <c r="O103" s="433">
        <f t="shared" si="34"/>
        <v>1306274.5699999998</v>
      </c>
      <c r="P103" s="433">
        <f t="shared" si="35"/>
        <v>1098110.1299999999</v>
      </c>
      <c r="Q103" s="469">
        <f>+Table210[[#This Row],[FY26 BUDGET]]-Table210[[#This Row],[FY2027 REQUESTED BUDGET]]</f>
        <v>-99605.360300000058</v>
      </c>
    </row>
    <row r="104" spans="4:17" x14ac:dyDescent="0.3">
      <c r="D104" s="377">
        <v>897</v>
      </c>
      <c r="E104" s="375"/>
      <c r="F104" s="379" t="s">
        <v>273</v>
      </c>
      <c r="G104" s="371">
        <f t="shared" si="27"/>
        <v>0</v>
      </c>
      <c r="H104" s="456"/>
      <c r="I104" s="453">
        <f t="shared" si="28"/>
        <v>0</v>
      </c>
      <c r="J104" s="433">
        <f t="shared" si="29"/>
        <v>0</v>
      </c>
      <c r="K104" s="433">
        <f t="shared" si="30"/>
        <v>0</v>
      </c>
      <c r="L104" s="433">
        <f t="shared" si="31"/>
        <v>0</v>
      </c>
      <c r="M104" s="433">
        <f t="shared" si="32"/>
        <v>0</v>
      </c>
      <c r="N104" s="433">
        <f t="shared" si="33"/>
        <v>0</v>
      </c>
      <c r="O104" s="433">
        <f t="shared" si="34"/>
        <v>0</v>
      </c>
      <c r="P104" s="433">
        <f t="shared" si="35"/>
        <v>0</v>
      </c>
      <c r="Q104" s="469">
        <f>+Table210[[#This Row],[FY26 BUDGET]]-Table210[[#This Row],[FY2027 REQUESTED BUDGET]]</f>
        <v>0</v>
      </c>
    </row>
    <row r="105" spans="4:17" x14ac:dyDescent="0.3">
      <c r="D105" s="374">
        <v>898</v>
      </c>
      <c r="E105" s="375"/>
      <c r="F105" s="376" t="s">
        <v>274</v>
      </c>
      <c r="G105" s="371">
        <f t="shared" si="27"/>
        <v>0</v>
      </c>
      <c r="H105" s="456"/>
      <c r="I105" s="453">
        <f t="shared" si="28"/>
        <v>5150</v>
      </c>
      <c r="J105" s="433">
        <f t="shared" si="29"/>
        <v>-10371481.689999999</v>
      </c>
      <c r="K105" s="433">
        <f t="shared" si="30"/>
        <v>-21642112.370000001</v>
      </c>
      <c r="L105" s="433">
        <f t="shared" si="31"/>
        <v>0</v>
      </c>
      <c r="M105" s="433">
        <f t="shared" si="32"/>
        <v>2157.6999999999998</v>
      </c>
      <c r="N105" s="433">
        <f t="shared" si="33"/>
        <v>4140.38</v>
      </c>
      <c r="O105" s="433">
        <f t="shared" si="34"/>
        <v>0</v>
      </c>
      <c r="P105" s="433">
        <f t="shared" si="35"/>
        <v>0</v>
      </c>
      <c r="Q105" s="469">
        <f>+Table210[[#This Row],[FY26 BUDGET]]-Table210[[#This Row],[FY2027 REQUESTED BUDGET]]</f>
        <v>-10376631.689999999</v>
      </c>
    </row>
    <row r="106" spans="4:17" x14ac:dyDescent="0.3">
      <c r="D106" s="377">
        <v>899</v>
      </c>
      <c r="E106" s="375"/>
      <c r="F106" s="378" t="s">
        <v>275</v>
      </c>
      <c r="G106" s="371">
        <f t="shared" si="27"/>
        <v>0</v>
      </c>
      <c r="H106" s="456"/>
      <c r="I106" s="453">
        <f t="shared" si="28"/>
        <v>0</v>
      </c>
      <c r="J106" s="433">
        <f t="shared" si="29"/>
        <v>0</v>
      </c>
      <c r="K106" s="433">
        <f t="shared" si="30"/>
        <v>0</v>
      </c>
      <c r="L106" s="433">
        <f t="shared" si="31"/>
        <v>0</v>
      </c>
      <c r="M106" s="433">
        <f t="shared" si="32"/>
        <v>0</v>
      </c>
      <c r="N106" s="433">
        <f t="shared" si="33"/>
        <v>0</v>
      </c>
      <c r="O106" s="433">
        <f t="shared" si="34"/>
        <v>0</v>
      </c>
      <c r="P106" s="433">
        <f t="shared" si="35"/>
        <v>0</v>
      </c>
      <c r="Q106" s="469">
        <f>+Table210[[#This Row],[FY26 BUDGET]]-Table210[[#This Row],[FY2027 REQUESTED BUDGET]]</f>
        <v>0</v>
      </c>
    </row>
    <row r="107" spans="4:17" x14ac:dyDescent="0.3">
      <c r="D107" s="380"/>
      <c r="E107" s="375"/>
      <c r="F107" s="375"/>
      <c r="G107" s="381"/>
      <c r="H107" s="456"/>
      <c r="I107" s="454"/>
      <c r="J107" s="433"/>
      <c r="K107" s="433"/>
      <c r="L107" s="433"/>
      <c r="M107" s="433"/>
      <c r="N107" s="433">
        <f t="shared" si="33"/>
        <v>0</v>
      </c>
      <c r="O107" s="433">
        <f t="shared" si="34"/>
        <v>0</v>
      </c>
      <c r="P107" s="433">
        <f t="shared" si="35"/>
        <v>0</v>
      </c>
      <c r="Q107" s="469">
        <f>+Table210[[#This Row],[FY26 BUDGET]]-Table210[[#This Row],[FY2027 REQUESTED BUDGET]]</f>
        <v>0</v>
      </c>
    </row>
    <row r="108" spans="4:17" x14ac:dyDescent="0.3">
      <c r="D108" s="382" t="s">
        <v>65</v>
      </c>
      <c r="E108" s="383"/>
      <c r="F108" s="383"/>
      <c r="G108" s="384">
        <f>SUBTOTAL(109,Table210[FTE])</f>
        <v>1758.9</v>
      </c>
      <c r="H108" s="457"/>
      <c r="I108" s="452">
        <f>SUBTOTAL(109,Table210[FY2027 REQUESTED BUDGET])</f>
        <v>293562103.28942895</v>
      </c>
      <c r="J108" s="452">
        <f>SUBTOTAL(109,Table210[FY26 BUDGET])</f>
        <v>245860981.81999996</v>
      </c>
      <c r="K108" s="452">
        <f>SUBTOTAL(109,Table210[FY2025])</f>
        <v>242735981.8199999</v>
      </c>
      <c r="L108" s="452">
        <f>SUBTOTAL(109,Table210[FY2024])</f>
        <v>239735981.82000002</v>
      </c>
      <c r="M108" s="452">
        <f>SUBTOTAL(109,Table210[FY2023])</f>
        <v>237235977.46999997</v>
      </c>
      <c r="N108" s="452">
        <f>SUBTOTAL(109,Table210[FY2022])</f>
        <v>235235977.11999995</v>
      </c>
      <c r="O108" s="452">
        <f>SUBTOTAL(109,Table210[FY2021])</f>
        <v>233235977.14000002</v>
      </c>
      <c r="P108" s="452">
        <f>SUBTOTAL(109,Table210[FY2020])</f>
        <v>230985976.96999988</v>
      </c>
      <c r="Q108" s="469">
        <f>SUBTOTAL(109,Table210[VARIANCE])</f>
        <v>-47701121.469428897</v>
      </c>
    </row>
    <row r="109" spans="4:17" x14ac:dyDescent="0.3">
      <c r="D109" s="365"/>
      <c r="E109" s="375"/>
      <c r="F109" s="375"/>
      <c r="G109" s="365"/>
      <c r="H109" s="456"/>
      <c r="I109" s="433"/>
      <c r="J109" s="433"/>
      <c r="K109" s="433"/>
      <c r="L109" s="433"/>
      <c r="M109" s="433"/>
      <c r="O109" s="435"/>
      <c r="P109" s="435"/>
      <c r="Q109" s="471"/>
    </row>
    <row r="110" spans="4:17" ht="15" thickBot="1" x14ac:dyDescent="0.35">
      <c r="D110" s="385" t="s">
        <v>277</v>
      </c>
      <c r="E110" s="385"/>
      <c r="F110" s="386" t="s">
        <v>278</v>
      </c>
      <c r="G110" s="387"/>
      <c r="H110" s="458"/>
      <c r="I110" s="436" t="s">
        <v>1370</v>
      </c>
      <c r="J110" s="437" t="s">
        <v>1369</v>
      </c>
      <c r="K110" s="437" t="s">
        <v>1325</v>
      </c>
      <c r="L110" s="437" t="s">
        <v>1324</v>
      </c>
      <c r="M110" s="437" t="s">
        <v>1326</v>
      </c>
      <c r="N110" s="437" t="s">
        <v>1327</v>
      </c>
      <c r="O110" s="437" t="s">
        <v>1375</v>
      </c>
      <c r="P110" s="437" t="s">
        <v>1376</v>
      </c>
      <c r="Q110" s="472" t="s">
        <v>171</v>
      </c>
    </row>
    <row r="111" spans="4:17" x14ac:dyDescent="0.3">
      <c r="D111" s="346" t="s">
        <v>279</v>
      </c>
      <c r="E111" s="388"/>
      <c r="F111" s="347" t="s">
        <v>280</v>
      </c>
      <c r="G111" s="365"/>
      <c r="H111" s="456"/>
      <c r="I111" s="438">
        <f t="shared" ref="I111:N111" si="36">SUM(I3:I53)</f>
        <v>195764002.64973891</v>
      </c>
      <c r="J111" s="438">
        <f t="shared" si="36"/>
        <v>170477528.78</v>
      </c>
      <c r="K111" s="438">
        <f t="shared" si="36"/>
        <v>175380845.27999997</v>
      </c>
      <c r="L111" s="438">
        <f t="shared" si="36"/>
        <v>163928145.71000001</v>
      </c>
      <c r="M111" s="438">
        <f t="shared" si="36"/>
        <v>164229143.63999996</v>
      </c>
      <c r="N111" s="438">
        <f t="shared" si="36"/>
        <v>164710351.26999995</v>
      </c>
      <c r="O111" s="438">
        <f t="shared" ref="O111:P111" si="37">SUM(O3:O53)</f>
        <v>168377170.13999999</v>
      </c>
      <c r="P111" s="438">
        <f t="shared" si="37"/>
        <v>166468959.19999993</v>
      </c>
      <c r="Q111" s="473">
        <f>J111-I111</f>
        <v>-25286473.869738907</v>
      </c>
    </row>
    <row r="112" spans="4:17" x14ac:dyDescent="0.3">
      <c r="D112" s="350" t="s">
        <v>281</v>
      </c>
      <c r="E112" s="389"/>
      <c r="F112" s="351" t="s">
        <v>282</v>
      </c>
      <c r="G112" s="365"/>
      <c r="H112" s="456"/>
      <c r="I112" s="439">
        <f t="shared" ref="I112:N112" si="38">SUM(I54:I55)</f>
        <v>8811.3313999999991</v>
      </c>
      <c r="J112" s="439">
        <f t="shared" si="38"/>
        <v>387572.41000000003</v>
      </c>
      <c r="K112" s="439">
        <f t="shared" si="38"/>
        <v>416913.39</v>
      </c>
      <c r="L112" s="439">
        <f t="shared" si="38"/>
        <v>266929.66000000003</v>
      </c>
      <c r="M112" s="439">
        <f t="shared" si="38"/>
        <v>142071.07</v>
      </c>
      <c r="N112" s="439">
        <f t="shared" si="38"/>
        <v>137461.28</v>
      </c>
      <c r="O112" s="439">
        <f t="shared" ref="O112:P112" si="39">SUM(O54:O55)</f>
        <v>170373.71</v>
      </c>
      <c r="P112" s="439">
        <f t="shared" si="39"/>
        <v>185710.22999999998</v>
      </c>
      <c r="Q112" s="473">
        <f>J112-I112</f>
        <v>378761.07860000001</v>
      </c>
    </row>
    <row r="113" spans="1:21" x14ac:dyDescent="0.3">
      <c r="D113" s="350" t="s">
        <v>283</v>
      </c>
      <c r="E113" s="389"/>
      <c r="F113" s="351" t="s">
        <v>284</v>
      </c>
      <c r="G113" s="365"/>
      <c r="H113" s="456"/>
      <c r="I113" s="439">
        <f t="shared" ref="I113:N113" si="40">SUM(I56:I65)</f>
        <v>17132984.575563949</v>
      </c>
      <c r="J113" s="439">
        <f t="shared" si="40"/>
        <v>15725431.399999999</v>
      </c>
      <c r="K113" s="439">
        <f t="shared" si="40"/>
        <v>16724717.779999997</v>
      </c>
      <c r="L113" s="439">
        <f t="shared" si="40"/>
        <v>15173756.75</v>
      </c>
      <c r="M113" s="439">
        <f t="shared" si="40"/>
        <v>15577905.220000003</v>
      </c>
      <c r="N113" s="439">
        <f t="shared" si="40"/>
        <v>14570830.57</v>
      </c>
      <c r="O113" s="439">
        <f t="shared" ref="O113:P113" si="41">SUM(O56:O65)</f>
        <v>14071993.079999998</v>
      </c>
      <c r="P113" s="439">
        <f t="shared" si="41"/>
        <v>14667910.130000001</v>
      </c>
      <c r="Q113" s="473">
        <f>J113-I113</f>
        <v>-1407553.1755639501</v>
      </c>
    </row>
    <row r="114" spans="1:21" x14ac:dyDescent="0.3">
      <c r="D114" s="350" t="s">
        <v>285</v>
      </c>
      <c r="E114" s="389"/>
      <c r="F114" s="351" t="s">
        <v>286</v>
      </c>
      <c r="G114" s="365"/>
      <c r="H114" s="456"/>
      <c r="I114" s="439">
        <f t="shared" ref="I114:N114" si="42">SUM(I66:I68)</f>
        <v>1954441.9620165161</v>
      </c>
      <c r="J114" s="439">
        <f t="shared" si="42"/>
        <v>2234818.15</v>
      </c>
      <c r="K114" s="439">
        <f t="shared" si="42"/>
        <v>2376320.33</v>
      </c>
      <c r="L114" s="439">
        <f t="shared" si="42"/>
        <v>1504703.1700000004</v>
      </c>
      <c r="M114" s="439">
        <f t="shared" si="42"/>
        <v>1209912.82</v>
      </c>
      <c r="N114" s="439">
        <f t="shared" si="42"/>
        <v>1403605.26</v>
      </c>
      <c r="O114" s="439">
        <f t="shared" ref="O114:P114" si="43">SUM(O66:O68)</f>
        <v>1168365.6599999999</v>
      </c>
      <c r="P114" s="439">
        <f t="shared" si="43"/>
        <v>1129645.24</v>
      </c>
      <c r="Q114" s="473">
        <f>J114-I114</f>
        <v>280376.18798348377</v>
      </c>
    </row>
    <row r="115" spans="1:21" ht="15" thickBot="1" x14ac:dyDescent="0.35">
      <c r="D115" s="353" t="s">
        <v>287</v>
      </c>
      <c r="E115" s="390"/>
      <c r="F115" s="354" t="s">
        <v>288</v>
      </c>
      <c r="G115" s="391"/>
      <c r="H115" s="459"/>
      <c r="I115" s="440">
        <f t="shared" ref="I115:N115" si="44">SUM(I69:I106)</f>
        <v>78701862.770709589</v>
      </c>
      <c r="J115" s="440">
        <f t="shared" si="44"/>
        <v>57035631.079999998</v>
      </c>
      <c r="K115" s="440">
        <f t="shared" si="44"/>
        <v>47837185.040000007</v>
      </c>
      <c r="L115" s="440">
        <f t="shared" si="44"/>
        <v>58862446.529999994</v>
      </c>
      <c r="M115" s="440">
        <f t="shared" si="44"/>
        <v>56076944.719999991</v>
      </c>
      <c r="N115" s="440">
        <f t="shared" si="44"/>
        <v>54413728.74000001</v>
      </c>
      <c r="O115" s="440">
        <f t="shared" ref="O115:P115" si="45">SUM(O69:O106)</f>
        <v>49448074.550000004</v>
      </c>
      <c r="P115" s="440">
        <f t="shared" si="45"/>
        <v>48533752.170000002</v>
      </c>
      <c r="Q115" s="473">
        <f>J115-I115</f>
        <v>-21666231.690709591</v>
      </c>
    </row>
    <row r="116" spans="1:21" ht="15" thickBot="1" x14ac:dyDescent="0.35">
      <c r="D116" s="355"/>
      <c r="E116" s="355"/>
      <c r="F116" s="355"/>
      <c r="G116" s="392" t="s">
        <v>276</v>
      </c>
      <c r="H116" s="460"/>
      <c r="I116" s="441">
        <f>SUM(I111:I115)</f>
        <v>293562103.28942895</v>
      </c>
      <c r="J116" s="441">
        <f t="shared" ref="J116:Q116" si="46">SUM(J111:J115)</f>
        <v>245860981.81999999</v>
      </c>
      <c r="K116" s="441">
        <f t="shared" si="46"/>
        <v>242735981.81999999</v>
      </c>
      <c r="L116" s="441">
        <f t="shared" si="46"/>
        <v>239735981.81999999</v>
      </c>
      <c r="M116" s="441">
        <f t="shared" si="46"/>
        <v>237235977.46999994</v>
      </c>
      <c r="N116" s="441">
        <f t="shared" si="46"/>
        <v>235235977.11999995</v>
      </c>
      <c r="O116" s="441">
        <f t="shared" ref="O116:P116" si="47">SUM(O111:O115)</f>
        <v>233235977.14000002</v>
      </c>
      <c r="P116" s="441">
        <f t="shared" si="47"/>
        <v>230985976.96999991</v>
      </c>
      <c r="Q116" s="474">
        <f t="shared" si="46"/>
        <v>-47701121.469428964</v>
      </c>
    </row>
    <row r="117" spans="1:21" x14ac:dyDescent="0.3">
      <c r="A117" s="358"/>
      <c r="B117" s="358"/>
      <c r="C117" s="358"/>
      <c r="D117" s="358"/>
      <c r="E117" s="358"/>
      <c r="F117" s="358"/>
      <c r="G117" s="358"/>
      <c r="H117" s="461"/>
      <c r="I117" s="435"/>
      <c r="J117" s="435"/>
      <c r="K117" s="435"/>
      <c r="L117" s="435"/>
      <c r="M117" s="435"/>
      <c r="O117" s="435"/>
      <c r="P117" s="435"/>
      <c r="Q117" s="475"/>
    </row>
    <row r="118" spans="1:21" ht="15" hidden="1" thickBot="1" x14ac:dyDescent="0.35">
      <c r="A118" s="358"/>
      <c r="B118" s="358"/>
      <c r="C118" s="358"/>
      <c r="D118" s="358"/>
      <c r="E118" s="358"/>
      <c r="F118" s="358"/>
      <c r="G118" s="358"/>
      <c r="H118" s="461"/>
      <c r="I118" s="435"/>
      <c r="J118" s="435"/>
      <c r="K118" s="435" t="s">
        <v>289</v>
      </c>
      <c r="L118" s="435"/>
      <c r="M118" s="435"/>
      <c r="N118" s="442" t="s">
        <v>290</v>
      </c>
      <c r="O118" s="442"/>
      <c r="P118" s="442"/>
      <c r="Q118" s="476">
        <v>-5000000</v>
      </c>
    </row>
    <row r="119" spans="1:21" hidden="1" x14ac:dyDescent="0.3">
      <c r="A119" s="358"/>
      <c r="B119" s="358"/>
      <c r="C119" s="358"/>
      <c r="D119" s="358"/>
      <c r="E119" s="358"/>
      <c r="F119" s="358"/>
      <c r="G119" s="358"/>
      <c r="H119" s="461"/>
      <c r="I119" s="435"/>
      <c r="J119" s="435"/>
      <c r="K119" s="435" t="s">
        <v>289</v>
      </c>
      <c r="L119" s="435"/>
      <c r="M119" s="435"/>
      <c r="N119" s="443" t="s">
        <v>292</v>
      </c>
      <c r="O119" s="443"/>
      <c r="P119" s="443"/>
      <c r="Q119" s="476" t="e">
        <f>#REF!</f>
        <v>#REF!</v>
      </c>
    </row>
    <row r="120" spans="1:21" hidden="1" x14ac:dyDescent="0.3">
      <c r="A120" s="358"/>
      <c r="B120" s="358"/>
      <c r="C120" s="358"/>
      <c r="D120" s="358"/>
      <c r="E120" s="358"/>
      <c r="F120" s="358"/>
      <c r="G120" s="358"/>
      <c r="H120" s="461"/>
      <c r="I120" s="435"/>
      <c r="J120" s="435"/>
      <c r="K120" s="435" t="s">
        <v>289</v>
      </c>
      <c r="L120" s="435"/>
      <c r="M120" s="435"/>
      <c r="N120" s="443" t="s">
        <v>293</v>
      </c>
      <c r="O120" s="443"/>
      <c r="P120" s="443"/>
      <c r="Q120" s="477" t="e">
        <f>#REF!</f>
        <v>#REF!</v>
      </c>
    </row>
    <row r="121" spans="1:21" ht="15" hidden="1" thickBot="1" x14ac:dyDescent="0.35">
      <c r="A121" s="358"/>
      <c r="B121" s="358"/>
      <c r="C121" s="358"/>
      <c r="D121" s="358"/>
      <c r="E121" s="358"/>
      <c r="F121" s="358"/>
      <c r="G121" s="358"/>
      <c r="H121" s="461"/>
      <c r="I121" s="435"/>
      <c r="J121" s="435"/>
      <c r="K121" s="435" t="s">
        <v>289</v>
      </c>
      <c r="L121" s="435"/>
      <c r="M121" s="435"/>
      <c r="N121" s="444" t="s">
        <v>304</v>
      </c>
      <c r="O121" s="444"/>
      <c r="P121" s="444"/>
      <c r="Q121" s="478" t="e">
        <f>#REF!</f>
        <v>#REF!</v>
      </c>
    </row>
    <row r="122" spans="1:21" ht="15" hidden="1" thickBot="1" x14ac:dyDescent="0.35">
      <c r="A122" s="358"/>
      <c r="B122" s="358"/>
      <c r="C122" s="358"/>
      <c r="D122" s="358"/>
      <c r="E122" s="358"/>
      <c r="F122" s="358"/>
      <c r="G122" s="358"/>
      <c r="H122" s="461"/>
      <c r="I122" s="435"/>
      <c r="J122" s="435"/>
      <c r="K122" s="445" t="s">
        <v>305</v>
      </c>
      <c r="L122" s="445"/>
      <c r="M122" s="445"/>
      <c r="N122" s="446" t="s">
        <v>306</v>
      </c>
      <c r="O122" s="446"/>
      <c r="P122" s="446"/>
      <c r="Q122" s="479" t="e">
        <f>SUM(Q116:Q121)</f>
        <v>#REF!</v>
      </c>
    </row>
    <row r="123" spans="1:21" x14ac:dyDescent="0.3">
      <c r="A123" s="358"/>
      <c r="B123" s="358"/>
      <c r="C123" s="358"/>
      <c r="D123" s="358"/>
      <c r="E123" s="358"/>
      <c r="F123" s="358"/>
      <c r="G123" s="358"/>
      <c r="H123" s="461"/>
      <c r="I123" s="435"/>
      <c r="J123" s="435"/>
      <c r="K123" s="435"/>
      <c r="L123" s="435"/>
      <c r="M123" s="435"/>
      <c r="O123" s="435"/>
      <c r="P123" s="435"/>
      <c r="Q123" s="475"/>
    </row>
    <row r="124" spans="1:21" x14ac:dyDescent="0.3">
      <c r="A124" s="362" t="s">
        <v>297</v>
      </c>
      <c r="B124" s="362"/>
      <c r="O124" s="435"/>
      <c r="P124" s="435"/>
      <c r="Q124" s="471"/>
      <c r="S124" s="394"/>
      <c r="T124" s="394"/>
      <c r="U124" s="394"/>
    </row>
    <row r="125" spans="1:21" x14ac:dyDescent="0.3">
      <c r="A125" s="367"/>
      <c r="B125" s="367"/>
      <c r="O125" s="435"/>
      <c r="P125" s="435"/>
      <c r="Q125" s="471"/>
      <c r="R125" s="394"/>
      <c r="S125" s="394"/>
      <c r="T125" s="394"/>
      <c r="U125" s="394"/>
    </row>
    <row r="126" spans="1:21" s="399" customFormat="1" ht="41.25" customHeight="1" outlineLevel="2" x14ac:dyDescent="0.3">
      <c r="A126" s="395" t="s">
        <v>307</v>
      </c>
      <c r="B126" s="395" t="s">
        <v>308</v>
      </c>
      <c r="C126" s="396" t="s">
        <v>309</v>
      </c>
      <c r="D126" s="397" t="s">
        <v>310</v>
      </c>
      <c r="E126" s="397" t="s">
        <v>311</v>
      </c>
      <c r="F126" s="396" t="s">
        <v>312</v>
      </c>
      <c r="G126" s="398" t="s">
        <v>170</v>
      </c>
      <c r="H126" s="463" t="s">
        <v>313</v>
      </c>
      <c r="I126" s="451" t="s">
        <v>1370</v>
      </c>
      <c r="J126" s="450" t="s">
        <v>1372</v>
      </c>
      <c r="K126" s="448" t="s">
        <v>1325</v>
      </c>
      <c r="L126" s="450" t="s">
        <v>1324</v>
      </c>
      <c r="M126" s="448" t="s">
        <v>1326</v>
      </c>
      <c r="N126" s="450" t="s">
        <v>1327</v>
      </c>
      <c r="O126" s="450" t="s">
        <v>1375</v>
      </c>
      <c r="P126" s="450" t="s">
        <v>1376</v>
      </c>
      <c r="Q126" s="480" t="s">
        <v>171</v>
      </c>
    </row>
    <row r="127" spans="1:21" outlineLevel="2" x14ac:dyDescent="0.3">
      <c r="A127" s="366" t="str">
        <f>IFERROR(VLOOKUP(RIGHT(E127,3)+0,[1]SchLocTable!$A$2:$B$47,2,FALSE)," ")</f>
        <v xml:space="preserve"> </v>
      </c>
      <c r="B127" s="366" t="str">
        <f>VLOOKUP(VALUE(D127),$D$3:F$106,3,FALSE)</f>
        <v>Principals</v>
      </c>
      <c r="C127" t="s">
        <v>314</v>
      </c>
      <c r="D127">
        <v>800</v>
      </c>
      <c r="E127" t="s">
        <v>315</v>
      </c>
      <c r="F127" t="s">
        <v>316</v>
      </c>
      <c r="G127">
        <v>4</v>
      </c>
      <c r="H127" s="502">
        <v>51000</v>
      </c>
      <c r="I127" s="415">
        <v>358302.99114999996</v>
      </c>
      <c r="J127" s="415">
        <v>320217.55</v>
      </c>
      <c r="K127" s="415">
        <v>166269.54999999999</v>
      </c>
      <c r="L127" s="415">
        <v>0</v>
      </c>
      <c r="M127" s="415">
        <v>0</v>
      </c>
      <c r="N127" s="415">
        <v>0</v>
      </c>
      <c r="O127" s="415">
        <v>82117.72</v>
      </c>
      <c r="P127" s="415">
        <v>0</v>
      </c>
      <c r="Q127" s="481">
        <f t="shared" ref="Q127:Q190" si="48">J127-I127</f>
        <v>-38085.44114999997</v>
      </c>
      <c r="S127" s="399"/>
      <c r="T127" s="399"/>
      <c r="U127" s="399"/>
    </row>
    <row r="128" spans="1:21" outlineLevel="2" x14ac:dyDescent="0.3">
      <c r="A128" s="366" t="str">
        <f>IFERROR(VLOOKUP(RIGHT(E128,3)+0,[1]SchLocTable!$A$2:$B$47,2,FALSE)," ")</f>
        <v xml:space="preserve"> </v>
      </c>
      <c r="B128" s="366" t="str">
        <f>VLOOKUP(VALUE(D128),$D$3:F$106,3,FALSE)</f>
        <v>Principals</v>
      </c>
      <c r="C128" t="s">
        <v>314</v>
      </c>
      <c r="D128">
        <v>800</v>
      </c>
      <c r="E128" t="s">
        <v>315</v>
      </c>
      <c r="F128" t="s">
        <v>321</v>
      </c>
      <c r="G128" t="s">
        <v>319</v>
      </c>
      <c r="H128" s="502">
        <v>52917</v>
      </c>
      <c r="I128" s="415">
        <v>14096.160000000002</v>
      </c>
      <c r="J128" s="415">
        <v>24358.06</v>
      </c>
      <c r="K128" s="415">
        <v>15611.46</v>
      </c>
      <c r="L128" s="415">
        <v>0</v>
      </c>
      <c r="M128" s="415">
        <v>0</v>
      </c>
      <c r="N128" s="415">
        <v>0</v>
      </c>
      <c r="O128" s="415">
        <v>10590.6</v>
      </c>
      <c r="P128" s="415">
        <v>0</v>
      </c>
      <c r="Q128" s="481">
        <f t="shared" si="48"/>
        <v>10261.9</v>
      </c>
      <c r="S128" s="399"/>
      <c r="T128" s="399"/>
      <c r="U128" s="399"/>
    </row>
    <row r="129" spans="1:21" outlineLevel="2" x14ac:dyDescent="0.3">
      <c r="A129" s="366" t="str">
        <f>IFERROR(VLOOKUP(RIGHT(E129,3)+0,[1]SchLocTable!$A$2:$B$47,2,FALSE)," ")</f>
        <v xml:space="preserve"> </v>
      </c>
      <c r="B129" s="366" t="str">
        <f>VLOOKUP(VALUE(D129),$D$3:F$106,3,FALSE)</f>
        <v>Principals</v>
      </c>
      <c r="C129" t="s">
        <v>314</v>
      </c>
      <c r="D129">
        <v>800</v>
      </c>
      <c r="E129" t="s">
        <v>315</v>
      </c>
      <c r="F129" t="s">
        <v>318</v>
      </c>
      <c r="G129" t="s">
        <v>319</v>
      </c>
      <c r="H129" s="502">
        <v>51140</v>
      </c>
      <c r="I129" s="415">
        <v>1100</v>
      </c>
      <c r="J129" s="415">
        <v>0</v>
      </c>
      <c r="K129" s="415">
        <v>2200</v>
      </c>
      <c r="L129" s="415">
        <v>1300</v>
      </c>
      <c r="M129" s="415">
        <v>0</v>
      </c>
      <c r="N129" s="415">
        <v>0</v>
      </c>
      <c r="O129" s="415">
        <v>1300</v>
      </c>
      <c r="P129" s="415">
        <v>0</v>
      </c>
      <c r="Q129" s="481">
        <f t="shared" si="48"/>
        <v>-1100</v>
      </c>
      <c r="S129" s="399"/>
      <c r="T129" s="399"/>
      <c r="U129" s="399"/>
    </row>
    <row r="130" spans="1:21" outlineLevel="2" x14ac:dyDescent="0.3">
      <c r="A130" s="366" t="str">
        <f>IFERROR(VLOOKUP(RIGHT(E130,3)+0,[1]SchLocTable!$A$2:$B$47,2,FALSE)," ")</f>
        <v xml:space="preserve"> </v>
      </c>
      <c r="B130" s="366" t="str">
        <f>VLOOKUP(VALUE(D130),$D$3:F$106,3,FALSE)</f>
        <v>Principals</v>
      </c>
      <c r="C130" t="s">
        <v>314</v>
      </c>
      <c r="D130">
        <v>800</v>
      </c>
      <c r="E130" t="s">
        <v>315</v>
      </c>
      <c r="F130" t="s">
        <v>320</v>
      </c>
      <c r="G130" t="s">
        <v>319</v>
      </c>
      <c r="H130" s="502">
        <v>52360</v>
      </c>
      <c r="I130" s="415">
        <v>5195.3933716749998</v>
      </c>
      <c r="J130" s="415">
        <v>5355.97</v>
      </c>
      <c r="K130" s="415">
        <v>2306.87</v>
      </c>
      <c r="L130" s="415">
        <v>152.25</v>
      </c>
      <c r="M130" s="415">
        <v>0</v>
      </c>
      <c r="N130" s="415">
        <v>0</v>
      </c>
      <c r="O130" s="415">
        <v>1062.72</v>
      </c>
      <c r="P130" s="415">
        <v>0</v>
      </c>
      <c r="Q130" s="481">
        <f t="shared" si="48"/>
        <v>160.57662832500046</v>
      </c>
      <c r="S130" s="399"/>
      <c r="T130" s="399"/>
      <c r="U130" s="399"/>
    </row>
    <row r="131" spans="1:21" outlineLevel="2" x14ac:dyDescent="0.3">
      <c r="A131" s="366" t="str">
        <f>IFERROR(VLOOKUP(RIGHT(E131,3)+0,[1]SchLocTable!$A$2:$B$47,2,FALSE)," ")</f>
        <v xml:space="preserve"> </v>
      </c>
      <c r="B131" s="366" t="str">
        <f>VLOOKUP(VALUE(D131),$D$3:F$106,3,FALSE)</f>
        <v>Principals</v>
      </c>
      <c r="C131" t="s">
        <v>314</v>
      </c>
      <c r="D131">
        <v>800</v>
      </c>
      <c r="E131" t="s">
        <v>315</v>
      </c>
      <c r="F131" t="s">
        <v>317</v>
      </c>
      <c r="G131" t="s">
        <v>319</v>
      </c>
      <c r="H131" s="502">
        <v>51100</v>
      </c>
      <c r="I131" s="415">
        <v>0</v>
      </c>
      <c r="J131" s="415">
        <v>0</v>
      </c>
      <c r="K131" s="415">
        <v>12400</v>
      </c>
      <c r="L131" s="415">
        <v>9200</v>
      </c>
      <c r="M131" s="415">
        <v>0</v>
      </c>
      <c r="N131" s="415">
        <v>0</v>
      </c>
      <c r="O131" s="415">
        <v>0</v>
      </c>
      <c r="P131" s="415">
        <v>0</v>
      </c>
      <c r="Q131" s="481">
        <f t="shared" si="48"/>
        <v>0</v>
      </c>
      <c r="S131" s="399"/>
      <c r="T131" s="399"/>
      <c r="U131" s="399"/>
    </row>
    <row r="132" spans="1:21" outlineLevel="2" x14ac:dyDescent="0.3">
      <c r="A132" s="366" t="str">
        <f>IFERROR(VLOOKUP(RIGHT(E132,3)+0,[1]SchLocTable!$A$2:$B$47,2,FALSE)," ")</f>
        <v>Barnum</v>
      </c>
      <c r="B132" s="366" t="str">
        <f>VLOOKUP(VALUE(D132),$D$3:F$106,3,FALSE)</f>
        <v>Principals</v>
      </c>
      <c r="C132" t="s">
        <v>314</v>
      </c>
      <c r="D132">
        <v>800</v>
      </c>
      <c r="E132" t="s">
        <v>322</v>
      </c>
      <c r="F132" t="s">
        <v>316</v>
      </c>
      <c r="G132">
        <v>2</v>
      </c>
      <c r="H132" s="502">
        <v>51000</v>
      </c>
      <c r="I132" s="415">
        <v>319671.87069999997</v>
      </c>
      <c r="J132" s="415">
        <v>165340</v>
      </c>
      <c r="K132" s="415">
        <v>143394.42000000001</v>
      </c>
      <c r="L132" s="415">
        <v>161938.23999999999</v>
      </c>
      <c r="M132" s="415">
        <v>155192.85</v>
      </c>
      <c r="N132" s="415">
        <v>141826.35999999999</v>
      </c>
      <c r="O132" s="415">
        <v>139038.87</v>
      </c>
      <c r="P132" s="415">
        <v>136444.16</v>
      </c>
      <c r="Q132" s="481">
        <f t="shared" si="48"/>
        <v>-154331.87069999997</v>
      </c>
      <c r="S132" s="399"/>
      <c r="T132" s="399"/>
      <c r="U132" s="399"/>
    </row>
    <row r="133" spans="1:21" outlineLevel="2" x14ac:dyDescent="0.3">
      <c r="A133" s="366" t="str">
        <f>IFERROR(VLOOKUP(RIGHT(E133,3)+0,[1]SchLocTable!$A$2:$B$47,2,FALSE)," ")</f>
        <v>Barnum</v>
      </c>
      <c r="B133" s="366" t="str">
        <f>VLOOKUP(VALUE(D133),$D$3:F$106,3,FALSE)</f>
        <v>Principals</v>
      </c>
      <c r="C133" t="s">
        <v>314</v>
      </c>
      <c r="D133">
        <v>800</v>
      </c>
      <c r="E133" t="s">
        <v>322</v>
      </c>
      <c r="F133" t="s">
        <v>321</v>
      </c>
      <c r="G133" t="s">
        <v>319</v>
      </c>
      <c r="H133" s="502">
        <v>52917</v>
      </c>
      <c r="I133" s="415">
        <v>84691.775999999983</v>
      </c>
      <c r="J133" s="415">
        <v>34530</v>
      </c>
      <c r="K133" s="415">
        <v>28699.86</v>
      </c>
      <c r="L133" s="415">
        <v>14254.32</v>
      </c>
      <c r="M133" s="415">
        <v>29423.98</v>
      </c>
      <c r="N133" s="415">
        <v>27567.54</v>
      </c>
      <c r="O133" s="415">
        <v>26394.05</v>
      </c>
      <c r="P133" s="415">
        <v>21540.959999999999</v>
      </c>
      <c r="Q133" s="481">
        <f t="shared" si="48"/>
        <v>-50161.775999999983</v>
      </c>
      <c r="S133" s="399"/>
      <c r="T133" s="399"/>
      <c r="U133" s="399"/>
    </row>
    <row r="134" spans="1:21" outlineLevel="2" x14ac:dyDescent="0.3">
      <c r="A134" s="366" t="str">
        <f>IFERROR(VLOOKUP(RIGHT(E134,3)+0,[1]SchLocTable!$A$2:$B$47,2,FALSE)," ")</f>
        <v>Barnum</v>
      </c>
      <c r="B134" s="366" t="str">
        <f>VLOOKUP(VALUE(D134),$D$3:F$106,3,FALSE)</f>
        <v>Principals</v>
      </c>
      <c r="C134" t="s">
        <v>314</v>
      </c>
      <c r="D134">
        <v>800</v>
      </c>
      <c r="E134" t="s">
        <v>322</v>
      </c>
      <c r="F134" t="s">
        <v>318</v>
      </c>
      <c r="G134" t="s">
        <v>319</v>
      </c>
      <c r="H134" s="502">
        <v>51140</v>
      </c>
      <c r="I134" s="415">
        <v>0</v>
      </c>
      <c r="J134" s="415">
        <v>0</v>
      </c>
      <c r="K134" s="415">
        <v>0</v>
      </c>
      <c r="L134" s="415">
        <v>2600</v>
      </c>
      <c r="M134" s="415">
        <v>1300</v>
      </c>
      <c r="N134" s="415">
        <v>1100</v>
      </c>
      <c r="O134" s="415">
        <v>1100</v>
      </c>
      <c r="P134" s="415">
        <v>1100</v>
      </c>
      <c r="Q134" s="481">
        <f t="shared" si="48"/>
        <v>0</v>
      </c>
      <c r="S134" s="399"/>
      <c r="T134" s="399"/>
      <c r="U134" s="399"/>
    </row>
    <row r="135" spans="1:21" outlineLevel="2" x14ac:dyDescent="0.3">
      <c r="A135" s="366" t="str">
        <f>IFERROR(VLOOKUP(RIGHT(E135,3)+0,[1]SchLocTable!$A$2:$B$47,2,FALSE)," ")</f>
        <v>Barnum</v>
      </c>
      <c r="B135" s="366" t="str">
        <f>VLOOKUP(VALUE(D135),$D$3:F$106,3,FALSE)</f>
        <v>Principals</v>
      </c>
      <c r="C135" t="s">
        <v>314</v>
      </c>
      <c r="D135">
        <v>800</v>
      </c>
      <c r="E135" t="s">
        <v>322</v>
      </c>
      <c r="F135" t="s">
        <v>320</v>
      </c>
      <c r="G135" t="s">
        <v>319</v>
      </c>
      <c r="H135" s="502">
        <v>52360</v>
      </c>
      <c r="I135" s="415">
        <v>4635.24212515</v>
      </c>
      <c r="J135" s="415">
        <v>2198</v>
      </c>
      <c r="K135" s="415">
        <v>1921.15</v>
      </c>
      <c r="L135" s="415">
        <v>2303.02</v>
      </c>
      <c r="M135" s="415">
        <v>2101.02</v>
      </c>
      <c r="N135" s="415">
        <v>1916.8</v>
      </c>
      <c r="O135" s="415">
        <v>1886.71</v>
      </c>
      <c r="P135" s="415">
        <v>2357.4499999999998</v>
      </c>
      <c r="Q135" s="481">
        <f t="shared" si="48"/>
        <v>-2437.24212515</v>
      </c>
      <c r="S135" s="399"/>
      <c r="T135" s="399"/>
      <c r="U135" s="399"/>
    </row>
    <row r="136" spans="1:21" outlineLevel="2" x14ac:dyDescent="0.3">
      <c r="A136" s="366" t="str">
        <f>IFERROR(VLOOKUP(RIGHT(E136,3)+0,[1]SchLocTable!$A$2:$B$47,2,FALSE)," ")</f>
        <v>Beardsley</v>
      </c>
      <c r="B136" s="366" t="str">
        <f>VLOOKUP(VALUE(D136),$D$3:F$106,3,FALSE)</f>
        <v>Principals</v>
      </c>
      <c r="C136" t="s">
        <v>314</v>
      </c>
      <c r="D136">
        <v>800</v>
      </c>
      <c r="E136" t="s">
        <v>323</v>
      </c>
      <c r="F136" t="s">
        <v>316</v>
      </c>
      <c r="G136">
        <v>1</v>
      </c>
      <c r="H136" s="502">
        <v>51000</v>
      </c>
      <c r="I136" s="415">
        <v>168466.8713</v>
      </c>
      <c r="J136" s="415">
        <v>174796.16</v>
      </c>
      <c r="K136" s="415">
        <v>245045.35</v>
      </c>
      <c r="L136" s="415">
        <v>135479.91</v>
      </c>
      <c r="M136" s="415">
        <v>117737.92</v>
      </c>
      <c r="N136" s="415">
        <v>166481.76999999999</v>
      </c>
      <c r="O136" s="415">
        <v>148653.76999999999</v>
      </c>
      <c r="P136" s="415">
        <v>147653.76000000001</v>
      </c>
      <c r="Q136" s="481">
        <f t="shared" si="48"/>
        <v>6329.2887000000046</v>
      </c>
      <c r="S136" s="399"/>
      <c r="T136" s="399"/>
      <c r="U136" s="399"/>
    </row>
    <row r="137" spans="1:21" outlineLevel="2" x14ac:dyDescent="0.3">
      <c r="A137" s="366" t="str">
        <f>IFERROR(VLOOKUP(RIGHT(E137,3)+0,[1]SchLocTable!$A$2:$B$47,2,FALSE)," ")</f>
        <v>Beardsley</v>
      </c>
      <c r="B137" s="366" t="str">
        <f>VLOOKUP(VALUE(D137),$D$3:F$106,3,FALSE)</f>
        <v>Principals</v>
      </c>
      <c r="C137" t="s">
        <v>314</v>
      </c>
      <c r="D137">
        <v>800</v>
      </c>
      <c r="E137" t="s">
        <v>323</v>
      </c>
      <c r="F137" t="s">
        <v>321</v>
      </c>
      <c r="G137" t="s">
        <v>319</v>
      </c>
      <c r="H137" s="502">
        <v>52917</v>
      </c>
      <c r="I137" s="415">
        <v>33509.423999999999</v>
      </c>
      <c r="J137" s="415">
        <v>31413.97</v>
      </c>
      <c r="K137" s="415">
        <v>51763.69</v>
      </c>
      <c r="L137" s="415">
        <v>23815.25</v>
      </c>
      <c r="M137" s="415">
        <v>20832.939999999999</v>
      </c>
      <c r="N137" s="415">
        <v>25751.63</v>
      </c>
      <c r="O137" s="415">
        <v>21970.560000000001</v>
      </c>
      <c r="P137" s="415">
        <v>20881.89</v>
      </c>
      <c r="Q137" s="481">
        <f t="shared" si="48"/>
        <v>-2095.4539999999979</v>
      </c>
      <c r="S137" s="399"/>
      <c r="T137" s="399"/>
      <c r="U137" s="399"/>
    </row>
    <row r="138" spans="1:21" outlineLevel="2" x14ac:dyDescent="0.3">
      <c r="A138" s="366" t="str">
        <f>IFERROR(VLOOKUP(RIGHT(E138,3)+0,[1]SchLocTable!$A$2:$B$47,2,FALSE)," ")</f>
        <v>Beardsley</v>
      </c>
      <c r="B138" s="366" t="str">
        <f>VLOOKUP(VALUE(D138),$D$3:F$106,3,FALSE)</f>
        <v>Principals</v>
      </c>
      <c r="C138" t="s">
        <v>314</v>
      </c>
      <c r="D138">
        <v>800</v>
      </c>
      <c r="E138" t="s">
        <v>323</v>
      </c>
      <c r="F138" t="s">
        <v>318</v>
      </c>
      <c r="G138" t="s">
        <v>319</v>
      </c>
      <c r="H138" s="502">
        <v>51140</v>
      </c>
      <c r="I138" s="415">
        <v>1300</v>
      </c>
      <c r="J138" s="415">
        <v>0</v>
      </c>
      <c r="K138" s="415">
        <v>1300</v>
      </c>
      <c r="L138" s="415">
        <v>1300</v>
      </c>
      <c r="M138" s="415">
        <v>1300</v>
      </c>
      <c r="N138" s="415">
        <v>1500</v>
      </c>
      <c r="O138" s="415">
        <v>1500</v>
      </c>
      <c r="P138" s="415">
        <v>1500</v>
      </c>
      <c r="Q138" s="481">
        <f t="shared" si="48"/>
        <v>-1300</v>
      </c>
      <c r="S138" s="399"/>
      <c r="T138" s="399"/>
      <c r="U138" s="399"/>
    </row>
    <row r="139" spans="1:21" outlineLevel="2" x14ac:dyDescent="0.3">
      <c r="A139" s="366" t="str">
        <f>IFERROR(VLOOKUP(RIGHT(E139,3)+0,[1]SchLocTable!$A$2:$B$47,2,FALSE)," ")</f>
        <v>Beardsley</v>
      </c>
      <c r="B139" s="366" t="str">
        <f>VLOOKUP(VALUE(D139),$D$3:F$106,3,FALSE)</f>
        <v>Principals</v>
      </c>
      <c r="C139" t="s">
        <v>314</v>
      </c>
      <c r="D139">
        <v>800</v>
      </c>
      <c r="E139" t="s">
        <v>323</v>
      </c>
      <c r="F139" t="s">
        <v>320</v>
      </c>
      <c r="G139" t="s">
        <v>319</v>
      </c>
      <c r="H139" s="502">
        <v>52360</v>
      </c>
      <c r="I139" s="415">
        <v>2442.76963385</v>
      </c>
      <c r="J139" s="415">
        <v>2475.61</v>
      </c>
      <c r="K139" s="415">
        <v>3262.19</v>
      </c>
      <c r="L139" s="415">
        <v>1846.91</v>
      </c>
      <c r="M139" s="415">
        <v>1607.68</v>
      </c>
      <c r="N139" s="415">
        <v>3071.62</v>
      </c>
      <c r="O139" s="415">
        <v>2092.5700000000002</v>
      </c>
      <c r="P139" s="415">
        <v>2086.63</v>
      </c>
      <c r="Q139" s="481">
        <f t="shared" si="48"/>
        <v>32.840366150000136</v>
      </c>
      <c r="S139" s="399"/>
      <c r="T139" s="399"/>
      <c r="U139" s="399"/>
    </row>
    <row r="140" spans="1:21" outlineLevel="2" x14ac:dyDescent="0.3">
      <c r="A140" s="366" t="str">
        <f>IFERROR(VLOOKUP(RIGHT(E140,3)+0,[1]SchLocTable!$A$2:$B$47,2,FALSE)," ")</f>
        <v>Black Rock</v>
      </c>
      <c r="B140" s="366" t="str">
        <f>VLOOKUP(VALUE(D140),$D$3:F$106,3,FALSE)</f>
        <v>Principals</v>
      </c>
      <c r="C140" t="s">
        <v>314</v>
      </c>
      <c r="D140">
        <v>800</v>
      </c>
      <c r="E140" t="s">
        <v>325</v>
      </c>
      <c r="F140" t="s">
        <v>316</v>
      </c>
      <c r="G140">
        <v>1</v>
      </c>
      <c r="H140" s="502">
        <v>51000</v>
      </c>
      <c r="I140" s="415">
        <v>172210.67499999996</v>
      </c>
      <c r="J140" s="415">
        <v>306065.8</v>
      </c>
      <c r="K140" s="415">
        <v>261159.91</v>
      </c>
      <c r="L140" s="415">
        <v>255178.71</v>
      </c>
      <c r="M140" s="415">
        <v>253868.02</v>
      </c>
      <c r="N140" s="415">
        <v>274224.43</v>
      </c>
      <c r="O140" s="415">
        <v>269479.95</v>
      </c>
      <c r="P140" s="415">
        <v>265844.19</v>
      </c>
      <c r="Q140" s="481">
        <f t="shared" si="48"/>
        <v>133855.12500000003</v>
      </c>
      <c r="S140" s="399"/>
      <c r="T140" s="399"/>
      <c r="U140" s="399"/>
    </row>
    <row r="141" spans="1:21" outlineLevel="2" x14ac:dyDescent="0.3">
      <c r="A141" s="366" t="str">
        <f>IFERROR(VLOOKUP(RIGHT(E141,3)+0,[1]SchLocTable!$A$2:$B$47,2,FALSE)," ")</f>
        <v>Black Rock</v>
      </c>
      <c r="B141" s="366" t="str">
        <f>VLOOKUP(VALUE(D141),$D$3:F$106,3,FALSE)</f>
        <v>Principals</v>
      </c>
      <c r="C141" t="s">
        <v>314</v>
      </c>
      <c r="D141">
        <v>800</v>
      </c>
      <c r="E141" t="s">
        <v>325</v>
      </c>
      <c r="F141" t="s">
        <v>321</v>
      </c>
      <c r="G141" t="s">
        <v>319</v>
      </c>
      <c r="H141" s="502">
        <v>52917</v>
      </c>
      <c r="I141" s="415">
        <v>41742.167999999998</v>
      </c>
      <c r="J141" s="415">
        <v>61815</v>
      </c>
      <c r="K141" s="415">
        <v>61900.93</v>
      </c>
      <c r="L141" s="415">
        <v>59341.34</v>
      </c>
      <c r="M141" s="415">
        <v>58630.25</v>
      </c>
      <c r="N141" s="415">
        <v>35344.68</v>
      </c>
      <c r="O141" s="415">
        <v>33852.080000000002</v>
      </c>
      <c r="P141" s="415">
        <v>32196.78</v>
      </c>
      <c r="Q141" s="481">
        <f t="shared" si="48"/>
        <v>20072.832000000002</v>
      </c>
      <c r="S141" s="399"/>
      <c r="T141" s="399"/>
      <c r="U141" s="399"/>
    </row>
    <row r="142" spans="1:21" outlineLevel="2" x14ac:dyDescent="0.3">
      <c r="A142" s="366" t="str">
        <f>IFERROR(VLOOKUP(RIGHT(E142,3)+0,[1]SchLocTable!$A$2:$B$47,2,FALSE)," ")</f>
        <v>Black Rock</v>
      </c>
      <c r="B142" s="366" t="str">
        <f>VLOOKUP(VALUE(D142),$D$3:F$106,3,FALSE)</f>
        <v>Principals</v>
      </c>
      <c r="C142" t="s">
        <v>314</v>
      </c>
      <c r="D142">
        <v>800</v>
      </c>
      <c r="E142" t="s">
        <v>325</v>
      </c>
      <c r="F142" t="s">
        <v>318</v>
      </c>
      <c r="G142" t="s">
        <v>319</v>
      </c>
      <c r="H142" s="502">
        <v>51140</v>
      </c>
      <c r="I142" s="415">
        <v>1400</v>
      </c>
      <c r="J142" s="415">
        <v>0</v>
      </c>
      <c r="K142" s="415">
        <v>1400</v>
      </c>
      <c r="L142" s="415">
        <v>1300</v>
      </c>
      <c r="M142" s="415">
        <v>1300</v>
      </c>
      <c r="N142" s="415">
        <v>1300</v>
      </c>
      <c r="O142" s="415">
        <v>1100</v>
      </c>
      <c r="P142" s="415">
        <v>1100</v>
      </c>
      <c r="Q142" s="481">
        <f t="shared" si="48"/>
        <v>-1400</v>
      </c>
      <c r="S142" s="399"/>
      <c r="T142" s="399"/>
      <c r="U142" s="399"/>
    </row>
    <row r="143" spans="1:21" outlineLevel="2" x14ac:dyDescent="0.3">
      <c r="A143" s="366" t="str">
        <f>IFERROR(VLOOKUP(RIGHT(E143,3)+0,[1]SchLocTable!$A$2:$B$47,2,FALSE)," ")</f>
        <v>Black Rock</v>
      </c>
      <c r="B143" s="366" t="str">
        <f>VLOOKUP(VALUE(D143),$D$3:F$106,3,FALSE)</f>
        <v>Principals</v>
      </c>
      <c r="C143" t="s">
        <v>314</v>
      </c>
      <c r="D143">
        <v>800</v>
      </c>
      <c r="E143" t="s">
        <v>325</v>
      </c>
      <c r="F143" t="s">
        <v>320</v>
      </c>
      <c r="G143" t="s">
        <v>319</v>
      </c>
      <c r="H143" s="502">
        <v>52360</v>
      </c>
      <c r="I143" s="415">
        <v>2497.0547874999993</v>
      </c>
      <c r="J143" s="415">
        <v>4102</v>
      </c>
      <c r="K143" s="415">
        <v>3435.92</v>
      </c>
      <c r="L143" s="415">
        <v>3359.69</v>
      </c>
      <c r="M143" s="415">
        <v>3352.45</v>
      </c>
      <c r="N143" s="415">
        <v>3816.67</v>
      </c>
      <c r="O143" s="415">
        <v>3757.52</v>
      </c>
      <c r="P143" s="415">
        <v>3719.39</v>
      </c>
      <c r="Q143" s="481">
        <f t="shared" si="48"/>
        <v>1604.9452125000007</v>
      </c>
      <c r="S143" s="399"/>
      <c r="T143" s="399"/>
      <c r="U143" s="399"/>
    </row>
    <row r="144" spans="1:21" outlineLevel="2" x14ac:dyDescent="0.3">
      <c r="A144" s="366" t="str">
        <f>IFERROR(VLOOKUP(RIGHT(E144,3)+0,[1]SchLocTable!$A$2:$B$47,2,FALSE)," ")</f>
        <v>Bryant</v>
      </c>
      <c r="B144" s="366" t="str">
        <f>VLOOKUP(VALUE(D144),$D$3:F$106,3,FALSE)</f>
        <v>Principals</v>
      </c>
      <c r="C144" t="s">
        <v>314</v>
      </c>
      <c r="D144">
        <v>800</v>
      </c>
      <c r="E144" t="s">
        <v>326</v>
      </c>
      <c r="F144" t="s">
        <v>316</v>
      </c>
      <c r="G144">
        <v>1</v>
      </c>
      <c r="H144" s="502">
        <v>51000</v>
      </c>
      <c r="I144" s="415">
        <v>172221.14454999997</v>
      </c>
      <c r="J144" s="415">
        <v>180663.46</v>
      </c>
      <c r="K144" s="415">
        <v>268549.56</v>
      </c>
      <c r="L144" s="415">
        <v>158560.51</v>
      </c>
      <c r="M144" s="415">
        <v>156626.45000000001</v>
      </c>
      <c r="N144" s="415">
        <v>153628.79999999999</v>
      </c>
      <c r="O144" s="415">
        <v>151341.62</v>
      </c>
      <c r="P144" s="415">
        <v>150323.29</v>
      </c>
      <c r="Q144" s="481">
        <f t="shared" si="48"/>
        <v>8442.3154500000237</v>
      </c>
      <c r="S144" s="399"/>
      <c r="T144" s="399"/>
      <c r="U144" s="399"/>
    </row>
    <row r="145" spans="1:21" outlineLevel="2" x14ac:dyDescent="0.3">
      <c r="A145" s="366" t="str">
        <f>IFERROR(VLOOKUP(RIGHT(E145,3)+0,[1]SchLocTable!$A$2:$B$47,2,FALSE)," ")</f>
        <v>Bryant</v>
      </c>
      <c r="B145" s="366" t="str">
        <f>VLOOKUP(VALUE(D145),$D$3:F$106,3,FALSE)</f>
        <v>Principals</v>
      </c>
      <c r="C145" t="s">
        <v>314</v>
      </c>
      <c r="D145">
        <v>800</v>
      </c>
      <c r="E145" t="s">
        <v>326</v>
      </c>
      <c r="F145" t="s">
        <v>321</v>
      </c>
      <c r="G145" t="s">
        <v>319</v>
      </c>
      <c r="H145" s="502">
        <v>52917</v>
      </c>
      <c r="I145" s="415">
        <v>14579.447999999999</v>
      </c>
      <c r="J145" s="415">
        <v>15836.32</v>
      </c>
      <c r="K145" s="415">
        <v>39682.99</v>
      </c>
      <c r="L145" s="415">
        <v>10357.4</v>
      </c>
      <c r="M145" s="415">
        <v>10213.83</v>
      </c>
      <c r="N145" s="415">
        <v>9556.5300000000007</v>
      </c>
      <c r="O145" s="415">
        <v>9149.09</v>
      </c>
      <c r="P145" s="415">
        <v>8703.07</v>
      </c>
      <c r="Q145" s="481">
        <f t="shared" si="48"/>
        <v>1256.8720000000012</v>
      </c>
      <c r="S145" s="399"/>
      <c r="T145" s="399"/>
      <c r="U145" s="399"/>
    </row>
    <row r="146" spans="1:21" outlineLevel="2" x14ac:dyDescent="0.3">
      <c r="A146" s="366" t="str">
        <f>IFERROR(VLOOKUP(RIGHT(E146,3)+0,[1]SchLocTable!$A$2:$B$47,2,FALSE)," ")</f>
        <v>Bryant</v>
      </c>
      <c r="B146" s="366" t="str">
        <f>VLOOKUP(VALUE(D146),$D$3:F$106,3,FALSE)</f>
        <v>Principals</v>
      </c>
      <c r="C146" t="s">
        <v>314</v>
      </c>
      <c r="D146">
        <v>800</v>
      </c>
      <c r="E146" t="s">
        <v>326</v>
      </c>
      <c r="F146" t="s">
        <v>318</v>
      </c>
      <c r="G146" t="s">
        <v>319</v>
      </c>
      <c r="H146" s="502">
        <v>51140</v>
      </c>
      <c r="I146" s="415">
        <v>1500</v>
      </c>
      <c r="J146" s="415">
        <v>0</v>
      </c>
      <c r="K146" s="415">
        <v>1500</v>
      </c>
      <c r="L146" s="415">
        <v>1500</v>
      </c>
      <c r="M146" s="415">
        <v>1500</v>
      </c>
      <c r="N146" s="415">
        <v>1500</v>
      </c>
      <c r="O146" s="415">
        <v>1400</v>
      </c>
      <c r="P146" s="415">
        <v>1400</v>
      </c>
      <c r="Q146" s="481">
        <f t="shared" si="48"/>
        <v>-1500</v>
      </c>
      <c r="S146" s="399"/>
      <c r="T146" s="399"/>
      <c r="U146" s="399"/>
    </row>
    <row r="147" spans="1:21" outlineLevel="2" x14ac:dyDescent="0.3">
      <c r="A147" s="366" t="str">
        <f>IFERROR(VLOOKUP(RIGHT(E147,3)+0,[1]SchLocTable!$A$2:$B$47,2,FALSE)," ")</f>
        <v>Bryant</v>
      </c>
      <c r="B147" s="366" t="str">
        <f>VLOOKUP(VALUE(D147),$D$3:F$106,3,FALSE)</f>
        <v>Principals</v>
      </c>
      <c r="C147" t="s">
        <v>314</v>
      </c>
      <c r="D147">
        <v>800</v>
      </c>
      <c r="E147" t="s">
        <v>326</v>
      </c>
      <c r="F147" t="s">
        <v>320</v>
      </c>
      <c r="G147" t="s">
        <v>319</v>
      </c>
      <c r="H147" s="502">
        <v>52360</v>
      </c>
      <c r="I147" s="415">
        <v>2497.2065959749993</v>
      </c>
      <c r="J147" s="415">
        <v>2584.0700000000002</v>
      </c>
      <c r="K147" s="415">
        <v>3698.49</v>
      </c>
      <c r="L147" s="415">
        <v>2267.5700000000002</v>
      </c>
      <c r="M147" s="415">
        <v>2237.65</v>
      </c>
      <c r="N147" s="415">
        <v>2209.34</v>
      </c>
      <c r="O147" s="415">
        <v>2177.89</v>
      </c>
      <c r="P147" s="415">
        <v>2167.38</v>
      </c>
      <c r="Q147" s="481">
        <f t="shared" si="48"/>
        <v>86.863404025000818</v>
      </c>
      <c r="S147" s="399"/>
      <c r="T147" s="399"/>
      <c r="U147" s="399"/>
    </row>
    <row r="148" spans="1:21" outlineLevel="2" x14ac:dyDescent="0.3">
      <c r="A148" s="366" t="str">
        <f>IFERROR(VLOOKUP(RIGHT(E148,3)+0,[1]SchLocTable!$A$2:$B$47,2,FALSE)," ")</f>
        <v>Columbus</v>
      </c>
      <c r="B148" s="366" t="str">
        <f>VLOOKUP(VALUE(D148),$D$3:F$106,3,FALSE)</f>
        <v>Principals</v>
      </c>
      <c r="C148" t="s">
        <v>314</v>
      </c>
      <c r="D148">
        <v>800</v>
      </c>
      <c r="E148" t="s">
        <v>327</v>
      </c>
      <c r="F148" t="s">
        <v>316</v>
      </c>
      <c r="G148">
        <v>2</v>
      </c>
      <c r="H148" s="502">
        <v>51000</v>
      </c>
      <c r="I148" s="415">
        <v>322118.25554999994</v>
      </c>
      <c r="J148" s="415">
        <v>308652</v>
      </c>
      <c r="K148" s="415">
        <v>299954.32</v>
      </c>
      <c r="L148" s="415">
        <v>278937.09999999998</v>
      </c>
      <c r="M148" s="415">
        <v>274647.89</v>
      </c>
      <c r="N148" s="415">
        <v>268457.02</v>
      </c>
      <c r="O148" s="415">
        <v>248069.62</v>
      </c>
      <c r="P148" s="415">
        <v>217064.89</v>
      </c>
      <c r="Q148" s="481">
        <f t="shared" si="48"/>
        <v>-13466.255549999943</v>
      </c>
      <c r="S148" s="399"/>
      <c r="T148" s="399"/>
      <c r="U148" s="399"/>
    </row>
    <row r="149" spans="1:21" outlineLevel="2" x14ac:dyDescent="0.3">
      <c r="A149" s="366" t="str">
        <f>IFERROR(VLOOKUP(RIGHT(E149,3)+0,[1]SchLocTable!$A$2:$B$47,2,FALSE)," ")</f>
        <v>Columbus</v>
      </c>
      <c r="B149" s="366" t="str">
        <f>VLOOKUP(VALUE(D149),$D$3:F$106,3,FALSE)</f>
        <v>Principals</v>
      </c>
      <c r="C149" t="s">
        <v>314</v>
      </c>
      <c r="D149">
        <v>800</v>
      </c>
      <c r="E149" t="s">
        <v>327</v>
      </c>
      <c r="F149" t="s">
        <v>321</v>
      </c>
      <c r="G149" t="s">
        <v>319</v>
      </c>
      <c r="H149" s="502">
        <v>52917</v>
      </c>
      <c r="I149" s="415">
        <v>57753.695999999996</v>
      </c>
      <c r="J149" s="415">
        <v>46519</v>
      </c>
      <c r="K149" s="415">
        <v>49567.76</v>
      </c>
      <c r="L149" s="415">
        <v>55568.54</v>
      </c>
      <c r="M149" s="415">
        <v>51334.99</v>
      </c>
      <c r="N149" s="415">
        <v>22939.05</v>
      </c>
      <c r="O149" s="415">
        <v>21970.560000000001</v>
      </c>
      <c r="P149" s="415">
        <v>34075.11</v>
      </c>
      <c r="Q149" s="481">
        <f t="shared" si="48"/>
        <v>-11234.695999999996</v>
      </c>
      <c r="S149" s="399"/>
      <c r="T149" s="399"/>
      <c r="U149" s="399"/>
    </row>
    <row r="150" spans="1:21" outlineLevel="2" x14ac:dyDescent="0.3">
      <c r="A150" s="366" t="str">
        <f>IFERROR(VLOOKUP(RIGHT(E150,3)+0,[1]SchLocTable!$A$2:$B$47,2,FALSE)," ")</f>
        <v>Columbus</v>
      </c>
      <c r="B150" s="366" t="str">
        <f>VLOOKUP(VALUE(D150),$D$3:F$106,3,FALSE)</f>
        <v>Principals</v>
      </c>
      <c r="C150" t="s">
        <v>314</v>
      </c>
      <c r="D150">
        <v>800</v>
      </c>
      <c r="E150" t="s">
        <v>327</v>
      </c>
      <c r="F150" t="s">
        <v>318</v>
      </c>
      <c r="G150" t="s">
        <v>319</v>
      </c>
      <c r="H150" s="502">
        <v>51140</v>
      </c>
      <c r="I150" s="415">
        <v>2800</v>
      </c>
      <c r="J150" s="415">
        <v>0</v>
      </c>
      <c r="K150" s="415">
        <v>2800</v>
      </c>
      <c r="L150" s="415">
        <v>2700</v>
      </c>
      <c r="M150" s="415">
        <v>1400</v>
      </c>
      <c r="N150" s="415">
        <v>1400</v>
      </c>
      <c r="O150" s="415">
        <v>1400</v>
      </c>
      <c r="P150" s="415">
        <v>1400</v>
      </c>
      <c r="Q150" s="481">
        <f t="shared" si="48"/>
        <v>-2800</v>
      </c>
      <c r="S150" s="399"/>
      <c r="T150" s="399"/>
      <c r="U150" s="399"/>
    </row>
    <row r="151" spans="1:21" outlineLevel="2" x14ac:dyDescent="0.3">
      <c r="A151" s="366" t="str">
        <f>IFERROR(VLOOKUP(RIGHT(E151,3)+0,[1]SchLocTable!$A$2:$B$47,2,FALSE)," ")</f>
        <v>Columbus</v>
      </c>
      <c r="B151" s="366" t="str">
        <f>VLOOKUP(VALUE(D151),$D$3:F$106,3,FALSE)</f>
        <v>Principals</v>
      </c>
      <c r="C151" t="s">
        <v>314</v>
      </c>
      <c r="D151">
        <v>800</v>
      </c>
      <c r="E151" t="s">
        <v>327</v>
      </c>
      <c r="F151" t="s">
        <v>320</v>
      </c>
      <c r="G151" t="s">
        <v>319</v>
      </c>
      <c r="H151" s="502">
        <v>52360</v>
      </c>
      <c r="I151" s="415">
        <v>4670.7147054749994</v>
      </c>
      <c r="J151" s="415">
        <v>4247</v>
      </c>
      <c r="K151" s="415">
        <v>4153.2299999999996</v>
      </c>
      <c r="L151" s="415">
        <v>3813.12</v>
      </c>
      <c r="M151" s="415">
        <v>3755</v>
      </c>
      <c r="N151" s="415">
        <v>3806.83</v>
      </c>
      <c r="O151" s="415">
        <v>3518.24</v>
      </c>
      <c r="P151" s="415">
        <v>3001.11</v>
      </c>
      <c r="Q151" s="481">
        <f t="shared" si="48"/>
        <v>-423.71470547499939</v>
      </c>
      <c r="S151" s="399"/>
      <c r="T151" s="399"/>
      <c r="U151" s="399"/>
    </row>
    <row r="152" spans="1:21" outlineLevel="2" x14ac:dyDescent="0.3">
      <c r="A152" s="366" t="str">
        <f>IFERROR(VLOOKUP(RIGHT(E152,3)+0,[1]SchLocTable!$A$2:$B$47,2,FALSE)," ")</f>
        <v>Edison</v>
      </c>
      <c r="B152" s="366" t="str">
        <f>VLOOKUP(VALUE(D152),$D$3:F$106,3,FALSE)</f>
        <v>Principals</v>
      </c>
      <c r="C152" t="s">
        <v>314</v>
      </c>
      <c r="D152">
        <v>800</v>
      </c>
      <c r="E152" t="s">
        <v>328</v>
      </c>
      <c r="F152" t="s">
        <v>316</v>
      </c>
      <c r="G152">
        <v>1</v>
      </c>
      <c r="H152" s="502">
        <v>51000</v>
      </c>
      <c r="I152" s="415">
        <v>188725.18209999998</v>
      </c>
      <c r="J152" s="415">
        <v>182004.95</v>
      </c>
      <c r="K152" s="415">
        <v>225795.76</v>
      </c>
      <c r="L152" s="415">
        <v>158560.51</v>
      </c>
      <c r="M152" s="415">
        <v>156626.45000000001</v>
      </c>
      <c r="N152" s="415">
        <v>152400.75</v>
      </c>
      <c r="O152" s="415">
        <v>141805.19</v>
      </c>
      <c r="P152" s="415">
        <v>137900.79</v>
      </c>
      <c r="Q152" s="481">
        <f t="shared" si="48"/>
        <v>-6720.2320999999647</v>
      </c>
      <c r="S152" s="399"/>
      <c r="T152" s="399"/>
      <c r="U152" s="399"/>
    </row>
    <row r="153" spans="1:21" outlineLevel="2" x14ac:dyDescent="0.3">
      <c r="A153" s="366" t="str">
        <f>IFERROR(VLOOKUP(RIGHT(E153,3)+0,[1]SchLocTable!$A$2:$B$47,2,FALSE)," ")</f>
        <v>Edison</v>
      </c>
      <c r="B153" s="366" t="str">
        <f>VLOOKUP(VALUE(D153),$D$3:F$106,3,FALSE)</f>
        <v>Principals</v>
      </c>
      <c r="C153" t="s">
        <v>314</v>
      </c>
      <c r="D153">
        <v>800</v>
      </c>
      <c r="E153" t="s">
        <v>328</v>
      </c>
      <c r="F153" t="s">
        <v>321</v>
      </c>
      <c r="G153" t="s">
        <v>319</v>
      </c>
      <c r="H153" s="502">
        <v>52917</v>
      </c>
      <c r="I153" s="415">
        <v>14579.447999999999</v>
      </c>
      <c r="J153" s="415">
        <v>12068.08</v>
      </c>
      <c r="K153" s="415">
        <v>15911.77</v>
      </c>
      <c r="L153" s="415">
        <v>24208.43</v>
      </c>
      <c r="M153" s="415">
        <v>23887.98</v>
      </c>
      <c r="N153" s="415">
        <v>22335.63</v>
      </c>
      <c r="O153" s="415">
        <v>21395.29</v>
      </c>
      <c r="P153" s="415">
        <v>20417.54</v>
      </c>
      <c r="Q153" s="481">
        <f t="shared" si="48"/>
        <v>-2511.3679999999986</v>
      </c>
      <c r="S153" s="399"/>
      <c r="T153" s="399"/>
      <c r="U153" s="399"/>
    </row>
    <row r="154" spans="1:21" outlineLevel="2" x14ac:dyDescent="0.3">
      <c r="A154" s="366" t="str">
        <f>IFERROR(VLOOKUP(RIGHT(E154,3)+0,[1]SchLocTable!$A$2:$B$47,2,FALSE)," ")</f>
        <v>Edison</v>
      </c>
      <c r="B154" s="366" t="str">
        <f>VLOOKUP(VALUE(D154),$D$3:F$106,3,FALSE)</f>
        <v>Principals</v>
      </c>
      <c r="C154" t="s">
        <v>314</v>
      </c>
      <c r="D154">
        <v>800</v>
      </c>
      <c r="E154" t="s">
        <v>328</v>
      </c>
      <c r="F154" t="s">
        <v>318</v>
      </c>
      <c r="G154" t="s">
        <v>319</v>
      </c>
      <c r="H154" s="502">
        <v>51140</v>
      </c>
      <c r="I154" s="415">
        <v>0</v>
      </c>
      <c r="J154" s="415">
        <v>0</v>
      </c>
      <c r="K154" s="415">
        <v>0</v>
      </c>
      <c r="L154" s="415">
        <v>1500</v>
      </c>
      <c r="M154" s="415">
        <v>1500</v>
      </c>
      <c r="N154" s="415">
        <v>1500</v>
      </c>
      <c r="O154" s="415">
        <v>1500</v>
      </c>
      <c r="P154" s="415">
        <v>1400</v>
      </c>
      <c r="Q154" s="481">
        <f t="shared" si="48"/>
        <v>0</v>
      </c>
      <c r="S154" s="399"/>
      <c r="T154" s="399"/>
      <c r="U154" s="399"/>
    </row>
    <row r="155" spans="1:21" outlineLevel="2" x14ac:dyDescent="0.3">
      <c r="A155" s="366" t="str">
        <f>IFERROR(VLOOKUP(RIGHT(E155,3)+0,[1]SchLocTable!$A$2:$B$47,2,FALSE)," ")</f>
        <v>Edison</v>
      </c>
      <c r="B155" s="366" t="str">
        <f>VLOOKUP(VALUE(D155),$D$3:F$106,3,FALSE)</f>
        <v>Principals</v>
      </c>
      <c r="C155" t="s">
        <v>314</v>
      </c>
      <c r="D155">
        <v>800</v>
      </c>
      <c r="E155" t="s">
        <v>328</v>
      </c>
      <c r="F155" t="s">
        <v>320</v>
      </c>
      <c r="G155" t="s">
        <v>319</v>
      </c>
      <c r="H155" s="502">
        <v>52360</v>
      </c>
      <c r="I155" s="415">
        <v>2736.5151404500002</v>
      </c>
      <c r="J155" s="415">
        <v>2639.27</v>
      </c>
      <c r="K155" s="415">
        <v>3950.87</v>
      </c>
      <c r="L155" s="415">
        <v>2236.12</v>
      </c>
      <c r="M155" s="415">
        <v>2209.79</v>
      </c>
      <c r="N155" s="415">
        <v>2158.0700000000002</v>
      </c>
      <c r="O155" s="415">
        <v>2008.2</v>
      </c>
      <c r="P155" s="415">
        <v>2001.4</v>
      </c>
      <c r="Q155" s="481">
        <f t="shared" si="48"/>
        <v>-97.245140450000235</v>
      </c>
      <c r="S155" s="399"/>
      <c r="T155" s="399"/>
      <c r="U155" s="399"/>
    </row>
    <row r="156" spans="1:21" outlineLevel="2" x14ac:dyDescent="0.3">
      <c r="A156" s="366" t="str">
        <f>IFERROR(VLOOKUP(RIGHT(E156,3)+0,[1]SchLocTable!$A$2:$B$47,2,FALSE)," ")</f>
        <v>Edison</v>
      </c>
      <c r="B156" s="366" t="str">
        <f>VLOOKUP(VALUE(D156),$D$3:F$106,3,FALSE)</f>
        <v>Principals</v>
      </c>
      <c r="C156" t="s">
        <v>314</v>
      </c>
      <c r="D156">
        <v>800</v>
      </c>
      <c r="E156" t="s">
        <v>328</v>
      </c>
      <c r="F156" t="s">
        <v>329</v>
      </c>
      <c r="G156" t="s">
        <v>319</v>
      </c>
      <c r="H156" s="502">
        <v>51154</v>
      </c>
      <c r="I156" s="415">
        <v>0</v>
      </c>
      <c r="J156" s="415">
        <v>0</v>
      </c>
      <c r="K156" s="415">
        <v>49172.85</v>
      </c>
      <c r="L156" s="415">
        <v>0</v>
      </c>
      <c r="M156" s="415">
        <v>0</v>
      </c>
      <c r="N156" s="415">
        <v>0</v>
      </c>
      <c r="O156" s="415">
        <v>0</v>
      </c>
      <c r="P156" s="415">
        <v>0</v>
      </c>
      <c r="Q156" s="481">
        <f t="shared" si="48"/>
        <v>0</v>
      </c>
      <c r="S156" s="399"/>
      <c r="T156" s="399"/>
      <c r="U156" s="399"/>
    </row>
    <row r="157" spans="1:21" outlineLevel="2" x14ac:dyDescent="0.3">
      <c r="A157" s="366" t="str">
        <f>IFERROR(VLOOKUP(RIGHT(E157,3)+0,[1]SchLocTable!$A$2:$B$47,2,FALSE)," ")</f>
        <v>Marin</v>
      </c>
      <c r="B157" s="366" t="str">
        <f>VLOOKUP(VALUE(D157),$D$3:F$106,3,FALSE)</f>
        <v>Principals</v>
      </c>
      <c r="C157" t="s">
        <v>314</v>
      </c>
      <c r="D157">
        <v>800</v>
      </c>
      <c r="E157" t="s">
        <v>330</v>
      </c>
      <c r="F157" t="s">
        <v>316</v>
      </c>
      <c r="G157">
        <v>2</v>
      </c>
      <c r="H157" s="502">
        <v>51000</v>
      </c>
      <c r="I157" s="415">
        <v>320855.73519999994</v>
      </c>
      <c r="J157" s="415">
        <v>308652</v>
      </c>
      <c r="K157" s="415">
        <v>344697.24</v>
      </c>
      <c r="L157" s="415">
        <v>361872.72</v>
      </c>
      <c r="M157" s="415">
        <v>329388.34000000003</v>
      </c>
      <c r="N157" s="415">
        <v>349957.21</v>
      </c>
      <c r="O157" s="415">
        <v>321587.34000000003</v>
      </c>
      <c r="P157" s="415">
        <v>377896.63</v>
      </c>
      <c r="Q157" s="481">
        <f t="shared" si="48"/>
        <v>-12203.735199999937</v>
      </c>
      <c r="S157" s="399"/>
      <c r="T157" s="399"/>
      <c r="U157" s="399"/>
    </row>
    <row r="158" spans="1:21" outlineLevel="2" x14ac:dyDescent="0.3">
      <c r="A158" s="366" t="str">
        <f>IFERROR(VLOOKUP(RIGHT(E158,3)+0,[1]SchLocTable!$A$2:$B$47,2,FALSE)," ")</f>
        <v>Marin</v>
      </c>
      <c r="B158" s="366" t="str">
        <f>VLOOKUP(VALUE(D158),$D$3:F$106,3,FALSE)</f>
        <v>Principals</v>
      </c>
      <c r="C158" t="s">
        <v>314</v>
      </c>
      <c r="D158">
        <v>800</v>
      </c>
      <c r="E158" t="s">
        <v>330</v>
      </c>
      <c r="F158" t="s">
        <v>321</v>
      </c>
      <c r="G158" t="s">
        <v>319</v>
      </c>
      <c r="H158" s="502">
        <v>52917</v>
      </c>
      <c r="I158" s="415">
        <v>48514.127999999997</v>
      </c>
      <c r="J158" s="415">
        <v>36944</v>
      </c>
      <c r="K158" s="415">
        <v>52837.53</v>
      </c>
      <c r="L158" s="415">
        <v>67290.31</v>
      </c>
      <c r="M158" s="415">
        <v>42495.66</v>
      </c>
      <c r="N158" s="415">
        <v>51861.85</v>
      </c>
      <c r="O158" s="415">
        <v>33495.99</v>
      </c>
      <c r="P158" s="415">
        <v>41075.74</v>
      </c>
      <c r="Q158" s="481">
        <f t="shared" si="48"/>
        <v>-11570.127999999997</v>
      </c>
      <c r="S158" s="399"/>
      <c r="T158" s="399"/>
      <c r="U158" s="399"/>
    </row>
    <row r="159" spans="1:21" outlineLevel="2" x14ac:dyDescent="0.3">
      <c r="A159" s="366" t="str">
        <f>IFERROR(VLOOKUP(RIGHT(E159,3)+0,[1]SchLocTable!$A$2:$B$47,2,FALSE)," ")</f>
        <v>Marin</v>
      </c>
      <c r="B159" s="366" t="str">
        <f>VLOOKUP(VALUE(D159),$D$3:F$106,3,FALSE)</f>
        <v>Principals</v>
      </c>
      <c r="C159" t="s">
        <v>314</v>
      </c>
      <c r="D159">
        <v>800</v>
      </c>
      <c r="E159" t="s">
        <v>330</v>
      </c>
      <c r="F159" t="s">
        <v>318</v>
      </c>
      <c r="G159" t="s">
        <v>319</v>
      </c>
      <c r="H159" s="502">
        <v>51140</v>
      </c>
      <c r="I159" s="415">
        <v>2900</v>
      </c>
      <c r="J159" s="415">
        <v>0</v>
      </c>
      <c r="K159" s="415">
        <v>2700</v>
      </c>
      <c r="L159" s="415">
        <v>2700</v>
      </c>
      <c r="M159" s="415">
        <v>2700</v>
      </c>
      <c r="N159" s="415">
        <v>2700</v>
      </c>
      <c r="O159" s="415">
        <v>1400</v>
      </c>
      <c r="P159" s="415">
        <v>3900</v>
      </c>
      <c r="Q159" s="481">
        <f t="shared" si="48"/>
        <v>-2900</v>
      </c>
      <c r="S159" s="399"/>
      <c r="T159" s="399"/>
      <c r="U159" s="399"/>
    </row>
    <row r="160" spans="1:21" outlineLevel="2" x14ac:dyDescent="0.3">
      <c r="A160" s="366" t="str">
        <f>IFERROR(VLOOKUP(RIGHT(E160,3)+0,[1]SchLocTable!$A$2:$B$47,2,FALSE)," ")</f>
        <v>Marin</v>
      </c>
      <c r="B160" s="366" t="str">
        <f>VLOOKUP(VALUE(D160),$D$3:F$106,3,FALSE)</f>
        <v>Principals</v>
      </c>
      <c r="C160" t="s">
        <v>314</v>
      </c>
      <c r="D160">
        <v>800</v>
      </c>
      <c r="E160" t="s">
        <v>330</v>
      </c>
      <c r="F160" t="s">
        <v>320</v>
      </c>
      <c r="G160" t="s">
        <v>319</v>
      </c>
      <c r="H160" s="502">
        <v>52360</v>
      </c>
      <c r="I160" s="415">
        <v>4652.4081603999994</v>
      </c>
      <c r="J160" s="415">
        <v>4289</v>
      </c>
      <c r="K160" s="415">
        <v>4722.43</v>
      </c>
      <c r="L160" s="415">
        <v>4882.9799999999996</v>
      </c>
      <c r="M160" s="415">
        <v>4569.87</v>
      </c>
      <c r="N160" s="415">
        <v>4911.91</v>
      </c>
      <c r="O160" s="415">
        <v>4617.8999999999996</v>
      </c>
      <c r="P160" s="415">
        <v>5356.78</v>
      </c>
      <c r="Q160" s="481">
        <f t="shared" si="48"/>
        <v>-363.40816039999936</v>
      </c>
      <c r="S160" s="399"/>
      <c r="T160" s="399"/>
      <c r="U160" s="399"/>
    </row>
    <row r="161" spans="1:21" outlineLevel="2" x14ac:dyDescent="0.3">
      <c r="A161" s="366" t="str">
        <f>IFERROR(VLOOKUP(RIGHT(E161,3)+0,[1]SchLocTable!$A$2:$B$47,2,FALSE)," ")</f>
        <v>Hall</v>
      </c>
      <c r="B161" s="366" t="str">
        <f>VLOOKUP(VALUE(D161),$D$3:F$106,3,FALSE)</f>
        <v>Principals</v>
      </c>
      <c r="C161" t="s">
        <v>314</v>
      </c>
      <c r="D161">
        <v>800</v>
      </c>
      <c r="E161" t="s">
        <v>331</v>
      </c>
      <c r="F161" t="s">
        <v>316</v>
      </c>
      <c r="G161">
        <v>1</v>
      </c>
      <c r="H161" s="502">
        <v>51000</v>
      </c>
      <c r="I161" s="415">
        <v>171365.0575</v>
      </c>
      <c r="J161" s="415">
        <v>166233.9</v>
      </c>
      <c r="K161" s="415">
        <v>219986.86</v>
      </c>
      <c r="L161" s="415">
        <v>159166</v>
      </c>
      <c r="M161" s="415">
        <v>157224.67000000001</v>
      </c>
      <c r="N161" s="415">
        <v>134460.26</v>
      </c>
      <c r="O161" s="415">
        <v>135867.69</v>
      </c>
      <c r="P161" s="415">
        <v>177385.06</v>
      </c>
      <c r="Q161" s="481">
        <f t="shared" si="48"/>
        <v>-5131.1575000000012</v>
      </c>
      <c r="S161" s="399"/>
      <c r="T161" s="399"/>
      <c r="U161" s="399"/>
    </row>
    <row r="162" spans="1:21" outlineLevel="2" x14ac:dyDescent="0.3">
      <c r="A162" s="366" t="str">
        <f>IFERROR(VLOOKUP(RIGHT(E162,3)+0,[1]SchLocTable!$A$2:$B$47,2,FALSE)," ")</f>
        <v>Hall</v>
      </c>
      <c r="B162" s="366" t="str">
        <f>VLOOKUP(VALUE(D162),$D$3:F$106,3,FALSE)</f>
        <v>Principals</v>
      </c>
      <c r="C162" t="s">
        <v>314</v>
      </c>
      <c r="D162">
        <v>800</v>
      </c>
      <c r="E162" t="s">
        <v>331</v>
      </c>
      <c r="F162" t="s">
        <v>321</v>
      </c>
      <c r="G162" t="s">
        <v>319</v>
      </c>
      <c r="H162" s="502">
        <v>52917</v>
      </c>
      <c r="I162" s="415">
        <v>35098.128000000004</v>
      </c>
      <c r="J162" s="415">
        <v>29050.25</v>
      </c>
      <c r="K162" s="415">
        <v>30228.73</v>
      </c>
      <c r="L162" s="415">
        <v>24894.78</v>
      </c>
      <c r="M162" s="415">
        <v>24455.15</v>
      </c>
      <c r="N162" s="415">
        <v>8349.36</v>
      </c>
      <c r="O162" s="415">
        <v>8801.58</v>
      </c>
      <c r="P162" s="415">
        <v>22960.77</v>
      </c>
      <c r="Q162" s="481">
        <f t="shared" si="48"/>
        <v>-6047.8780000000042</v>
      </c>
      <c r="S162" s="399"/>
      <c r="T162" s="399"/>
      <c r="U162" s="399"/>
    </row>
    <row r="163" spans="1:21" outlineLevel="2" x14ac:dyDescent="0.3">
      <c r="A163" s="366" t="str">
        <f>IFERROR(VLOOKUP(RIGHT(E163,3)+0,[1]SchLocTable!$A$2:$B$47,2,FALSE)," ")</f>
        <v>Hall</v>
      </c>
      <c r="B163" s="366" t="str">
        <f>VLOOKUP(VALUE(D163),$D$3:F$106,3,FALSE)</f>
        <v>Principals</v>
      </c>
      <c r="C163" t="s">
        <v>314</v>
      </c>
      <c r="D163">
        <v>800</v>
      </c>
      <c r="E163" t="s">
        <v>331</v>
      </c>
      <c r="F163" t="s">
        <v>318</v>
      </c>
      <c r="G163" t="s">
        <v>319</v>
      </c>
      <c r="H163" s="502">
        <v>51140</v>
      </c>
      <c r="I163" s="415">
        <v>1400</v>
      </c>
      <c r="J163" s="415">
        <v>0</v>
      </c>
      <c r="K163" s="415">
        <v>1400</v>
      </c>
      <c r="L163" s="415">
        <v>1400</v>
      </c>
      <c r="M163" s="415">
        <v>1400</v>
      </c>
      <c r="N163" s="415">
        <v>1400</v>
      </c>
      <c r="O163" s="415">
        <v>1300</v>
      </c>
      <c r="P163" s="415">
        <v>1500</v>
      </c>
      <c r="Q163" s="481">
        <f t="shared" si="48"/>
        <v>-1400</v>
      </c>
      <c r="S163" s="399"/>
      <c r="T163" s="399"/>
      <c r="U163" s="399"/>
    </row>
    <row r="164" spans="1:21" outlineLevel="2" x14ac:dyDescent="0.3">
      <c r="A164" s="366" t="str">
        <f>IFERROR(VLOOKUP(RIGHT(E164,3)+0,[1]SchLocTable!$A$2:$B$47,2,FALSE)," ")</f>
        <v>Hall</v>
      </c>
      <c r="B164" s="366" t="str">
        <f>VLOOKUP(VALUE(D164),$D$3:F$106,3,FALSE)</f>
        <v>Principals</v>
      </c>
      <c r="C164" t="s">
        <v>314</v>
      </c>
      <c r="D164">
        <v>800</v>
      </c>
      <c r="E164" t="s">
        <v>331</v>
      </c>
      <c r="F164" t="s">
        <v>320</v>
      </c>
      <c r="G164" t="s">
        <v>319</v>
      </c>
      <c r="H164" s="502">
        <v>52360</v>
      </c>
      <c r="I164" s="415">
        <v>2484.7933337499999</v>
      </c>
      <c r="J164" s="415">
        <v>2373.59</v>
      </c>
      <c r="K164" s="415">
        <v>3019.87</v>
      </c>
      <c r="L164" s="415">
        <v>2146.85</v>
      </c>
      <c r="M164" s="415">
        <v>2112.9699999999998</v>
      </c>
      <c r="N164" s="415">
        <v>1890.38</v>
      </c>
      <c r="O164" s="415">
        <v>2298.06</v>
      </c>
      <c r="P164" s="415">
        <v>0</v>
      </c>
      <c r="Q164" s="481">
        <f t="shared" si="48"/>
        <v>-111.20333374999973</v>
      </c>
      <c r="S164" s="399"/>
      <c r="T164" s="399"/>
      <c r="U164" s="399"/>
    </row>
    <row r="165" spans="1:21" outlineLevel="2" x14ac:dyDescent="0.3">
      <c r="A165" s="366" t="str">
        <f>IFERROR(VLOOKUP(RIGHT(E165,3)+0,[1]SchLocTable!$A$2:$B$47,2,FALSE)," ")</f>
        <v>Hallen</v>
      </c>
      <c r="B165" s="366" t="str">
        <f>VLOOKUP(VALUE(D165),$D$3:F$106,3,FALSE)</f>
        <v>Principals</v>
      </c>
      <c r="C165" t="s">
        <v>314</v>
      </c>
      <c r="D165">
        <v>800</v>
      </c>
      <c r="E165" t="s">
        <v>332</v>
      </c>
      <c r="F165" t="s">
        <v>316</v>
      </c>
      <c r="G165">
        <v>1</v>
      </c>
      <c r="H165" s="502">
        <v>51000</v>
      </c>
      <c r="I165" s="415">
        <v>168466.8713</v>
      </c>
      <c r="J165" s="415">
        <v>305717</v>
      </c>
      <c r="K165" s="415">
        <v>284096.77</v>
      </c>
      <c r="L165" s="415">
        <v>155744.95000000001</v>
      </c>
      <c r="M165" s="415">
        <v>153845.92000000001</v>
      </c>
      <c r="N165" s="415">
        <v>150901.01</v>
      </c>
      <c r="O165" s="415">
        <v>148653.76999999999</v>
      </c>
      <c r="P165" s="415">
        <v>147653.76000000001</v>
      </c>
      <c r="Q165" s="481">
        <f t="shared" si="48"/>
        <v>137250.1287</v>
      </c>
      <c r="S165" s="399"/>
      <c r="T165" s="399"/>
      <c r="U165" s="399"/>
    </row>
    <row r="166" spans="1:21" outlineLevel="2" x14ac:dyDescent="0.3">
      <c r="A166" s="366" t="str">
        <f>IFERROR(VLOOKUP(RIGHT(E166,3)+0,[1]SchLocTable!$A$2:$B$47,2,FALSE)," ")</f>
        <v>Hallen</v>
      </c>
      <c r="B166" s="366" t="str">
        <f>VLOOKUP(VALUE(D166),$D$3:F$106,3,FALSE)</f>
        <v>Principals</v>
      </c>
      <c r="C166" t="s">
        <v>314</v>
      </c>
      <c r="D166">
        <v>800</v>
      </c>
      <c r="E166" t="s">
        <v>332</v>
      </c>
      <c r="F166" t="s">
        <v>321</v>
      </c>
      <c r="G166" t="s">
        <v>319</v>
      </c>
      <c r="H166" s="502">
        <v>52917</v>
      </c>
      <c r="I166" s="415">
        <v>43174.248</v>
      </c>
      <c r="J166" s="415">
        <v>41169.9</v>
      </c>
      <c r="K166" s="415">
        <v>40270.22</v>
      </c>
      <c r="L166" s="415">
        <v>30673.759999999998</v>
      </c>
      <c r="M166" s="415">
        <v>30248.2</v>
      </c>
      <c r="N166" s="415">
        <v>28305.59</v>
      </c>
      <c r="O166" s="415">
        <v>27097.64</v>
      </c>
      <c r="P166" s="415">
        <v>25779.439999999999</v>
      </c>
      <c r="Q166" s="481">
        <f t="shared" si="48"/>
        <v>-2004.3479999999981</v>
      </c>
      <c r="S166" s="399"/>
      <c r="T166" s="399"/>
      <c r="U166" s="399"/>
    </row>
    <row r="167" spans="1:21" outlineLevel="2" x14ac:dyDescent="0.3">
      <c r="A167" s="366" t="str">
        <f>IFERROR(VLOOKUP(RIGHT(E167,3)+0,[1]SchLocTable!$A$2:$B$47,2,FALSE)," ")</f>
        <v>Hallen</v>
      </c>
      <c r="B167" s="366" t="str">
        <f>VLOOKUP(VALUE(D167),$D$3:F$106,3,FALSE)</f>
        <v>Principals</v>
      </c>
      <c r="C167" t="s">
        <v>314</v>
      </c>
      <c r="D167">
        <v>800</v>
      </c>
      <c r="E167" t="s">
        <v>332</v>
      </c>
      <c r="F167" t="s">
        <v>318</v>
      </c>
      <c r="G167" t="s">
        <v>319</v>
      </c>
      <c r="H167" s="502">
        <v>51140</v>
      </c>
      <c r="I167" s="415">
        <v>1500</v>
      </c>
      <c r="J167" s="415">
        <v>0</v>
      </c>
      <c r="K167" s="415">
        <v>1400</v>
      </c>
      <c r="L167" s="415">
        <v>1400</v>
      </c>
      <c r="M167" s="415">
        <v>1400</v>
      </c>
      <c r="N167" s="415">
        <v>1400</v>
      </c>
      <c r="O167" s="415">
        <v>0</v>
      </c>
      <c r="P167" s="415">
        <v>0</v>
      </c>
      <c r="Q167" s="481">
        <f t="shared" si="48"/>
        <v>-1500</v>
      </c>
      <c r="S167" s="399"/>
      <c r="T167" s="399"/>
      <c r="U167" s="399"/>
    </row>
    <row r="168" spans="1:21" outlineLevel="2" x14ac:dyDescent="0.3">
      <c r="A168" s="366" t="str">
        <f>IFERROR(VLOOKUP(RIGHT(E168,3)+0,[1]SchLocTable!$A$2:$B$47,2,FALSE)," ")</f>
        <v>Hallen</v>
      </c>
      <c r="B168" s="366" t="str">
        <f>VLOOKUP(VALUE(D168),$D$3:F$106,3,FALSE)</f>
        <v>Principals</v>
      </c>
      <c r="C168" t="s">
        <v>314</v>
      </c>
      <c r="D168">
        <v>800</v>
      </c>
      <c r="E168" t="s">
        <v>332</v>
      </c>
      <c r="F168" t="s">
        <v>320</v>
      </c>
      <c r="G168" t="s">
        <v>319</v>
      </c>
      <c r="H168" s="502">
        <v>52360</v>
      </c>
      <c r="I168" s="415">
        <v>2442.76963385</v>
      </c>
      <c r="J168" s="415">
        <v>4170</v>
      </c>
      <c r="K168" s="415">
        <v>3406.78</v>
      </c>
      <c r="L168" s="415">
        <v>2087.83</v>
      </c>
      <c r="M168" s="415">
        <v>2059.2199999999998</v>
      </c>
      <c r="N168" s="415">
        <v>2048.39</v>
      </c>
      <c r="O168" s="415">
        <v>2010.91</v>
      </c>
      <c r="P168" s="415">
        <v>1995.72</v>
      </c>
      <c r="Q168" s="481">
        <f t="shared" si="48"/>
        <v>1727.23036615</v>
      </c>
      <c r="S168" s="399"/>
      <c r="T168" s="399"/>
      <c r="U168" s="399"/>
    </row>
    <row r="169" spans="1:21" outlineLevel="2" x14ac:dyDescent="0.3">
      <c r="A169" s="366" t="str">
        <f>IFERROR(VLOOKUP(RIGHT(E169,3)+0,[1]SchLocTable!$A$2:$B$47,2,FALSE)," ")</f>
        <v>Hooker</v>
      </c>
      <c r="B169" s="366" t="str">
        <f>VLOOKUP(VALUE(D169),$D$3:F$106,3,FALSE)</f>
        <v>Principals</v>
      </c>
      <c r="C169" t="s">
        <v>314</v>
      </c>
      <c r="D169">
        <v>800</v>
      </c>
      <c r="E169" t="s">
        <v>333</v>
      </c>
      <c r="F169" t="s">
        <v>316</v>
      </c>
      <c r="G169">
        <v>1</v>
      </c>
      <c r="H169" s="502">
        <v>51000</v>
      </c>
      <c r="I169" s="415">
        <v>260517.03404999996</v>
      </c>
      <c r="J169" s="415">
        <v>179925.59</v>
      </c>
      <c r="K169" s="415">
        <v>268549.56</v>
      </c>
      <c r="L169" s="415">
        <v>196360.51</v>
      </c>
      <c r="M169" s="415">
        <v>155192.85</v>
      </c>
      <c r="N169" s="415">
        <v>141826.35999999999</v>
      </c>
      <c r="O169" s="415">
        <v>139038.87</v>
      </c>
      <c r="P169" s="415">
        <v>137331.12</v>
      </c>
      <c r="Q169" s="481">
        <f t="shared" si="48"/>
        <v>-80591.444049999962</v>
      </c>
      <c r="S169" s="399"/>
      <c r="T169" s="399"/>
      <c r="U169" s="399"/>
    </row>
    <row r="170" spans="1:21" outlineLevel="2" x14ac:dyDescent="0.3">
      <c r="A170" s="366" t="str">
        <f>IFERROR(VLOOKUP(RIGHT(E170,3)+0,[1]SchLocTable!$A$2:$B$47,2,FALSE)," ")</f>
        <v>Hooker</v>
      </c>
      <c r="B170" s="366" t="str">
        <f>VLOOKUP(VALUE(D170),$D$3:F$106,3,FALSE)</f>
        <v>Principals</v>
      </c>
      <c r="C170" t="s">
        <v>314</v>
      </c>
      <c r="D170">
        <v>800</v>
      </c>
      <c r="E170" t="s">
        <v>333</v>
      </c>
      <c r="F170" t="s">
        <v>334</v>
      </c>
      <c r="G170" t="s">
        <v>319</v>
      </c>
      <c r="H170" s="502">
        <v>51400</v>
      </c>
      <c r="I170" s="415">
        <v>0</v>
      </c>
      <c r="J170" s="415">
        <v>0</v>
      </c>
      <c r="K170" s="415">
        <v>0</v>
      </c>
      <c r="L170" s="415">
        <v>900</v>
      </c>
      <c r="M170" s="415">
        <v>0</v>
      </c>
      <c r="N170" s="415">
        <v>0</v>
      </c>
      <c r="O170" s="415">
        <v>0</v>
      </c>
      <c r="P170" s="415">
        <v>0</v>
      </c>
      <c r="Q170" s="481">
        <f t="shared" si="48"/>
        <v>0</v>
      </c>
      <c r="S170" s="399"/>
      <c r="T170" s="399"/>
      <c r="U170" s="399"/>
    </row>
    <row r="171" spans="1:21" outlineLevel="2" x14ac:dyDescent="0.3">
      <c r="A171" s="366" t="str">
        <f>IFERROR(VLOOKUP(RIGHT(E171,3)+0,[1]SchLocTable!$A$2:$B$47,2,FALSE)," ")</f>
        <v>Hooker</v>
      </c>
      <c r="B171" s="366" t="str">
        <f>VLOOKUP(VALUE(D171),$D$3:F$106,3,FALSE)</f>
        <v>Principals</v>
      </c>
      <c r="C171" t="s">
        <v>314</v>
      </c>
      <c r="D171">
        <v>800</v>
      </c>
      <c r="E171" t="s">
        <v>333</v>
      </c>
      <c r="F171" t="s">
        <v>321</v>
      </c>
      <c r="G171" t="s">
        <v>319</v>
      </c>
      <c r="H171" s="502">
        <v>52917</v>
      </c>
      <c r="I171" s="415">
        <v>50222.328000000001</v>
      </c>
      <c r="J171" s="415">
        <v>39404.44</v>
      </c>
      <c r="K171" s="415">
        <v>58854.66</v>
      </c>
      <c r="L171" s="415">
        <v>30673.759999999998</v>
      </c>
      <c r="M171" s="415">
        <v>30248.2</v>
      </c>
      <c r="N171" s="415">
        <v>28305.59</v>
      </c>
      <c r="O171" s="415">
        <v>27097.64</v>
      </c>
      <c r="P171" s="415">
        <v>25779.439999999999</v>
      </c>
      <c r="Q171" s="481">
        <f t="shared" si="48"/>
        <v>-10817.887999999999</v>
      </c>
      <c r="S171" s="399"/>
      <c r="T171" s="399"/>
      <c r="U171" s="399"/>
    </row>
    <row r="172" spans="1:21" outlineLevel="2" x14ac:dyDescent="0.3">
      <c r="A172" s="366" t="str">
        <f>IFERROR(VLOOKUP(RIGHT(E172,3)+0,[1]SchLocTable!$A$2:$B$47,2,FALSE)," ")</f>
        <v>Hooker</v>
      </c>
      <c r="B172" s="366" t="str">
        <f>VLOOKUP(VALUE(D172),$D$3:F$106,3,FALSE)</f>
        <v>Principals</v>
      </c>
      <c r="C172" t="s">
        <v>314</v>
      </c>
      <c r="D172">
        <v>800</v>
      </c>
      <c r="E172" t="s">
        <v>333</v>
      </c>
      <c r="F172" t="s">
        <v>318</v>
      </c>
      <c r="G172" t="s">
        <v>319</v>
      </c>
      <c r="H172" s="502">
        <v>51140</v>
      </c>
      <c r="I172" s="415">
        <v>1300</v>
      </c>
      <c r="J172" s="415">
        <v>0</v>
      </c>
      <c r="K172" s="415">
        <v>1300</v>
      </c>
      <c r="L172" s="415">
        <v>1100</v>
      </c>
      <c r="M172" s="415">
        <v>1100</v>
      </c>
      <c r="N172" s="415">
        <v>1100</v>
      </c>
      <c r="O172" s="415">
        <v>1100</v>
      </c>
      <c r="P172" s="415">
        <v>0</v>
      </c>
      <c r="Q172" s="481">
        <f t="shared" si="48"/>
        <v>-1300</v>
      </c>
      <c r="S172" s="399"/>
      <c r="T172" s="399"/>
      <c r="U172" s="399"/>
    </row>
    <row r="173" spans="1:21" outlineLevel="2" x14ac:dyDescent="0.3">
      <c r="A173" s="366" t="str">
        <f>IFERROR(VLOOKUP(RIGHT(E173,3)+0,[1]SchLocTable!$A$2:$B$47,2,FALSE)," ")</f>
        <v>Hooker</v>
      </c>
      <c r="B173" s="366" t="str">
        <f>VLOOKUP(VALUE(D173),$D$3:F$106,3,FALSE)</f>
        <v>Principals</v>
      </c>
      <c r="C173" t="s">
        <v>314</v>
      </c>
      <c r="D173">
        <v>800</v>
      </c>
      <c r="E173" t="s">
        <v>333</v>
      </c>
      <c r="F173" t="s">
        <v>320</v>
      </c>
      <c r="G173" t="s">
        <v>319</v>
      </c>
      <c r="H173" s="502">
        <v>52360</v>
      </c>
      <c r="I173" s="415">
        <v>3777.4969937249994</v>
      </c>
      <c r="J173" s="415">
        <v>2542.9</v>
      </c>
      <c r="K173" s="415">
        <v>3575.47</v>
      </c>
      <c r="L173" s="415">
        <v>2715.29</v>
      </c>
      <c r="M173" s="415">
        <v>2111.11</v>
      </c>
      <c r="N173" s="415">
        <v>1928.58</v>
      </c>
      <c r="O173" s="415">
        <v>1896.91</v>
      </c>
      <c r="P173" s="415">
        <v>1867.13</v>
      </c>
      <c r="Q173" s="481">
        <f t="shared" si="48"/>
        <v>-1234.5969937249993</v>
      </c>
      <c r="S173" s="399"/>
      <c r="T173" s="399"/>
      <c r="U173" s="399"/>
    </row>
    <row r="174" spans="1:21" outlineLevel="2" x14ac:dyDescent="0.3">
      <c r="A174" s="366" t="str">
        <f>IFERROR(VLOOKUP(RIGHT(E174,3)+0,[1]SchLocTable!$A$2:$B$47,2,FALSE)," ")</f>
        <v>Batalla</v>
      </c>
      <c r="B174" s="366" t="str">
        <f>VLOOKUP(VALUE(D174),$D$3:F$106,3,FALSE)</f>
        <v>Principals</v>
      </c>
      <c r="C174" t="s">
        <v>314</v>
      </c>
      <c r="D174">
        <v>800</v>
      </c>
      <c r="E174" t="s">
        <v>335</v>
      </c>
      <c r="F174" t="s">
        <v>316</v>
      </c>
      <c r="G174">
        <v>2</v>
      </c>
      <c r="H174" s="502">
        <v>51000</v>
      </c>
      <c r="I174" s="415">
        <v>353595.09184999997</v>
      </c>
      <c r="J174" s="415">
        <v>342486.72</v>
      </c>
      <c r="K174" s="415">
        <v>458791.09</v>
      </c>
      <c r="L174" s="415">
        <v>268062.34000000003</v>
      </c>
      <c r="M174" s="415">
        <v>296781</v>
      </c>
      <c r="N174" s="415">
        <v>276222.08000000002</v>
      </c>
      <c r="O174" s="415">
        <v>375939.14</v>
      </c>
      <c r="P174" s="415">
        <v>357959.14</v>
      </c>
      <c r="Q174" s="481">
        <f t="shared" si="48"/>
        <v>-11108.371849999996</v>
      </c>
      <c r="S174" s="399"/>
      <c r="T174" s="399"/>
      <c r="U174" s="399"/>
    </row>
    <row r="175" spans="1:21" outlineLevel="2" x14ac:dyDescent="0.3">
      <c r="A175" s="366" t="str">
        <f>IFERROR(VLOOKUP(RIGHT(E175,3)+0,[1]SchLocTable!$A$2:$B$47,2,FALSE)," ")</f>
        <v>Batalla</v>
      </c>
      <c r="B175" s="366" t="str">
        <f>VLOOKUP(VALUE(D175),$D$3:F$106,3,FALSE)</f>
        <v>Principals</v>
      </c>
      <c r="C175" t="s">
        <v>314</v>
      </c>
      <c r="D175">
        <v>800</v>
      </c>
      <c r="E175" t="s">
        <v>335</v>
      </c>
      <c r="F175" t="s">
        <v>321</v>
      </c>
      <c r="G175" t="s">
        <v>319</v>
      </c>
      <c r="H175" s="502">
        <v>52917</v>
      </c>
      <c r="I175" s="415">
        <v>14096.160000000002</v>
      </c>
      <c r="J175" s="415">
        <v>11674.89</v>
      </c>
      <c r="K175" s="415">
        <v>42215.62</v>
      </c>
      <c r="L175" s="415">
        <v>35761.94</v>
      </c>
      <c r="M175" s="415">
        <v>13684.74</v>
      </c>
      <c r="N175" s="415">
        <v>37739.01</v>
      </c>
      <c r="O175" s="415">
        <v>39451.199999999997</v>
      </c>
      <c r="P175" s="415">
        <v>42800.93</v>
      </c>
      <c r="Q175" s="481">
        <f t="shared" si="48"/>
        <v>-2421.2700000000023</v>
      </c>
      <c r="S175" s="399"/>
      <c r="T175" s="399"/>
      <c r="U175" s="399"/>
    </row>
    <row r="176" spans="1:21" outlineLevel="2" x14ac:dyDescent="0.3">
      <c r="A176" s="366" t="str">
        <f>IFERROR(VLOOKUP(RIGHT(E176,3)+0,[1]SchLocTable!$A$2:$B$47,2,FALSE)," ")</f>
        <v>Batalla</v>
      </c>
      <c r="B176" s="366" t="str">
        <f>VLOOKUP(VALUE(D176),$D$3:F$106,3,FALSE)</f>
        <v>Principals</v>
      </c>
      <c r="C176" t="s">
        <v>314</v>
      </c>
      <c r="D176">
        <v>800</v>
      </c>
      <c r="E176" t="s">
        <v>335</v>
      </c>
      <c r="F176" t="s">
        <v>318</v>
      </c>
      <c r="G176" t="s">
        <v>319</v>
      </c>
      <c r="H176" s="502">
        <v>51140</v>
      </c>
      <c r="I176" s="415">
        <v>1400</v>
      </c>
      <c r="J176" s="415">
        <v>0</v>
      </c>
      <c r="K176" s="415">
        <v>2700</v>
      </c>
      <c r="L176" s="415">
        <v>0</v>
      </c>
      <c r="M176" s="415">
        <v>3500</v>
      </c>
      <c r="N176" s="415">
        <v>2400</v>
      </c>
      <c r="O176" s="415">
        <v>2400</v>
      </c>
      <c r="P176" s="415">
        <v>0</v>
      </c>
      <c r="Q176" s="481">
        <f t="shared" si="48"/>
        <v>-1400</v>
      </c>
      <c r="S176" s="399"/>
      <c r="T176" s="399"/>
      <c r="U176" s="399"/>
    </row>
    <row r="177" spans="1:21" outlineLevel="2" x14ac:dyDescent="0.3">
      <c r="A177" s="366" t="str">
        <f>IFERROR(VLOOKUP(RIGHT(E177,3)+0,[1]SchLocTable!$A$2:$B$47,2,FALSE)," ")</f>
        <v>Batalla</v>
      </c>
      <c r="B177" s="366" t="str">
        <f>VLOOKUP(VALUE(D177),$D$3:F$106,3,FALSE)</f>
        <v>Principals</v>
      </c>
      <c r="C177" t="s">
        <v>314</v>
      </c>
      <c r="D177">
        <v>800</v>
      </c>
      <c r="E177" t="s">
        <v>335</v>
      </c>
      <c r="F177" t="s">
        <v>320</v>
      </c>
      <c r="G177" t="s">
        <v>319</v>
      </c>
      <c r="H177" s="502">
        <v>52360</v>
      </c>
      <c r="I177" s="415">
        <v>5127.128831824999</v>
      </c>
      <c r="J177" s="415">
        <v>4957.2700000000004</v>
      </c>
      <c r="K177" s="415">
        <v>6461.58</v>
      </c>
      <c r="L177" s="415">
        <v>3727.94</v>
      </c>
      <c r="M177" s="415">
        <v>4412.1099999999997</v>
      </c>
      <c r="N177" s="415">
        <v>3967.98</v>
      </c>
      <c r="O177" s="415">
        <v>5603.49</v>
      </c>
      <c r="P177" s="415">
        <v>5708.87</v>
      </c>
      <c r="Q177" s="481">
        <f t="shared" si="48"/>
        <v>-169.85883182499856</v>
      </c>
      <c r="S177" s="399"/>
      <c r="T177" s="399"/>
      <c r="U177" s="399"/>
    </row>
    <row r="178" spans="1:21" outlineLevel="2" x14ac:dyDescent="0.3">
      <c r="A178" s="366" t="str">
        <f>IFERROR(VLOOKUP(RIGHT(E178,3)+0,[1]SchLocTable!$A$2:$B$47,2,FALSE)," ")</f>
        <v>Info Tech HS</v>
      </c>
      <c r="B178" s="366" t="str">
        <f>VLOOKUP(VALUE(D178),$D$3:F$106,3,FALSE)</f>
        <v>Principals</v>
      </c>
      <c r="C178" t="s">
        <v>314</v>
      </c>
      <c r="D178">
        <v>800</v>
      </c>
      <c r="E178" t="s">
        <v>336</v>
      </c>
      <c r="F178" t="s">
        <v>318</v>
      </c>
      <c r="G178" t="s">
        <v>319</v>
      </c>
      <c r="H178" s="502">
        <v>51140</v>
      </c>
      <c r="I178" s="415">
        <v>0</v>
      </c>
      <c r="J178" s="415">
        <v>0</v>
      </c>
      <c r="K178" s="415">
        <v>0</v>
      </c>
      <c r="L178" s="415">
        <v>2900</v>
      </c>
      <c r="M178" s="415">
        <v>0</v>
      </c>
      <c r="N178" s="415">
        <v>0</v>
      </c>
      <c r="O178" s="415">
        <v>0</v>
      </c>
      <c r="P178" s="415">
        <v>0</v>
      </c>
      <c r="Q178" s="481">
        <f t="shared" si="48"/>
        <v>0</v>
      </c>
      <c r="S178" s="399"/>
      <c r="T178" s="399"/>
      <c r="U178" s="399"/>
    </row>
    <row r="179" spans="1:21" outlineLevel="2" x14ac:dyDescent="0.3">
      <c r="A179" s="366" t="str">
        <f>IFERROR(VLOOKUP(RIGHT(E179,3)+0,[1]SchLocTable!$A$2:$B$47,2,FALSE)," ")</f>
        <v>Info Tech HS</v>
      </c>
      <c r="B179" s="366" t="str">
        <f>VLOOKUP(VALUE(D179),$D$3:F$106,3,FALSE)</f>
        <v>Principals</v>
      </c>
      <c r="C179" t="s">
        <v>314</v>
      </c>
      <c r="D179">
        <v>800</v>
      </c>
      <c r="E179" t="s">
        <v>336</v>
      </c>
      <c r="F179" t="s">
        <v>320</v>
      </c>
      <c r="G179" t="s">
        <v>319</v>
      </c>
      <c r="H179" s="502">
        <v>52360</v>
      </c>
      <c r="I179" s="415">
        <v>0</v>
      </c>
      <c r="J179" s="415">
        <v>0</v>
      </c>
      <c r="K179" s="415">
        <v>0</v>
      </c>
      <c r="L179" s="415">
        <v>42.05</v>
      </c>
      <c r="M179" s="415">
        <v>0</v>
      </c>
      <c r="N179" s="415">
        <v>0</v>
      </c>
      <c r="O179" s="415">
        <v>0</v>
      </c>
      <c r="P179" s="415">
        <v>0</v>
      </c>
      <c r="Q179" s="481">
        <f t="shared" si="48"/>
        <v>0</v>
      </c>
      <c r="S179" s="399"/>
      <c r="T179" s="399"/>
      <c r="U179" s="399"/>
    </row>
    <row r="180" spans="1:21" outlineLevel="2" x14ac:dyDescent="0.3">
      <c r="A180" s="366" t="str">
        <f>IFERROR(VLOOKUP(RIGHT(E180,3)+0,[1]SchLocTable!$A$2:$B$47,2,FALSE)," ")</f>
        <v>BMA HS</v>
      </c>
      <c r="B180" s="366" t="str">
        <f>VLOOKUP(VALUE(D180),$D$3:F$106,3,FALSE)</f>
        <v>Principals</v>
      </c>
      <c r="C180" t="s">
        <v>314</v>
      </c>
      <c r="D180">
        <v>800</v>
      </c>
      <c r="E180" t="s">
        <v>337</v>
      </c>
      <c r="F180" t="s">
        <v>316</v>
      </c>
      <c r="G180">
        <v>2</v>
      </c>
      <c r="H180" s="502">
        <v>51000</v>
      </c>
      <c r="I180" s="415">
        <v>325211.60490000003</v>
      </c>
      <c r="J180" s="415">
        <v>313194.78999999998</v>
      </c>
      <c r="K180" s="415">
        <v>274734.40999999997</v>
      </c>
      <c r="L180" s="415">
        <v>164623.78</v>
      </c>
      <c r="M180" s="415">
        <v>162616.04</v>
      </c>
      <c r="N180" s="415">
        <v>158353.39000000001</v>
      </c>
      <c r="O180" s="415">
        <v>148308.41</v>
      </c>
      <c r="P180" s="415">
        <v>147386.85999999999</v>
      </c>
      <c r="Q180" s="481">
        <f t="shared" si="48"/>
        <v>-12016.814900000056</v>
      </c>
      <c r="S180" s="399"/>
      <c r="T180" s="399"/>
      <c r="U180" s="399"/>
    </row>
    <row r="181" spans="1:21" outlineLevel="2" x14ac:dyDescent="0.3">
      <c r="A181" s="366" t="str">
        <f>IFERROR(VLOOKUP(RIGHT(E181,3)+0,[1]SchLocTable!$A$2:$B$47,2,FALSE)," ")</f>
        <v>BMA HS</v>
      </c>
      <c r="B181" s="366" t="str">
        <f>VLOOKUP(VALUE(D181),$D$3:F$106,3,FALSE)</f>
        <v>Principals</v>
      </c>
      <c r="C181" t="s">
        <v>314</v>
      </c>
      <c r="D181">
        <v>800</v>
      </c>
      <c r="E181" t="s">
        <v>337</v>
      </c>
      <c r="F181" t="s">
        <v>321</v>
      </c>
      <c r="G181" t="s">
        <v>319</v>
      </c>
      <c r="H181" s="502">
        <v>52917</v>
      </c>
      <c r="I181" s="415">
        <v>75676.847999999998</v>
      </c>
      <c r="J181" s="415">
        <v>63549.2</v>
      </c>
      <c r="K181" s="415">
        <v>60047.86</v>
      </c>
      <c r="L181" s="415">
        <v>17585.240000000002</v>
      </c>
      <c r="M181" s="415">
        <v>10213.83</v>
      </c>
      <c r="N181" s="415">
        <v>9556.5300000000007</v>
      </c>
      <c r="O181" s="415">
        <v>9149.09</v>
      </c>
      <c r="P181" s="415">
        <v>8703.07</v>
      </c>
      <c r="Q181" s="481">
        <f t="shared" si="48"/>
        <v>-12127.648000000001</v>
      </c>
      <c r="S181" s="399"/>
      <c r="T181" s="399"/>
      <c r="U181" s="399"/>
    </row>
    <row r="182" spans="1:21" outlineLevel="2" x14ac:dyDescent="0.3">
      <c r="A182" s="366" t="str">
        <f>IFERROR(VLOOKUP(RIGHT(E182,3)+0,[1]SchLocTable!$A$2:$B$47,2,FALSE)," ")</f>
        <v>BMA HS</v>
      </c>
      <c r="B182" s="366" t="str">
        <f>VLOOKUP(VALUE(D182),$D$3:F$106,3,FALSE)</f>
        <v>Principals</v>
      </c>
      <c r="C182" t="s">
        <v>314</v>
      </c>
      <c r="D182">
        <v>800</v>
      </c>
      <c r="E182" t="s">
        <v>337</v>
      </c>
      <c r="F182" t="s">
        <v>318</v>
      </c>
      <c r="G182" t="s">
        <v>319</v>
      </c>
      <c r="H182" s="502">
        <v>51140</v>
      </c>
      <c r="I182" s="415">
        <v>0</v>
      </c>
      <c r="J182" s="415">
        <v>0</v>
      </c>
      <c r="K182" s="415">
        <v>0</v>
      </c>
      <c r="L182" s="415">
        <v>1400</v>
      </c>
      <c r="M182" s="415">
        <v>1400</v>
      </c>
      <c r="N182" s="415">
        <v>1400</v>
      </c>
      <c r="O182" s="415">
        <v>1300</v>
      </c>
      <c r="P182" s="415">
        <v>1300</v>
      </c>
      <c r="Q182" s="481">
        <f t="shared" si="48"/>
        <v>0</v>
      </c>
      <c r="S182" s="399"/>
      <c r="T182" s="399"/>
      <c r="U182" s="399"/>
    </row>
    <row r="183" spans="1:21" outlineLevel="2" x14ac:dyDescent="0.3">
      <c r="A183" s="366" t="str">
        <f>IFERROR(VLOOKUP(RIGHT(E183,3)+0,[1]SchLocTable!$A$2:$B$47,2,FALSE)," ")</f>
        <v>BMA HS</v>
      </c>
      <c r="B183" s="366" t="str">
        <f>VLOOKUP(VALUE(D183),$D$3:F$106,3,FALSE)</f>
        <v>Principals</v>
      </c>
      <c r="C183" t="s">
        <v>314</v>
      </c>
      <c r="D183">
        <v>800</v>
      </c>
      <c r="E183" t="s">
        <v>337</v>
      </c>
      <c r="F183" t="s">
        <v>320</v>
      </c>
      <c r="G183" t="s">
        <v>319</v>
      </c>
      <c r="H183" s="502">
        <v>52360</v>
      </c>
      <c r="I183" s="415">
        <v>4715.5682710500005</v>
      </c>
      <c r="J183" s="415">
        <v>4163</v>
      </c>
      <c r="K183" s="415">
        <v>3610.8</v>
      </c>
      <c r="L183" s="415">
        <v>2339.5500000000002</v>
      </c>
      <c r="M183" s="415">
        <v>2370.85</v>
      </c>
      <c r="N183" s="415">
        <v>2296.77</v>
      </c>
      <c r="O183" s="415">
        <v>2150.65</v>
      </c>
      <c r="P183" s="415">
        <v>2140.65</v>
      </c>
      <c r="Q183" s="481">
        <f t="shared" si="48"/>
        <v>-552.56827105000048</v>
      </c>
      <c r="S183" s="399"/>
      <c r="T183" s="399"/>
      <c r="U183" s="399"/>
    </row>
    <row r="184" spans="1:21" outlineLevel="2" x14ac:dyDescent="0.3">
      <c r="A184" s="366" t="str">
        <f>IFERROR(VLOOKUP(RIGHT(E184,3)+0,[1]SchLocTable!$A$2:$B$47,2,FALSE)," ")</f>
        <v>Park City Magnet</v>
      </c>
      <c r="B184" s="366" t="str">
        <f>VLOOKUP(VALUE(D184),$D$3:F$106,3,FALSE)</f>
        <v>Principals</v>
      </c>
      <c r="C184" t="s">
        <v>314</v>
      </c>
      <c r="D184">
        <v>800</v>
      </c>
      <c r="E184" t="s">
        <v>338</v>
      </c>
      <c r="F184" t="s">
        <v>316</v>
      </c>
      <c r="G184">
        <v>1</v>
      </c>
      <c r="H184" s="502">
        <v>51000</v>
      </c>
      <c r="I184" s="415">
        <v>171514.31569999998</v>
      </c>
      <c r="J184" s="415">
        <v>177711.49</v>
      </c>
      <c r="K184" s="415">
        <v>247601.53</v>
      </c>
      <c r="L184" s="415">
        <v>138036.89000000001</v>
      </c>
      <c r="M184" s="415">
        <v>136369.03</v>
      </c>
      <c r="N184" s="415">
        <v>133856.56</v>
      </c>
      <c r="O184" s="415">
        <v>141805.19</v>
      </c>
      <c r="P184" s="415">
        <v>140061.59</v>
      </c>
      <c r="Q184" s="481">
        <f t="shared" si="48"/>
        <v>6197.1743000000133</v>
      </c>
      <c r="S184" s="399"/>
      <c r="T184" s="399"/>
      <c r="U184" s="399"/>
    </row>
    <row r="185" spans="1:21" outlineLevel="2" x14ac:dyDescent="0.3">
      <c r="A185" s="366" t="str">
        <f>IFERROR(VLOOKUP(RIGHT(E185,3)+0,[1]SchLocTable!$A$2:$B$47,2,FALSE)," ")</f>
        <v>Park City Magnet</v>
      </c>
      <c r="B185" s="366" t="str">
        <f>VLOOKUP(VALUE(D185),$D$3:F$106,3,FALSE)</f>
        <v>Principals</v>
      </c>
      <c r="C185" t="s">
        <v>314</v>
      </c>
      <c r="D185">
        <v>800</v>
      </c>
      <c r="E185" t="s">
        <v>338</v>
      </c>
      <c r="F185" t="s">
        <v>321</v>
      </c>
      <c r="G185" t="s">
        <v>319</v>
      </c>
      <c r="H185" s="502">
        <v>52917</v>
      </c>
      <c r="I185" s="415">
        <v>41742.167999999998</v>
      </c>
      <c r="J185" s="415">
        <v>35810.620000000003</v>
      </c>
      <c r="K185" s="415">
        <v>40569.279999999999</v>
      </c>
      <c r="L185" s="415">
        <v>29828.32</v>
      </c>
      <c r="M185" s="415">
        <v>29423.98</v>
      </c>
      <c r="N185" s="415">
        <v>22123.29</v>
      </c>
      <c r="O185" s="415">
        <v>9149.09</v>
      </c>
      <c r="P185" s="415">
        <v>8703.07</v>
      </c>
      <c r="Q185" s="481">
        <f t="shared" si="48"/>
        <v>-5931.5479999999952</v>
      </c>
      <c r="S185" s="399"/>
      <c r="T185" s="399"/>
      <c r="U185" s="399"/>
    </row>
    <row r="186" spans="1:21" outlineLevel="2" x14ac:dyDescent="0.3">
      <c r="A186" s="366" t="str">
        <f>IFERROR(VLOOKUP(RIGHT(E186,3)+0,[1]SchLocTable!$A$2:$B$47,2,FALSE)," ")</f>
        <v>Park City Magnet</v>
      </c>
      <c r="B186" s="366" t="str">
        <f>VLOOKUP(VALUE(D186),$D$3:F$106,3,FALSE)</f>
        <v>Principals</v>
      </c>
      <c r="C186" t="s">
        <v>314</v>
      </c>
      <c r="D186">
        <v>800</v>
      </c>
      <c r="E186" t="s">
        <v>338</v>
      </c>
      <c r="F186" t="s">
        <v>320</v>
      </c>
      <c r="G186" t="s">
        <v>319</v>
      </c>
      <c r="H186" s="502">
        <v>52360</v>
      </c>
      <c r="I186" s="415">
        <v>2486.9575776499996</v>
      </c>
      <c r="J186" s="415">
        <v>2523.5500000000002</v>
      </c>
      <c r="K186" s="415">
        <v>3350.53</v>
      </c>
      <c r="L186" s="415">
        <v>1828.93</v>
      </c>
      <c r="M186" s="415">
        <v>1809.29</v>
      </c>
      <c r="N186" s="415">
        <v>1816.53</v>
      </c>
      <c r="O186" s="415">
        <v>2016.77</v>
      </c>
      <c r="P186" s="415">
        <v>1993.83</v>
      </c>
      <c r="Q186" s="481">
        <f t="shared" si="48"/>
        <v>36.592422350000561</v>
      </c>
      <c r="S186" s="399"/>
      <c r="T186" s="399"/>
      <c r="U186" s="399"/>
    </row>
    <row r="187" spans="1:21" outlineLevel="2" x14ac:dyDescent="0.3">
      <c r="A187" s="366" t="str">
        <f>IFERROR(VLOOKUP(RIGHT(E187,3)+0,[1]SchLocTable!$A$2:$B$47,2,FALSE)," ")</f>
        <v>Madison</v>
      </c>
      <c r="B187" s="366" t="str">
        <f>VLOOKUP(VALUE(D187),$D$3:F$106,3,FALSE)</f>
        <v>Principals</v>
      </c>
      <c r="C187" t="s">
        <v>314</v>
      </c>
      <c r="D187">
        <v>800</v>
      </c>
      <c r="E187" t="s">
        <v>339</v>
      </c>
      <c r="F187" t="s">
        <v>316</v>
      </c>
      <c r="G187">
        <v>2</v>
      </c>
      <c r="H187" s="502">
        <v>51000</v>
      </c>
      <c r="I187" s="415">
        <v>320041.52634999994</v>
      </c>
      <c r="J187" s="415">
        <v>293946.09000000003</v>
      </c>
      <c r="K187" s="415">
        <v>271187.43</v>
      </c>
      <c r="L187" s="415">
        <v>158560.51</v>
      </c>
      <c r="M187" s="415">
        <v>156626.45000000001</v>
      </c>
      <c r="N187" s="415">
        <v>152400.75</v>
      </c>
      <c r="O187" s="415">
        <v>141805.19</v>
      </c>
      <c r="P187" s="415">
        <v>166137.06</v>
      </c>
      <c r="Q187" s="481">
        <f t="shared" si="48"/>
        <v>-26095.436349999916</v>
      </c>
      <c r="S187" s="399"/>
      <c r="T187" s="399"/>
      <c r="U187" s="399"/>
    </row>
    <row r="188" spans="1:21" outlineLevel="2" x14ac:dyDescent="0.3">
      <c r="A188" s="366" t="str">
        <f>IFERROR(VLOOKUP(RIGHT(E188,3)+0,[1]SchLocTable!$A$2:$B$47,2,FALSE)," ")</f>
        <v>Madison</v>
      </c>
      <c r="B188" s="366" t="str">
        <f>VLOOKUP(VALUE(D188),$D$3:F$106,3,FALSE)</f>
        <v>Principals</v>
      </c>
      <c r="C188" t="s">
        <v>314</v>
      </c>
      <c r="D188">
        <v>800</v>
      </c>
      <c r="E188" t="s">
        <v>339</v>
      </c>
      <c r="F188" t="s">
        <v>318</v>
      </c>
      <c r="G188" t="s">
        <v>319</v>
      </c>
      <c r="H188" s="502">
        <v>51140</v>
      </c>
      <c r="I188" s="415">
        <v>1300</v>
      </c>
      <c r="J188" s="415">
        <v>0</v>
      </c>
      <c r="K188" s="415">
        <v>1300</v>
      </c>
      <c r="L188" s="415">
        <v>1300</v>
      </c>
      <c r="M188" s="415">
        <v>1300</v>
      </c>
      <c r="N188" s="415">
        <v>1300</v>
      </c>
      <c r="O188" s="415">
        <v>1100</v>
      </c>
      <c r="P188" s="415">
        <v>1100</v>
      </c>
      <c r="Q188" s="481">
        <f t="shared" si="48"/>
        <v>-1300</v>
      </c>
      <c r="S188" s="399"/>
      <c r="T188" s="399"/>
      <c r="U188" s="399"/>
    </row>
    <row r="189" spans="1:21" outlineLevel="2" x14ac:dyDescent="0.3">
      <c r="A189" s="366" t="str">
        <f>IFERROR(VLOOKUP(RIGHT(E189,3)+0,[1]SchLocTable!$A$2:$B$47,2,FALSE)," ")</f>
        <v>Madison</v>
      </c>
      <c r="B189" s="366" t="str">
        <f>VLOOKUP(VALUE(D189),$D$3:F$106,3,FALSE)</f>
        <v>Principals</v>
      </c>
      <c r="C189" t="s">
        <v>314</v>
      </c>
      <c r="D189">
        <v>800</v>
      </c>
      <c r="E189" t="s">
        <v>339</v>
      </c>
      <c r="F189" t="s">
        <v>320</v>
      </c>
      <c r="G189" t="s">
        <v>319</v>
      </c>
      <c r="H189" s="502">
        <v>52360</v>
      </c>
      <c r="I189" s="415">
        <v>4640.6021320749996</v>
      </c>
      <c r="J189" s="415">
        <v>4265.17</v>
      </c>
      <c r="K189" s="415">
        <v>3966.9</v>
      </c>
      <c r="L189" s="415">
        <v>2325.2600000000002</v>
      </c>
      <c r="M189" s="415">
        <v>2296.81</v>
      </c>
      <c r="N189" s="415">
        <v>2235.31</v>
      </c>
      <c r="O189" s="415">
        <v>2077.2600000000002</v>
      </c>
      <c r="P189" s="415">
        <v>2403.21</v>
      </c>
      <c r="Q189" s="481">
        <f t="shared" si="48"/>
        <v>-375.43213207499957</v>
      </c>
      <c r="S189" s="399"/>
      <c r="T189" s="399"/>
      <c r="U189" s="399"/>
    </row>
    <row r="190" spans="1:21" outlineLevel="2" x14ac:dyDescent="0.3">
      <c r="A190" s="366" t="str">
        <f>IFERROR(VLOOKUP(RIGHT(E190,3)+0,[1]SchLocTable!$A$2:$B$47,2,FALSE)," ")</f>
        <v>Classical Studies Academy</v>
      </c>
      <c r="B190" s="366" t="str">
        <f>VLOOKUP(VALUE(D190),$D$3:F$106,3,FALSE)</f>
        <v>Principals</v>
      </c>
      <c r="C190" t="s">
        <v>314</v>
      </c>
      <c r="D190">
        <v>800</v>
      </c>
      <c r="E190" t="s">
        <v>340</v>
      </c>
      <c r="F190" t="s">
        <v>316</v>
      </c>
      <c r="G190">
        <v>2</v>
      </c>
      <c r="H190" s="502">
        <v>51000</v>
      </c>
      <c r="I190" s="415">
        <v>349121.37259999989</v>
      </c>
      <c r="J190" s="415">
        <v>350897.54</v>
      </c>
      <c r="K190" s="415">
        <v>430280.91</v>
      </c>
      <c r="L190" s="415">
        <v>300463.07</v>
      </c>
      <c r="M190" s="415">
        <v>311819.3</v>
      </c>
      <c r="N190" s="415">
        <v>295455.15999999997</v>
      </c>
      <c r="O190" s="415">
        <v>289976.17</v>
      </c>
      <c r="P190" s="415">
        <v>284681.59000000003</v>
      </c>
      <c r="Q190" s="481">
        <f t="shared" si="48"/>
        <v>1776.167400000093</v>
      </c>
      <c r="S190" s="399"/>
      <c r="T190" s="399"/>
      <c r="U190" s="399"/>
    </row>
    <row r="191" spans="1:21" outlineLevel="2" x14ac:dyDescent="0.3">
      <c r="A191" s="366" t="str">
        <f>IFERROR(VLOOKUP(RIGHT(E191,3)+0,[1]SchLocTable!$A$2:$B$47,2,FALSE)," ")</f>
        <v>Classical Studies Academy</v>
      </c>
      <c r="B191" s="366" t="str">
        <f>VLOOKUP(VALUE(D191),$D$3:F$106,3,FALSE)</f>
        <v>Principals</v>
      </c>
      <c r="C191" t="s">
        <v>314</v>
      </c>
      <c r="D191">
        <v>800</v>
      </c>
      <c r="E191" t="s">
        <v>340</v>
      </c>
      <c r="F191" t="s">
        <v>321</v>
      </c>
      <c r="G191" t="s">
        <v>319</v>
      </c>
      <c r="H191" s="502">
        <v>52917</v>
      </c>
      <c r="I191" s="415">
        <v>35535.551999999996</v>
      </c>
      <c r="J191" s="415">
        <v>32396.38</v>
      </c>
      <c r="K191" s="415">
        <v>49178.16</v>
      </c>
      <c r="L191" s="415">
        <v>27105.55</v>
      </c>
      <c r="M191" s="415">
        <v>54362.45</v>
      </c>
      <c r="N191" s="415">
        <v>50954.59</v>
      </c>
      <c r="O191" s="415">
        <v>47032.7</v>
      </c>
      <c r="P191" s="415">
        <v>33820.75</v>
      </c>
      <c r="Q191" s="481">
        <f t="shared" ref="Q191:Q254" si="49">J191-I191</f>
        <v>-3139.171999999995</v>
      </c>
      <c r="S191" s="399"/>
      <c r="T191" s="399"/>
      <c r="U191" s="399"/>
    </row>
    <row r="192" spans="1:21" outlineLevel="2" x14ac:dyDescent="0.3">
      <c r="A192" s="366" t="str">
        <f>IFERROR(VLOOKUP(RIGHT(E192,3)+0,[1]SchLocTable!$A$2:$B$47,2,FALSE)," ")</f>
        <v>Classical Studies Academy</v>
      </c>
      <c r="B192" s="366" t="str">
        <f>VLOOKUP(VALUE(D192),$D$3:F$106,3,FALSE)</f>
        <v>Principals</v>
      </c>
      <c r="C192" t="s">
        <v>314</v>
      </c>
      <c r="D192">
        <v>800</v>
      </c>
      <c r="E192" t="s">
        <v>340</v>
      </c>
      <c r="F192" t="s">
        <v>318</v>
      </c>
      <c r="G192" t="s">
        <v>319</v>
      </c>
      <c r="H192" s="502">
        <v>51140</v>
      </c>
      <c r="I192" s="415">
        <v>1500</v>
      </c>
      <c r="J192" s="415">
        <v>0</v>
      </c>
      <c r="K192" s="415">
        <v>1500</v>
      </c>
      <c r="L192" s="415">
        <v>1500</v>
      </c>
      <c r="M192" s="415">
        <v>2600</v>
      </c>
      <c r="N192" s="415">
        <v>2500</v>
      </c>
      <c r="O192" s="415">
        <v>2500</v>
      </c>
      <c r="P192" s="415">
        <v>1100</v>
      </c>
      <c r="Q192" s="481">
        <f t="shared" si="49"/>
        <v>-1500</v>
      </c>
      <c r="S192" s="399"/>
      <c r="T192" s="399"/>
      <c r="U192" s="399"/>
    </row>
    <row r="193" spans="1:21" outlineLevel="2" x14ac:dyDescent="0.3">
      <c r="A193" s="366" t="str">
        <f>IFERROR(VLOOKUP(RIGHT(E193,3)+0,[1]SchLocTable!$A$2:$B$47,2,FALSE)," ")</f>
        <v>Classical Studies Academy</v>
      </c>
      <c r="B193" s="366" t="str">
        <f>VLOOKUP(VALUE(D193),$D$3:F$106,3,FALSE)</f>
        <v>Principals</v>
      </c>
      <c r="C193" t="s">
        <v>314</v>
      </c>
      <c r="D193">
        <v>800</v>
      </c>
      <c r="E193" t="s">
        <v>340</v>
      </c>
      <c r="F193" t="s">
        <v>320</v>
      </c>
      <c r="G193" t="s">
        <v>319</v>
      </c>
      <c r="H193" s="502">
        <v>52360</v>
      </c>
      <c r="I193" s="415">
        <v>5062.2599026999987</v>
      </c>
      <c r="J193" s="415">
        <v>5057.7</v>
      </c>
      <c r="K193" s="415">
        <v>6081.48</v>
      </c>
      <c r="L193" s="415">
        <v>4329.3100000000004</v>
      </c>
      <c r="M193" s="415">
        <v>4333.8500000000004</v>
      </c>
      <c r="N193" s="415">
        <v>4098.87</v>
      </c>
      <c r="O193" s="415">
        <v>4045.26</v>
      </c>
      <c r="P193" s="415">
        <v>4054.19</v>
      </c>
      <c r="Q193" s="481">
        <f t="shared" si="49"/>
        <v>-4.5599026999989292</v>
      </c>
      <c r="S193" s="399"/>
      <c r="T193" s="399"/>
      <c r="U193" s="399"/>
    </row>
    <row r="194" spans="1:21" outlineLevel="2" x14ac:dyDescent="0.3">
      <c r="A194" s="366" t="str">
        <f>IFERROR(VLOOKUP(RIGHT(E194,3)+0,[1]SchLocTable!$A$2:$B$47,2,FALSE)," ")</f>
        <v>Tisdale</v>
      </c>
      <c r="B194" s="366" t="str">
        <f>VLOOKUP(VALUE(D194),$D$3:F$106,3,FALSE)</f>
        <v>Principals</v>
      </c>
      <c r="C194" t="s">
        <v>314</v>
      </c>
      <c r="D194">
        <v>800</v>
      </c>
      <c r="E194" t="s">
        <v>341</v>
      </c>
      <c r="F194" t="s">
        <v>316</v>
      </c>
      <c r="G194">
        <v>2</v>
      </c>
      <c r="H194" s="502">
        <v>51000</v>
      </c>
      <c r="I194" s="415">
        <v>325841.6777</v>
      </c>
      <c r="J194" s="415">
        <v>312222</v>
      </c>
      <c r="K194" s="415">
        <v>305725.23</v>
      </c>
      <c r="L194" s="415">
        <v>299730.74</v>
      </c>
      <c r="M194" s="415">
        <v>313120.64000000001</v>
      </c>
      <c r="N194" s="415">
        <v>303385.64</v>
      </c>
      <c r="O194" s="415">
        <v>290754.08</v>
      </c>
      <c r="P194" s="415">
        <v>287926.81</v>
      </c>
      <c r="Q194" s="481">
        <f t="shared" si="49"/>
        <v>-13619.6777</v>
      </c>
      <c r="S194" s="399"/>
      <c r="T194" s="399"/>
      <c r="U194" s="399"/>
    </row>
    <row r="195" spans="1:21" outlineLevel="2" x14ac:dyDescent="0.3">
      <c r="A195" s="366" t="str">
        <f>IFERROR(VLOOKUP(RIGHT(E195,3)+0,[1]SchLocTable!$A$2:$B$47,2,FALSE)," ")</f>
        <v>Tisdale</v>
      </c>
      <c r="B195" s="366" t="str">
        <f>VLOOKUP(VALUE(D195),$D$3:F$106,3,FALSE)</f>
        <v>Principals</v>
      </c>
      <c r="C195" t="s">
        <v>314</v>
      </c>
      <c r="D195">
        <v>800</v>
      </c>
      <c r="E195" t="s">
        <v>341</v>
      </c>
      <c r="F195" t="s">
        <v>321</v>
      </c>
      <c r="G195" t="s">
        <v>319</v>
      </c>
      <c r="H195" s="502">
        <v>52917</v>
      </c>
      <c r="I195" s="415">
        <v>57753.456000000006</v>
      </c>
      <c r="J195" s="415">
        <v>44261</v>
      </c>
      <c r="K195" s="415">
        <v>40878.720000000001</v>
      </c>
      <c r="L195" s="415">
        <v>39470.870000000003</v>
      </c>
      <c r="M195" s="415">
        <v>41974.84</v>
      </c>
      <c r="N195" s="415">
        <v>56611.18</v>
      </c>
      <c r="O195" s="415">
        <v>54195.28</v>
      </c>
      <c r="P195" s="415">
        <v>51558.879999999997</v>
      </c>
      <c r="Q195" s="481">
        <f t="shared" si="49"/>
        <v>-13492.456000000006</v>
      </c>
      <c r="S195" s="399"/>
      <c r="T195" s="399"/>
      <c r="U195" s="399"/>
    </row>
    <row r="196" spans="1:21" outlineLevel="2" x14ac:dyDescent="0.3">
      <c r="A196" s="366" t="str">
        <f>IFERROR(VLOOKUP(RIGHT(E196,3)+0,[1]SchLocTable!$A$2:$B$47,2,FALSE)," ")</f>
        <v>Tisdale</v>
      </c>
      <c r="B196" s="366" t="str">
        <f>VLOOKUP(VALUE(D196),$D$3:F$106,3,FALSE)</f>
        <v>Principals</v>
      </c>
      <c r="C196" t="s">
        <v>314</v>
      </c>
      <c r="D196">
        <v>800</v>
      </c>
      <c r="E196" t="s">
        <v>341</v>
      </c>
      <c r="F196" t="s">
        <v>318</v>
      </c>
      <c r="G196" t="s">
        <v>319</v>
      </c>
      <c r="H196" s="502">
        <v>51140</v>
      </c>
      <c r="I196" s="415">
        <v>2700</v>
      </c>
      <c r="J196" s="415">
        <v>0</v>
      </c>
      <c r="K196" s="415">
        <v>2700</v>
      </c>
      <c r="L196" s="415">
        <v>2700</v>
      </c>
      <c r="M196" s="415">
        <v>2600</v>
      </c>
      <c r="N196" s="415">
        <v>1300</v>
      </c>
      <c r="O196" s="415">
        <v>1300</v>
      </c>
      <c r="P196" s="415">
        <v>1300</v>
      </c>
      <c r="Q196" s="481">
        <f t="shared" si="49"/>
        <v>-2700</v>
      </c>
      <c r="S196" s="399"/>
      <c r="T196" s="399"/>
      <c r="U196" s="399"/>
    </row>
    <row r="197" spans="1:21" outlineLevel="2" x14ac:dyDescent="0.3">
      <c r="A197" s="366" t="str">
        <f>IFERROR(VLOOKUP(RIGHT(E197,3)+0,[1]SchLocTable!$A$2:$B$47,2,FALSE)," ")</f>
        <v>Tisdale</v>
      </c>
      <c r="B197" s="366" t="str">
        <f>VLOOKUP(VALUE(D197),$D$3:F$106,3,FALSE)</f>
        <v>Principals</v>
      </c>
      <c r="C197" t="s">
        <v>314</v>
      </c>
      <c r="D197">
        <v>800</v>
      </c>
      <c r="E197" t="s">
        <v>341</v>
      </c>
      <c r="F197" t="s">
        <v>320</v>
      </c>
      <c r="G197" t="s">
        <v>319</v>
      </c>
      <c r="H197" s="502">
        <v>52360</v>
      </c>
      <c r="I197" s="415">
        <v>4724.7043266500004</v>
      </c>
      <c r="J197" s="415">
        <v>4311</v>
      </c>
      <c r="K197" s="415">
        <v>4289.71</v>
      </c>
      <c r="L197" s="415">
        <v>4216.96</v>
      </c>
      <c r="M197" s="415">
        <v>4391.8500000000004</v>
      </c>
      <c r="N197" s="415">
        <v>4138.3599999999997</v>
      </c>
      <c r="O197" s="415">
        <v>3974.19</v>
      </c>
      <c r="P197" s="415">
        <v>3954.92</v>
      </c>
      <c r="Q197" s="481">
        <f t="shared" si="49"/>
        <v>-413.70432665000044</v>
      </c>
      <c r="S197" s="399"/>
      <c r="T197" s="399"/>
      <c r="U197" s="399"/>
    </row>
    <row r="198" spans="1:21" outlineLevel="2" x14ac:dyDescent="0.3">
      <c r="A198" s="366" t="str">
        <f>IFERROR(VLOOKUP(RIGHT(E198,3)+0,[1]SchLocTable!$A$2:$B$47,2,FALSE)," ")</f>
        <v>Read</v>
      </c>
      <c r="B198" s="366" t="str">
        <f>VLOOKUP(VALUE(D198),$D$3:F$106,3,FALSE)</f>
        <v>Principals</v>
      </c>
      <c r="C198" t="s">
        <v>314</v>
      </c>
      <c r="D198">
        <v>800</v>
      </c>
      <c r="E198" t="s">
        <v>342</v>
      </c>
      <c r="F198" t="s">
        <v>316</v>
      </c>
      <c r="G198">
        <v>2</v>
      </c>
      <c r="H198" s="502">
        <v>51000</v>
      </c>
      <c r="I198" s="415">
        <v>321421.89624999993</v>
      </c>
      <c r="J198" s="415">
        <v>325124.2</v>
      </c>
      <c r="K198" s="415">
        <v>408733.6</v>
      </c>
      <c r="L198" s="415">
        <v>419698.97</v>
      </c>
      <c r="M198" s="415">
        <v>413665.91</v>
      </c>
      <c r="N198" s="415">
        <v>386500.75</v>
      </c>
      <c r="O198" s="415">
        <v>398830.68</v>
      </c>
      <c r="P198" s="415">
        <v>413049.91</v>
      </c>
      <c r="Q198" s="481">
        <f t="shared" si="49"/>
        <v>3702.3037500000792</v>
      </c>
      <c r="S198" s="399"/>
      <c r="T198" s="399"/>
      <c r="U198" s="399"/>
    </row>
    <row r="199" spans="1:21" outlineLevel="2" x14ac:dyDescent="0.3">
      <c r="A199" s="366" t="str">
        <f>IFERROR(VLOOKUP(RIGHT(E199,3)+0,[1]SchLocTable!$A$2:$B$47,2,FALSE)," ")</f>
        <v>Read</v>
      </c>
      <c r="B199" s="366" t="str">
        <f>VLOOKUP(VALUE(D199),$D$3:F$106,3,FALSE)</f>
        <v>Principals</v>
      </c>
      <c r="C199" t="s">
        <v>314</v>
      </c>
      <c r="D199">
        <v>800</v>
      </c>
      <c r="E199" t="s">
        <v>342</v>
      </c>
      <c r="F199" t="s">
        <v>321</v>
      </c>
      <c r="G199" t="s">
        <v>319</v>
      </c>
      <c r="H199" s="502">
        <v>52917</v>
      </c>
      <c r="I199" s="415">
        <v>28192.320000000003</v>
      </c>
      <c r="J199" s="415">
        <v>24882.9</v>
      </c>
      <c r="K199" s="415">
        <v>46158.63</v>
      </c>
      <c r="L199" s="415">
        <v>59944.53</v>
      </c>
      <c r="M199" s="415">
        <v>63234.94</v>
      </c>
      <c r="N199" s="415">
        <v>61573.63</v>
      </c>
      <c r="O199" s="415">
        <v>59866.65</v>
      </c>
      <c r="P199" s="415">
        <v>45244.800000000003</v>
      </c>
      <c r="Q199" s="481">
        <f t="shared" si="49"/>
        <v>-3309.4200000000019</v>
      </c>
      <c r="S199" s="399"/>
      <c r="T199" s="399"/>
      <c r="U199" s="399"/>
    </row>
    <row r="200" spans="1:21" outlineLevel="2" x14ac:dyDescent="0.3">
      <c r="A200" s="366" t="str">
        <f>IFERROR(VLOOKUP(RIGHT(E200,3)+0,[1]SchLocTable!$A$2:$B$47,2,FALSE)," ")</f>
        <v>Read</v>
      </c>
      <c r="B200" s="366" t="str">
        <f>VLOOKUP(VALUE(D200),$D$3:F$106,3,FALSE)</f>
        <v>Principals</v>
      </c>
      <c r="C200" t="s">
        <v>314</v>
      </c>
      <c r="D200">
        <v>800</v>
      </c>
      <c r="E200" t="s">
        <v>342</v>
      </c>
      <c r="F200" t="s">
        <v>318</v>
      </c>
      <c r="G200" t="s">
        <v>319</v>
      </c>
      <c r="H200" s="502">
        <v>51140</v>
      </c>
      <c r="I200" s="415">
        <v>1500</v>
      </c>
      <c r="J200" s="415">
        <v>0</v>
      </c>
      <c r="K200" s="415">
        <v>1400</v>
      </c>
      <c r="L200" s="415">
        <v>1400</v>
      </c>
      <c r="M200" s="415">
        <v>1400</v>
      </c>
      <c r="N200" s="415">
        <v>1400</v>
      </c>
      <c r="O200" s="415">
        <v>1400</v>
      </c>
      <c r="P200" s="415">
        <v>0</v>
      </c>
      <c r="Q200" s="481">
        <f t="shared" si="49"/>
        <v>-1500</v>
      </c>
      <c r="S200" s="399"/>
      <c r="T200" s="399"/>
      <c r="U200" s="399"/>
    </row>
    <row r="201" spans="1:21" outlineLevel="2" x14ac:dyDescent="0.3">
      <c r="A201" s="366" t="str">
        <f>IFERROR(VLOOKUP(RIGHT(E201,3)+0,[1]SchLocTable!$A$2:$B$47,2,FALSE)," ")</f>
        <v>Read</v>
      </c>
      <c r="B201" s="366" t="str">
        <f>VLOOKUP(VALUE(D201),$D$3:F$106,3,FALSE)</f>
        <v>Principals</v>
      </c>
      <c r="C201" t="s">
        <v>314</v>
      </c>
      <c r="D201">
        <v>800</v>
      </c>
      <c r="E201" t="s">
        <v>342</v>
      </c>
      <c r="F201" t="s">
        <v>320</v>
      </c>
      <c r="G201" t="s">
        <v>319</v>
      </c>
      <c r="H201" s="502">
        <v>52360</v>
      </c>
      <c r="I201" s="415">
        <v>4660.6174956249997</v>
      </c>
      <c r="J201" s="415">
        <v>4681.54</v>
      </c>
      <c r="K201" s="415">
        <v>5702.94</v>
      </c>
      <c r="L201" s="415">
        <v>5785.29</v>
      </c>
      <c r="M201" s="415">
        <v>5680.28</v>
      </c>
      <c r="N201" s="415">
        <v>5295.61</v>
      </c>
      <c r="O201" s="415">
        <v>5485.96</v>
      </c>
      <c r="P201" s="415">
        <v>5811.87</v>
      </c>
      <c r="Q201" s="481">
        <f t="shared" si="49"/>
        <v>20.922504375000244</v>
      </c>
      <c r="S201" s="399"/>
      <c r="T201" s="399"/>
      <c r="U201" s="399"/>
    </row>
    <row r="202" spans="1:21" outlineLevel="2" x14ac:dyDescent="0.3">
      <c r="A202" s="366" t="str">
        <f>IFERROR(VLOOKUP(RIGHT(E202,3)+0,[1]SchLocTable!$A$2:$B$47,2,FALSE)," ")</f>
        <v>Roosevelt</v>
      </c>
      <c r="B202" s="366" t="str">
        <f>VLOOKUP(VALUE(D202),$D$3:F$106,3,FALSE)</f>
        <v>Principals</v>
      </c>
      <c r="C202" t="s">
        <v>314</v>
      </c>
      <c r="D202">
        <v>800</v>
      </c>
      <c r="E202" t="s">
        <v>343</v>
      </c>
      <c r="F202" t="s">
        <v>316</v>
      </c>
      <c r="G202">
        <v>2</v>
      </c>
      <c r="H202" s="502">
        <v>51000</v>
      </c>
      <c r="I202" s="415">
        <v>321531.15539999993</v>
      </c>
      <c r="J202" s="415">
        <v>308652</v>
      </c>
      <c r="K202" s="415">
        <v>301915.39</v>
      </c>
      <c r="L202" s="415">
        <v>295995.83</v>
      </c>
      <c r="M202" s="415">
        <v>291954.28999999998</v>
      </c>
      <c r="N202" s="415">
        <v>286789.3</v>
      </c>
      <c r="O202" s="415">
        <v>282519.03999999998</v>
      </c>
      <c r="P202" s="415">
        <v>261042.23</v>
      </c>
      <c r="Q202" s="481">
        <f t="shared" si="49"/>
        <v>-12879.155399999931</v>
      </c>
      <c r="S202" s="399"/>
      <c r="T202" s="399"/>
      <c r="U202" s="399"/>
    </row>
    <row r="203" spans="1:21" outlineLevel="2" x14ac:dyDescent="0.3">
      <c r="A203" s="366" t="str">
        <f>IFERROR(VLOOKUP(RIGHT(E203,3)+0,[1]SchLocTable!$A$2:$B$47,2,FALSE)," ")</f>
        <v>Roosevelt</v>
      </c>
      <c r="B203" s="366" t="str">
        <f>VLOOKUP(VALUE(D203),$D$3:F$106,3,FALSE)</f>
        <v>Principals</v>
      </c>
      <c r="C203" t="s">
        <v>314</v>
      </c>
      <c r="D203">
        <v>800</v>
      </c>
      <c r="E203" t="s">
        <v>343</v>
      </c>
      <c r="F203" t="s">
        <v>321</v>
      </c>
      <c r="G203" t="s">
        <v>319</v>
      </c>
      <c r="H203" s="502">
        <v>52917</v>
      </c>
      <c r="I203" s="415">
        <v>14579.447999999999</v>
      </c>
      <c r="J203" s="415">
        <v>11743</v>
      </c>
      <c r="K203" s="415">
        <v>16845.59</v>
      </c>
      <c r="L203" s="415">
        <v>24490.57</v>
      </c>
      <c r="M203" s="415">
        <v>24176.89</v>
      </c>
      <c r="N203" s="415">
        <v>22490.83</v>
      </c>
      <c r="O203" s="415">
        <v>21565.08</v>
      </c>
      <c r="P203" s="415">
        <v>20451.88</v>
      </c>
      <c r="Q203" s="481">
        <f t="shared" si="49"/>
        <v>-2836.4479999999985</v>
      </c>
      <c r="S203" s="399"/>
      <c r="T203" s="399"/>
      <c r="U203" s="399"/>
    </row>
    <row r="204" spans="1:21" outlineLevel="2" x14ac:dyDescent="0.3">
      <c r="A204" s="366" t="str">
        <f>IFERROR(VLOOKUP(RIGHT(E204,3)+0,[1]SchLocTable!$A$2:$B$47,2,FALSE)," ")</f>
        <v>Roosevelt</v>
      </c>
      <c r="B204" s="366" t="str">
        <f>VLOOKUP(VALUE(D204),$D$3:F$106,3,FALSE)</f>
        <v>Principals</v>
      </c>
      <c r="C204" t="s">
        <v>314</v>
      </c>
      <c r="D204">
        <v>800</v>
      </c>
      <c r="E204" t="s">
        <v>343</v>
      </c>
      <c r="F204" t="s">
        <v>318</v>
      </c>
      <c r="G204" t="s">
        <v>319</v>
      </c>
      <c r="H204" s="502">
        <v>51140</v>
      </c>
      <c r="I204" s="415">
        <v>2800</v>
      </c>
      <c r="J204" s="415">
        <v>0</v>
      </c>
      <c r="K204" s="415">
        <v>2800</v>
      </c>
      <c r="L204" s="415">
        <v>2800</v>
      </c>
      <c r="M204" s="415">
        <v>2800</v>
      </c>
      <c r="N204" s="415">
        <v>2800</v>
      </c>
      <c r="O204" s="415">
        <v>2600</v>
      </c>
      <c r="P204" s="415">
        <v>2600</v>
      </c>
      <c r="Q204" s="481">
        <f t="shared" si="49"/>
        <v>-2800</v>
      </c>
      <c r="S204" s="399"/>
      <c r="T204" s="399"/>
      <c r="U204" s="399"/>
    </row>
    <row r="205" spans="1:21" outlineLevel="2" x14ac:dyDescent="0.3">
      <c r="A205" s="366" t="str">
        <f>IFERROR(VLOOKUP(RIGHT(E205,3)+0,[1]SchLocTable!$A$2:$B$47,2,FALSE)," ")</f>
        <v>Roosevelt</v>
      </c>
      <c r="B205" s="366" t="str">
        <f>VLOOKUP(VALUE(D205),$D$3:F$106,3,FALSE)</f>
        <v>Principals</v>
      </c>
      <c r="C205" t="s">
        <v>314</v>
      </c>
      <c r="D205">
        <v>800</v>
      </c>
      <c r="E205" t="s">
        <v>343</v>
      </c>
      <c r="F205" t="s">
        <v>320</v>
      </c>
      <c r="G205" t="s">
        <v>319</v>
      </c>
      <c r="H205" s="502">
        <v>52360</v>
      </c>
      <c r="I205" s="415">
        <v>4662.2017532999989</v>
      </c>
      <c r="J205" s="415">
        <v>4448</v>
      </c>
      <c r="K205" s="415">
        <v>4361.26</v>
      </c>
      <c r="L205" s="415">
        <v>4253.62</v>
      </c>
      <c r="M205" s="415">
        <v>4169.01</v>
      </c>
      <c r="N205" s="415">
        <v>4111.3</v>
      </c>
      <c r="O205" s="415">
        <v>4042.78</v>
      </c>
      <c r="P205" s="415">
        <v>3734.35</v>
      </c>
      <c r="Q205" s="481">
        <f t="shared" si="49"/>
        <v>-214.20175329999893</v>
      </c>
      <c r="S205" s="399"/>
      <c r="T205" s="399"/>
      <c r="U205" s="399"/>
    </row>
    <row r="206" spans="1:21" outlineLevel="2" x14ac:dyDescent="0.3">
      <c r="A206" s="366" t="str">
        <f>IFERROR(VLOOKUP(RIGHT(E206,3)+0,[1]SchLocTable!$A$2:$B$47,2,FALSE)," ")</f>
        <v>Waltersville</v>
      </c>
      <c r="B206" s="366" t="str">
        <f>VLOOKUP(VALUE(D206),$D$3:F$106,3,FALSE)</f>
        <v>Principals</v>
      </c>
      <c r="C206" t="s">
        <v>314</v>
      </c>
      <c r="D206">
        <v>800</v>
      </c>
      <c r="E206" t="s">
        <v>344</v>
      </c>
      <c r="F206" t="s">
        <v>316</v>
      </c>
      <c r="G206">
        <v>2</v>
      </c>
      <c r="H206" s="502">
        <v>51000</v>
      </c>
      <c r="I206" s="415">
        <v>323398.49359999993</v>
      </c>
      <c r="J206" s="415">
        <v>296459.59999999998</v>
      </c>
      <c r="K206" s="415">
        <v>268549.56</v>
      </c>
      <c r="L206" s="415">
        <v>159010.51</v>
      </c>
      <c r="M206" s="415">
        <v>156626.45000000001</v>
      </c>
      <c r="N206" s="415">
        <v>152400.75</v>
      </c>
      <c r="O206" s="415">
        <v>141805.19</v>
      </c>
      <c r="P206" s="415">
        <v>170326.69</v>
      </c>
      <c r="Q206" s="481">
        <f t="shared" si="49"/>
        <v>-26938.893599999952</v>
      </c>
      <c r="S206" s="399"/>
      <c r="T206" s="399"/>
      <c r="U206" s="399"/>
    </row>
    <row r="207" spans="1:21" outlineLevel="2" x14ac:dyDescent="0.3">
      <c r="A207" s="366" t="str">
        <f>IFERROR(VLOOKUP(RIGHT(E207,3)+0,[1]SchLocTable!$A$2:$B$47,2,FALSE)," ")</f>
        <v>Waltersville</v>
      </c>
      <c r="B207" s="366" t="str">
        <f>VLOOKUP(VALUE(D207),$D$3:F$106,3,FALSE)</f>
        <v>Principals</v>
      </c>
      <c r="C207" t="s">
        <v>314</v>
      </c>
      <c r="D207">
        <v>800</v>
      </c>
      <c r="E207" t="s">
        <v>344</v>
      </c>
      <c r="F207" t="s">
        <v>321</v>
      </c>
      <c r="G207" t="s">
        <v>319</v>
      </c>
      <c r="H207" s="502">
        <v>52917</v>
      </c>
      <c r="I207" s="415">
        <v>48514.127999999997</v>
      </c>
      <c r="J207" s="415">
        <v>36944</v>
      </c>
      <c r="K207" s="415">
        <v>33632.61</v>
      </c>
      <c r="L207" s="415">
        <v>10357.4</v>
      </c>
      <c r="M207" s="415">
        <v>10213.83</v>
      </c>
      <c r="N207" s="415">
        <v>9556.5300000000007</v>
      </c>
      <c r="O207" s="415">
        <v>9149.09</v>
      </c>
      <c r="P207" s="415">
        <v>15478.07</v>
      </c>
      <c r="Q207" s="481">
        <f t="shared" si="49"/>
        <v>-11570.127999999997</v>
      </c>
      <c r="S207" s="399"/>
      <c r="T207" s="399"/>
      <c r="U207" s="399"/>
    </row>
    <row r="208" spans="1:21" outlineLevel="2" x14ac:dyDescent="0.3">
      <c r="A208" s="366" t="str">
        <f>IFERROR(VLOOKUP(RIGHT(E208,3)+0,[1]SchLocTable!$A$2:$B$47,2,FALSE)," ")</f>
        <v>Waltersville</v>
      </c>
      <c r="B208" s="366" t="str">
        <f>VLOOKUP(VALUE(D208),$D$3:F$106,3,FALSE)</f>
        <v>Principals</v>
      </c>
      <c r="C208" t="s">
        <v>314</v>
      </c>
      <c r="D208">
        <v>800</v>
      </c>
      <c r="E208" t="s">
        <v>344</v>
      </c>
      <c r="F208" t="s">
        <v>318</v>
      </c>
      <c r="G208" t="s">
        <v>319</v>
      </c>
      <c r="H208" s="502">
        <v>51140</v>
      </c>
      <c r="I208" s="415">
        <v>1400</v>
      </c>
      <c r="J208" s="415">
        <v>0</v>
      </c>
      <c r="K208" s="415">
        <v>1400</v>
      </c>
      <c r="L208" s="415">
        <v>1400</v>
      </c>
      <c r="M208" s="415">
        <v>1400</v>
      </c>
      <c r="N208" s="415">
        <v>1300</v>
      </c>
      <c r="O208" s="415">
        <v>1300</v>
      </c>
      <c r="P208" s="415">
        <v>2600</v>
      </c>
      <c r="Q208" s="481">
        <f t="shared" si="49"/>
        <v>-1400</v>
      </c>
      <c r="S208" s="399"/>
      <c r="T208" s="399"/>
      <c r="U208" s="399"/>
    </row>
    <row r="209" spans="1:21" outlineLevel="2" x14ac:dyDescent="0.3">
      <c r="A209" s="366" t="str">
        <f>IFERROR(VLOOKUP(RIGHT(E209,3)+0,[1]SchLocTable!$A$2:$B$47,2,FALSE)," ")</f>
        <v>Waltersville</v>
      </c>
      <c r="B209" s="366" t="str">
        <f>VLOOKUP(VALUE(D209),$D$3:F$106,3,FALSE)</f>
        <v>Principals</v>
      </c>
      <c r="C209" t="s">
        <v>314</v>
      </c>
      <c r="D209">
        <v>800</v>
      </c>
      <c r="E209" t="s">
        <v>344</v>
      </c>
      <c r="F209" t="s">
        <v>320</v>
      </c>
      <c r="G209" t="s">
        <v>319</v>
      </c>
      <c r="H209" s="502">
        <v>52360</v>
      </c>
      <c r="I209" s="415">
        <v>4689.2781571999994</v>
      </c>
      <c r="J209" s="415">
        <v>4268</v>
      </c>
      <c r="K209" s="415">
        <v>3775.1</v>
      </c>
      <c r="L209" s="415">
        <v>2316.5500000000002</v>
      </c>
      <c r="M209" s="415">
        <v>2266.94</v>
      </c>
      <c r="N209" s="415">
        <v>2207.62</v>
      </c>
      <c r="O209" s="415">
        <v>2054.92</v>
      </c>
      <c r="P209" s="415">
        <v>2638.98</v>
      </c>
      <c r="Q209" s="481">
        <f t="shared" si="49"/>
        <v>-421.27815719999944</v>
      </c>
      <c r="S209" s="399"/>
      <c r="T209" s="399"/>
      <c r="U209" s="399"/>
    </row>
    <row r="210" spans="1:21" outlineLevel="2" x14ac:dyDescent="0.3">
      <c r="A210" s="366" t="str">
        <f>IFERROR(VLOOKUP(RIGHT(E210,3)+0,[1]SchLocTable!$A$2:$B$47,2,FALSE)," ")</f>
        <v>Claytor</v>
      </c>
      <c r="B210" s="366" t="str">
        <f>VLOOKUP(VALUE(D210),$D$3:F$106,3,FALSE)</f>
        <v>Principals</v>
      </c>
      <c r="C210" t="s">
        <v>314</v>
      </c>
      <c r="D210">
        <v>800</v>
      </c>
      <c r="E210" t="s">
        <v>345</v>
      </c>
      <c r="F210" t="s">
        <v>316</v>
      </c>
      <c r="G210">
        <v>1</v>
      </c>
      <c r="H210" s="502">
        <v>51000</v>
      </c>
      <c r="I210" s="415">
        <v>327042.16545000003</v>
      </c>
      <c r="J210" s="415">
        <v>314565.40999999997</v>
      </c>
      <c r="K210" s="415">
        <v>285795.95</v>
      </c>
      <c r="L210" s="415">
        <v>281765.59999999998</v>
      </c>
      <c r="M210" s="415">
        <v>269417.61</v>
      </c>
      <c r="N210" s="415">
        <v>304664.43</v>
      </c>
      <c r="O210" s="415">
        <v>293273.98</v>
      </c>
      <c r="P210" s="415">
        <v>290429.02</v>
      </c>
      <c r="Q210" s="481">
        <f t="shared" si="49"/>
        <v>-12476.755450000055</v>
      </c>
      <c r="S210" s="399"/>
      <c r="T210" s="399"/>
      <c r="U210" s="399"/>
    </row>
    <row r="211" spans="1:21" outlineLevel="2" x14ac:dyDescent="0.3">
      <c r="A211" s="366" t="str">
        <f>IFERROR(VLOOKUP(RIGHT(E211,3)+0,[1]SchLocTable!$A$2:$B$47,2,FALSE)," ")</f>
        <v>Claytor</v>
      </c>
      <c r="B211" s="366" t="str">
        <f>VLOOKUP(VALUE(D211),$D$3:F$106,3,FALSE)</f>
        <v>Principals</v>
      </c>
      <c r="C211" t="s">
        <v>314</v>
      </c>
      <c r="D211">
        <v>800</v>
      </c>
      <c r="E211" t="s">
        <v>345</v>
      </c>
      <c r="F211" t="s">
        <v>334</v>
      </c>
      <c r="G211" t="s">
        <v>319</v>
      </c>
      <c r="H211" s="502">
        <v>51400</v>
      </c>
      <c r="I211" s="415">
        <v>0</v>
      </c>
      <c r="J211" s="415">
        <v>0</v>
      </c>
      <c r="K211" s="415">
        <v>3543.47</v>
      </c>
      <c r="L211" s="415">
        <v>0</v>
      </c>
      <c r="M211" s="415">
        <v>0</v>
      </c>
      <c r="N211" s="415">
        <v>0</v>
      </c>
      <c r="O211" s="415">
        <v>0</v>
      </c>
      <c r="P211" s="415">
        <v>0</v>
      </c>
      <c r="Q211" s="481">
        <f t="shared" si="49"/>
        <v>0</v>
      </c>
      <c r="S211" s="399"/>
      <c r="T211" s="399"/>
      <c r="U211" s="399"/>
    </row>
    <row r="212" spans="1:21" outlineLevel="2" x14ac:dyDescent="0.3">
      <c r="A212" s="366" t="str">
        <f>IFERROR(VLOOKUP(RIGHT(E212,3)+0,[1]SchLocTable!$A$2:$B$47,2,FALSE)," ")</f>
        <v>Claytor</v>
      </c>
      <c r="B212" s="366" t="str">
        <f>VLOOKUP(VALUE(D212),$D$3:F$106,3,FALSE)</f>
        <v>Principals</v>
      </c>
      <c r="C212" t="s">
        <v>314</v>
      </c>
      <c r="D212">
        <v>800</v>
      </c>
      <c r="E212" t="s">
        <v>345</v>
      </c>
      <c r="F212" t="s">
        <v>321</v>
      </c>
      <c r="G212" t="s">
        <v>319</v>
      </c>
      <c r="H212" s="502">
        <v>52917</v>
      </c>
      <c r="I212" s="415">
        <v>76840.296000000002</v>
      </c>
      <c r="J212" s="415">
        <v>59289</v>
      </c>
      <c r="K212" s="415">
        <v>57035.85</v>
      </c>
      <c r="L212" s="415">
        <v>54723.1</v>
      </c>
      <c r="M212" s="415">
        <v>50601.29</v>
      </c>
      <c r="N212" s="415">
        <v>47811.75</v>
      </c>
      <c r="O212" s="415">
        <v>46364.66</v>
      </c>
      <c r="P212" s="415">
        <v>46661.33</v>
      </c>
      <c r="Q212" s="481">
        <f t="shared" si="49"/>
        <v>-17551.296000000002</v>
      </c>
      <c r="S212" s="399"/>
      <c r="T212" s="399"/>
      <c r="U212" s="399"/>
    </row>
    <row r="213" spans="1:21" outlineLevel="2" x14ac:dyDescent="0.3">
      <c r="A213" s="366" t="str">
        <f>IFERROR(VLOOKUP(RIGHT(E213,3)+0,[1]SchLocTable!$A$2:$B$47,2,FALSE)," ")</f>
        <v>Claytor</v>
      </c>
      <c r="B213" s="366" t="str">
        <f>VLOOKUP(VALUE(D213),$D$3:F$106,3,FALSE)</f>
        <v>Principals</v>
      </c>
      <c r="C213" t="s">
        <v>314</v>
      </c>
      <c r="D213">
        <v>800</v>
      </c>
      <c r="E213" t="s">
        <v>345</v>
      </c>
      <c r="F213" t="s">
        <v>318</v>
      </c>
      <c r="G213" t="s">
        <v>319</v>
      </c>
      <c r="H213" s="502">
        <v>51140</v>
      </c>
      <c r="I213" s="415">
        <v>1100</v>
      </c>
      <c r="J213" s="415">
        <v>0</v>
      </c>
      <c r="K213" s="415">
        <v>1100</v>
      </c>
      <c r="L213" s="415">
        <v>1100</v>
      </c>
      <c r="M213" s="415">
        <v>0</v>
      </c>
      <c r="N213" s="415">
        <v>1500</v>
      </c>
      <c r="O213" s="415">
        <v>1500</v>
      </c>
      <c r="P213" s="415">
        <v>1500</v>
      </c>
      <c r="Q213" s="481">
        <f t="shared" si="49"/>
        <v>-1100</v>
      </c>
      <c r="S213" s="399"/>
      <c r="T213" s="399"/>
      <c r="U213" s="399"/>
    </row>
    <row r="214" spans="1:21" outlineLevel="2" x14ac:dyDescent="0.3">
      <c r="A214" s="366" t="str">
        <f>IFERROR(VLOOKUP(RIGHT(E214,3)+0,[1]SchLocTable!$A$2:$B$47,2,FALSE)," ")</f>
        <v>Claytor</v>
      </c>
      <c r="B214" s="366" t="str">
        <f>VLOOKUP(VALUE(D214),$D$3:F$106,3,FALSE)</f>
        <v>Principals</v>
      </c>
      <c r="C214" t="s">
        <v>314</v>
      </c>
      <c r="D214">
        <v>800</v>
      </c>
      <c r="E214" t="s">
        <v>345</v>
      </c>
      <c r="F214" t="s">
        <v>320</v>
      </c>
      <c r="G214" t="s">
        <v>319</v>
      </c>
      <c r="H214" s="502">
        <v>52360</v>
      </c>
      <c r="I214" s="415">
        <v>4742.1113990249996</v>
      </c>
      <c r="J214" s="415">
        <v>4223</v>
      </c>
      <c r="K214" s="415">
        <v>3904.28</v>
      </c>
      <c r="L214" s="415">
        <v>3804.5</v>
      </c>
      <c r="M214" s="415">
        <v>3552.44</v>
      </c>
      <c r="N214" s="415">
        <v>2202.4899999999998</v>
      </c>
      <c r="O214" s="415">
        <v>2175.87</v>
      </c>
      <c r="P214" s="415">
        <v>2169.25</v>
      </c>
      <c r="Q214" s="481">
        <f t="shared" si="49"/>
        <v>-519.11139902499963</v>
      </c>
      <c r="S214" s="399"/>
      <c r="T214" s="399"/>
      <c r="U214" s="399"/>
    </row>
    <row r="215" spans="1:21" outlineLevel="2" x14ac:dyDescent="0.3">
      <c r="A215" s="366" t="str">
        <f>IFERROR(VLOOKUP(RIGHT(E215,3)+0,[1]SchLocTable!$A$2:$B$47,2,FALSE)," ")</f>
        <v>Johnson</v>
      </c>
      <c r="B215" s="366" t="str">
        <f>VLOOKUP(VALUE(D215),$D$3:F$106,3,FALSE)</f>
        <v>Principals</v>
      </c>
      <c r="C215" t="s">
        <v>314</v>
      </c>
      <c r="D215">
        <v>800</v>
      </c>
      <c r="E215" t="s">
        <v>346</v>
      </c>
      <c r="F215" t="s">
        <v>316</v>
      </c>
      <c r="G215">
        <v>2</v>
      </c>
      <c r="H215" s="502">
        <v>51000</v>
      </c>
      <c r="I215" s="415">
        <v>339520.25834999996</v>
      </c>
      <c r="J215" s="415">
        <v>328301.94</v>
      </c>
      <c r="K215" s="415">
        <v>437903.93</v>
      </c>
      <c r="L215" s="415">
        <v>446098.29</v>
      </c>
      <c r="M215" s="415">
        <v>460987.66</v>
      </c>
      <c r="N215" s="415">
        <v>449741.66</v>
      </c>
      <c r="O215" s="415">
        <v>426604.79999999999</v>
      </c>
      <c r="P215" s="415">
        <v>421204.73</v>
      </c>
      <c r="Q215" s="481">
        <f t="shared" si="49"/>
        <v>-11218.318349999958</v>
      </c>
      <c r="S215" s="399"/>
      <c r="T215" s="399"/>
      <c r="U215" s="399"/>
    </row>
    <row r="216" spans="1:21" outlineLevel="2" x14ac:dyDescent="0.3">
      <c r="A216" s="366" t="str">
        <f>IFERROR(VLOOKUP(RIGHT(E216,3)+0,[1]SchLocTable!$A$2:$B$47,2,FALSE)," ")</f>
        <v>Johnson</v>
      </c>
      <c r="B216" s="366" t="str">
        <f>VLOOKUP(VALUE(D216),$D$3:F$106,3,FALSE)</f>
        <v>Principals</v>
      </c>
      <c r="C216" t="s">
        <v>314</v>
      </c>
      <c r="D216">
        <v>800</v>
      </c>
      <c r="E216" t="s">
        <v>346</v>
      </c>
      <c r="F216" t="s">
        <v>321</v>
      </c>
      <c r="G216" t="s">
        <v>319</v>
      </c>
      <c r="H216" s="502">
        <v>52917</v>
      </c>
      <c r="I216" s="415">
        <v>78709.799999999988</v>
      </c>
      <c r="J216" s="415">
        <v>65154.7</v>
      </c>
      <c r="K216" s="415">
        <v>90082.76</v>
      </c>
      <c r="L216" s="415">
        <v>84799.44</v>
      </c>
      <c r="M216" s="415">
        <v>85434.87</v>
      </c>
      <c r="N216" s="415">
        <v>79998.23</v>
      </c>
      <c r="O216" s="415">
        <v>76571.360000000001</v>
      </c>
      <c r="P216" s="415">
        <v>72870.559999999998</v>
      </c>
      <c r="Q216" s="481">
        <f t="shared" si="49"/>
        <v>-13555.099999999991</v>
      </c>
      <c r="S216" s="399"/>
      <c r="T216" s="399"/>
      <c r="U216" s="399"/>
    </row>
    <row r="217" spans="1:21" outlineLevel="2" x14ac:dyDescent="0.3">
      <c r="A217" s="366" t="str">
        <f>IFERROR(VLOOKUP(RIGHT(E217,3)+0,[1]SchLocTable!$A$2:$B$47,2,FALSE)," ")</f>
        <v>Johnson</v>
      </c>
      <c r="B217" s="366" t="str">
        <f>VLOOKUP(VALUE(D217),$D$3:F$106,3,FALSE)</f>
        <v>Principals</v>
      </c>
      <c r="C217" t="s">
        <v>314</v>
      </c>
      <c r="D217">
        <v>800</v>
      </c>
      <c r="E217" t="s">
        <v>346</v>
      </c>
      <c r="F217" t="s">
        <v>318</v>
      </c>
      <c r="G217" t="s">
        <v>319</v>
      </c>
      <c r="H217" s="502">
        <v>51140</v>
      </c>
      <c r="I217" s="415">
        <v>2600</v>
      </c>
      <c r="J217" s="415">
        <v>0</v>
      </c>
      <c r="K217" s="415">
        <v>1400</v>
      </c>
      <c r="L217" s="415">
        <v>1400</v>
      </c>
      <c r="M217" s="415">
        <v>2500</v>
      </c>
      <c r="N217" s="415">
        <v>2500</v>
      </c>
      <c r="O217" s="415">
        <v>1400</v>
      </c>
      <c r="P217" s="415">
        <v>1300</v>
      </c>
      <c r="Q217" s="481">
        <f t="shared" si="49"/>
        <v>-2600</v>
      </c>
      <c r="S217" s="399"/>
      <c r="T217" s="399"/>
      <c r="U217" s="399"/>
    </row>
    <row r="218" spans="1:21" outlineLevel="1" x14ac:dyDescent="0.3">
      <c r="A218" s="366" t="str">
        <f>IFERROR(VLOOKUP(RIGHT(E218,3)+0,[1]SchLocTable!$A$2:$B$47,2,FALSE)," ")</f>
        <v>Johnson</v>
      </c>
      <c r="B218" s="366" t="str">
        <f>VLOOKUP(VALUE(D218),$D$3:F$106,3,FALSE)</f>
        <v>Principals</v>
      </c>
      <c r="C218" t="s">
        <v>314</v>
      </c>
      <c r="D218">
        <v>800</v>
      </c>
      <c r="E218" t="s">
        <v>346</v>
      </c>
      <c r="F218" t="s">
        <v>320</v>
      </c>
      <c r="G218" t="s">
        <v>319</v>
      </c>
      <c r="H218" s="502">
        <v>52360</v>
      </c>
      <c r="I218" s="415">
        <v>4923.0437460749999</v>
      </c>
      <c r="J218" s="415">
        <v>4693.08</v>
      </c>
      <c r="K218" s="415">
        <v>5912.16</v>
      </c>
      <c r="L218" s="415">
        <v>6079.05</v>
      </c>
      <c r="M218" s="415">
        <v>6318.65</v>
      </c>
      <c r="N218" s="415">
        <v>6175.18</v>
      </c>
      <c r="O218" s="415">
        <v>5849.41</v>
      </c>
      <c r="P218" s="415">
        <v>5799.93</v>
      </c>
      <c r="Q218" s="481">
        <f t="shared" si="49"/>
        <v>-229.96374607500002</v>
      </c>
      <c r="S218" s="399"/>
      <c r="T218" s="399"/>
      <c r="U218" s="399"/>
    </row>
    <row r="219" spans="1:21" outlineLevel="2" x14ac:dyDescent="0.3">
      <c r="A219" s="366" t="str">
        <f>IFERROR(VLOOKUP(RIGHT(E219,3)+0,[1]SchLocTable!$A$2:$B$47,2,FALSE)," ")</f>
        <v>Winthrop</v>
      </c>
      <c r="B219" s="366" t="str">
        <f>VLOOKUP(VALUE(D219),$D$3:F$106,3,FALSE)</f>
        <v>Principals</v>
      </c>
      <c r="C219" t="s">
        <v>314</v>
      </c>
      <c r="D219">
        <v>800</v>
      </c>
      <c r="E219" t="s">
        <v>347</v>
      </c>
      <c r="F219" t="s">
        <v>316</v>
      </c>
      <c r="G219">
        <v>2</v>
      </c>
      <c r="H219" s="502">
        <v>51000</v>
      </c>
      <c r="I219" s="415">
        <v>319880.72479999997</v>
      </c>
      <c r="J219" s="415">
        <v>179925.59</v>
      </c>
      <c r="K219" s="415">
        <v>282107.94</v>
      </c>
      <c r="L219" s="415">
        <v>262508.09000000003</v>
      </c>
      <c r="M219" s="415">
        <v>288676.78000000003</v>
      </c>
      <c r="N219" s="415">
        <v>270397.90999999997</v>
      </c>
      <c r="O219" s="415">
        <v>256609.8</v>
      </c>
      <c r="P219" s="415">
        <v>259832.31</v>
      </c>
      <c r="Q219" s="481">
        <f t="shared" si="49"/>
        <v>-139955.13479999997</v>
      </c>
      <c r="S219" s="399"/>
      <c r="T219" s="399"/>
      <c r="U219" s="399"/>
    </row>
    <row r="220" spans="1:21" outlineLevel="2" x14ac:dyDescent="0.3">
      <c r="A220" s="366" t="str">
        <f>IFERROR(VLOOKUP(RIGHT(E220,3)+0,[1]SchLocTable!$A$2:$B$47,2,FALSE)," ")</f>
        <v>Winthrop</v>
      </c>
      <c r="B220" s="366" t="str">
        <f>VLOOKUP(VALUE(D220),$D$3:F$106,3,FALSE)</f>
        <v>Principals</v>
      </c>
      <c r="C220" t="s">
        <v>314</v>
      </c>
      <c r="D220">
        <v>800</v>
      </c>
      <c r="E220" t="s">
        <v>347</v>
      </c>
      <c r="F220" t="s">
        <v>321</v>
      </c>
      <c r="G220" t="s">
        <v>319</v>
      </c>
      <c r="H220" s="502">
        <v>52917</v>
      </c>
      <c r="I220" s="415">
        <v>41523.767999999996</v>
      </c>
      <c r="J220" s="415">
        <v>2979.06</v>
      </c>
      <c r="K220" s="415">
        <v>25239.89</v>
      </c>
      <c r="L220" s="415">
        <v>23986.94</v>
      </c>
      <c r="M220" s="415">
        <v>22292.05</v>
      </c>
      <c r="N220" s="415">
        <v>28463.759999999998</v>
      </c>
      <c r="O220" s="415">
        <v>27205.05</v>
      </c>
      <c r="P220" s="415">
        <v>27521.84</v>
      </c>
      <c r="Q220" s="481">
        <f t="shared" si="49"/>
        <v>-38544.707999999999</v>
      </c>
      <c r="S220" s="399"/>
      <c r="T220" s="399"/>
      <c r="U220" s="399"/>
    </row>
    <row r="221" spans="1:21" outlineLevel="2" x14ac:dyDescent="0.3">
      <c r="A221" s="366" t="str">
        <f>IFERROR(VLOOKUP(RIGHT(E221,3)+0,[1]SchLocTable!$A$2:$B$47,2,FALSE)," ")</f>
        <v>Winthrop</v>
      </c>
      <c r="B221" s="366" t="str">
        <f>VLOOKUP(VALUE(D221),$D$3:F$106,3,FALSE)</f>
        <v>Principals</v>
      </c>
      <c r="C221" t="s">
        <v>314</v>
      </c>
      <c r="D221">
        <v>800</v>
      </c>
      <c r="E221" t="s">
        <v>347</v>
      </c>
      <c r="F221" t="s">
        <v>318</v>
      </c>
      <c r="G221" t="s">
        <v>319</v>
      </c>
      <c r="H221" s="502">
        <v>51140</v>
      </c>
      <c r="I221" s="415">
        <v>1100</v>
      </c>
      <c r="J221" s="415">
        <v>0</v>
      </c>
      <c r="K221" s="415">
        <v>1100</v>
      </c>
      <c r="L221" s="415">
        <v>1100</v>
      </c>
      <c r="M221" s="415">
        <v>0</v>
      </c>
      <c r="N221" s="415">
        <v>1300</v>
      </c>
      <c r="O221" s="415">
        <v>1300</v>
      </c>
      <c r="P221" s="415">
        <v>1300</v>
      </c>
      <c r="Q221" s="481">
        <f t="shared" si="49"/>
        <v>-1100</v>
      </c>
      <c r="S221" s="399"/>
      <c r="T221" s="399"/>
      <c r="U221" s="399"/>
    </row>
    <row r="222" spans="1:21" outlineLevel="2" x14ac:dyDescent="0.3">
      <c r="A222" s="366" t="str">
        <f>IFERROR(VLOOKUP(RIGHT(E222,3)+0,[1]SchLocTable!$A$2:$B$47,2,FALSE)," ")</f>
        <v>Winthrop</v>
      </c>
      <c r="B222" s="366" t="str">
        <f>VLOOKUP(VALUE(D222),$D$3:F$106,3,FALSE)</f>
        <v>Principals</v>
      </c>
      <c r="C222" t="s">
        <v>314</v>
      </c>
      <c r="D222">
        <v>800</v>
      </c>
      <c r="E222" t="s">
        <v>347</v>
      </c>
      <c r="F222" t="s">
        <v>320</v>
      </c>
      <c r="G222" t="s">
        <v>319</v>
      </c>
      <c r="H222" s="502">
        <v>52360</v>
      </c>
      <c r="I222" s="415">
        <v>4638.2705095999991</v>
      </c>
      <c r="J222" s="415">
        <v>2593.65</v>
      </c>
      <c r="K222" s="415">
        <v>3969.66</v>
      </c>
      <c r="L222" s="415">
        <v>3694.17</v>
      </c>
      <c r="M222" s="415">
        <v>4324.41</v>
      </c>
      <c r="N222" s="415">
        <v>3788.55</v>
      </c>
      <c r="O222" s="415">
        <v>3598.85</v>
      </c>
      <c r="P222" s="415">
        <v>3338.79</v>
      </c>
      <c r="Q222" s="481">
        <f t="shared" si="49"/>
        <v>-2044.620509599999</v>
      </c>
      <c r="S222" s="399"/>
      <c r="T222" s="399"/>
      <c r="U222" s="399"/>
    </row>
    <row r="223" spans="1:21" outlineLevel="2" x14ac:dyDescent="0.3">
      <c r="A223" s="366" t="str">
        <f>IFERROR(VLOOKUP(RIGHT(E223,3)+0,[1]SchLocTable!$A$2:$B$47,2,FALSE)," ")</f>
        <v>Winthrop</v>
      </c>
      <c r="B223" s="366" t="str">
        <f>VLOOKUP(VALUE(D223),$D$3:F$106,3,FALSE)</f>
        <v>Principals</v>
      </c>
      <c r="C223" t="s">
        <v>314</v>
      </c>
      <c r="D223">
        <v>800</v>
      </c>
      <c r="E223" t="s">
        <v>347</v>
      </c>
      <c r="F223" t="s">
        <v>317</v>
      </c>
      <c r="G223" t="s">
        <v>319</v>
      </c>
      <c r="H223" s="502">
        <v>51100</v>
      </c>
      <c r="I223" s="415">
        <v>0</v>
      </c>
      <c r="J223" s="415">
        <v>0</v>
      </c>
      <c r="K223" s="415">
        <v>0</v>
      </c>
      <c r="L223" s="415">
        <v>0</v>
      </c>
      <c r="M223" s="415">
        <v>15300</v>
      </c>
      <c r="N223" s="415">
        <v>0</v>
      </c>
      <c r="O223" s="415">
        <v>0</v>
      </c>
      <c r="P223" s="415">
        <v>0</v>
      </c>
      <c r="Q223" s="481">
        <f t="shared" si="49"/>
        <v>0</v>
      </c>
      <c r="S223" s="399"/>
      <c r="T223" s="399"/>
      <c r="U223" s="399"/>
    </row>
    <row r="224" spans="1:21" outlineLevel="2" x14ac:dyDescent="0.3">
      <c r="A224" s="366" t="str">
        <f>IFERROR(VLOOKUP(RIGHT(E224,3)+0,[1]SchLocTable!$A$2:$B$47,2,FALSE)," ")</f>
        <v>Discovery</v>
      </c>
      <c r="B224" s="366" t="str">
        <f>VLOOKUP(VALUE(D224),$D$3:F$106,3,FALSE)</f>
        <v>Principals</v>
      </c>
      <c r="C224" t="s">
        <v>314</v>
      </c>
      <c r="D224">
        <v>800</v>
      </c>
      <c r="E224" t="s">
        <v>348</v>
      </c>
      <c r="F224" t="s">
        <v>316</v>
      </c>
      <c r="G224" t="s">
        <v>319</v>
      </c>
      <c r="H224" s="502">
        <v>51000</v>
      </c>
      <c r="I224" s="415">
        <v>89281.369449999998</v>
      </c>
      <c r="J224" s="415">
        <v>13021.62</v>
      </c>
      <c r="K224" s="415">
        <v>99832.42</v>
      </c>
      <c r="L224" s="415">
        <v>0</v>
      </c>
      <c r="M224" s="415">
        <v>0</v>
      </c>
      <c r="N224" s="415">
        <v>0</v>
      </c>
      <c r="O224" s="415">
        <v>0</v>
      </c>
      <c r="P224" s="415">
        <v>0</v>
      </c>
      <c r="Q224" s="481">
        <f t="shared" si="49"/>
        <v>-76259.749450000003</v>
      </c>
      <c r="S224" s="399"/>
      <c r="T224" s="399"/>
      <c r="U224" s="399"/>
    </row>
    <row r="225" spans="1:21" outlineLevel="2" x14ac:dyDescent="0.3">
      <c r="A225" s="366" t="str">
        <f>IFERROR(VLOOKUP(RIGHT(E225,3)+0,[1]SchLocTable!$A$2:$B$47,2,FALSE)," ")</f>
        <v>Discovery</v>
      </c>
      <c r="B225" s="366" t="str">
        <f>VLOOKUP(VALUE(D225),$D$3:F$106,3,FALSE)</f>
        <v>Principals</v>
      </c>
      <c r="C225" t="s">
        <v>314</v>
      </c>
      <c r="D225">
        <v>800</v>
      </c>
      <c r="E225" t="s">
        <v>348</v>
      </c>
      <c r="F225" t="s">
        <v>321</v>
      </c>
      <c r="G225" t="s">
        <v>319</v>
      </c>
      <c r="H225" s="502">
        <v>52917</v>
      </c>
      <c r="I225" s="415">
        <v>7048.0800000000008</v>
      </c>
      <c r="J225" s="415">
        <v>0</v>
      </c>
      <c r="K225" s="415">
        <v>0</v>
      </c>
      <c r="L225" s="415">
        <v>0</v>
      </c>
      <c r="M225" s="415">
        <v>0</v>
      </c>
      <c r="N225" s="415">
        <v>0</v>
      </c>
      <c r="O225" s="415">
        <v>0</v>
      </c>
      <c r="P225" s="415">
        <v>0</v>
      </c>
      <c r="Q225" s="481">
        <f t="shared" si="49"/>
        <v>-7048.0800000000008</v>
      </c>
      <c r="S225" s="399"/>
      <c r="T225" s="399"/>
      <c r="U225" s="399"/>
    </row>
    <row r="226" spans="1:21" outlineLevel="2" x14ac:dyDescent="0.3">
      <c r="A226" s="366" t="str">
        <f>IFERROR(VLOOKUP(RIGHT(E226,3)+0,[1]SchLocTable!$A$2:$B$47,2,FALSE)," ")</f>
        <v>Discovery</v>
      </c>
      <c r="B226" s="366" t="str">
        <f>VLOOKUP(VALUE(D226),$D$3:F$106,3,FALSE)</f>
        <v>Principals</v>
      </c>
      <c r="C226" t="s">
        <v>314</v>
      </c>
      <c r="D226">
        <v>800</v>
      </c>
      <c r="E226" t="s">
        <v>348</v>
      </c>
      <c r="F226" t="s">
        <v>318</v>
      </c>
      <c r="G226" t="s">
        <v>319</v>
      </c>
      <c r="H226" s="502">
        <v>51140</v>
      </c>
      <c r="I226" s="415">
        <v>0</v>
      </c>
      <c r="J226" s="415">
        <v>0</v>
      </c>
      <c r="K226" s="415">
        <v>0</v>
      </c>
      <c r="L226" s="415">
        <v>1400</v>
      </c>
      <c r="M226" s="415">
        <v>0</v>
      </c>
      <c r="N226" s="415">
        <v>0</v>
      </c>
      <c r="O226" s="415">
        <v>0</v>
      </c>
      <c r="P226" s="415">
        <v>0</v>
      </c>
      <c r="Q226" s="481">
        <f t="shared" si="49"/>
        <v>0</v>
      </c>
      <c r="S226" s="399"/>
      <c r="T226" s="399"/>
      <c r="U226" s="399"/>
    </row>
    <row r="227" spans="1:21" outlineLevel="2" x14ac:dyDescent="0.3">
      <c r="A227" s="366" t="str">
        <f>IFERROR(VLOOKUP(RIGHT(E227,3)+0,[1]SchLocTable!$A$2:$B$47,2,FALSE)," ")</f>
        <v>Discovery</v>
      </c>
      <c r="B227" s="366" t="str">
        <f>VLOOKUP(VALUE(D227),$D$3:F$106,3,FALSE)</f>
        <v>Principals</v>
      </c>
      <c r="C227" t="s">
        <v>314</v>
      </c>
      <c r="D227">
        <v>800</v>
      </c>
      <c r="E227" t="s">
        <v>348</v>
      </c>
      <c r="F227" t="s">
        <v>320</v>
      </c>
      <c r="G227" t="s">
        <v>319</v>
      </c>
      <c r="H227" s="502">
        <v>52360</v>
      </c>
      <c r="I227" s="415">
        <v>1294.5798570249999</v>
      </c>
      <c r="J227" s="415">
        <v>188.82</v>
      </c>
      <c r="K227" s="415">
        <v>1449.9</v>
      </c>
      <c r="L227" s="415">
        <v>82.31</v>
      </c>
      <c r="M227" s="415">
        <v>0</v>
      </c>
      <c r="N227" s="415">
        <v>0</v>
      </c>
      <c r="O227" s="415">
        <v>0</v>
      </c>
      <c r="P227" s="415">
        <v>0</v>
      </c>
      <c r="Q227" s="481">
        <f t="shared" si="49"/>
        <v>-1105.759857025</v>
      </c>
      <c r="S227" s="399"/>
      <c r="T227" s="399"/>
      <c r="U227" s="399"/>
    </row>
    <row r="228" spans="1:21" outlineLevel="2" x14ac:dyDescent="0.3">
      <c r="A228" s="366" t="str">
        <f>IFERROR(VLOOKUP(RIGHT(E228,3)+0,[1]SchLocTable!$A$2:$B$47,2,FALSE)," ")</f>
        <v>Cross</v>
      </c>
      <c r="B228" s="366" t="str">
        <f>VLOOKUP(VALUE(D228),$D$3:F$106,3,FALSE)</f>
        <v>Principals</v>
      </c>
      <c r="C228" t="s">
        <v>314</v>
      </c>
      <c r="D228">
        <v>800</v>
      </c>
      <c r="E228" t="s">
        <v>349</v>
      </c>
      <c r="F228" t="s">
        <v>316</v>
      </c>
      <c r="G228">
        <v>2</v>
      </c>
      <c r="H228" s="502">
        <v>51000</v>
      </c>
      <c r="I228" s="415">
        <v>319880.72479999991</v>
      </c>
      <c r="J228" s="415">
        <v>474623</v>
      </c>
      <c r="K228" s="415">
        <v>425121.32</v>
      </c>
      <c r="L228" s="415">
        <v>278937.09999999998</v>
      </c>
      <c r="M228" s="415">
        <v>273602.7</v>
      </c>
      <c r="N228" s="415">
        <v>254592.52</v>
      </c>
      <c r="O228" s="415">
        <v>254598.08</v>
      </c>
      <c r="P228" s="415">
        <v>259611.14</v>
      </c>
      <c r="Q228" s="481">
        <f t="shared" si="49"/>
        <v>154742.27520000009</v>
      </c>
      <c r="S228" s="399"/>
      <c r="T228" s="399"/>
      <c r="U228" s="399"/>
    </row>
    <row r="229" spans="1:21" outlineLevel="2" x14ac:dyDescent="0.3">
      <c r="A229" s="366" t="str">
        <f>IFERROR(VLOOKUP(RIGHT(E229,3)+0,[1]SchLocTable!$A$2:$B$47,2,FALSE)," ")</f>
        <v>Cross</v>
      </c>
      <c r="B229" s="366" t="str">
        <f>VLOOKUP(VALUE(D229),$D$3:F$106,3,FALSE)</f>
        <v>Principals</v>
      </c>
      <c r="C229" t="s">
        <v>314</v>
      </c>
      <c r="D229">
        <v>800</v>
      </c>
      <c r="E229" t="s">
        <v>349</v>
      </c>
      <c r="F229" t="s">
        <v>321</v>
      </c>
      <c r="G229" t="s">
        <v>319</v>
      </c>
      <c r="H229" s="502">
        <v>52917</v>
      </c>
      <c r="I229" s="415">
        <v>41742.167999999998</v>
      </c>
      <c r="J229" s="415">
        <v>41504</v>
      </c>
      <c r="K229" s="415">
        <v>39330.97</v>
      </c>
      <c r="L229" s="415">
        <v>29828.32</v>
      </c>
      <c r="M229" s="415">
        <v>32106.95</v>
      </c>
      <c r="N229" s="415">
        <v>49454.95</v>
      </c>
      <c r="O229" s="415">
        <v>46858.98</v>
      </c>
      <c r="P229" s="415">
        <v>42336.480000000003</v>
      </c>
      <c r="Q229" s="481">
        <f t="shared" si="49"/>
        <v>-238.16799999999785</v>
      </c>
      <c r="S229" s="399"/>
      <c r="T229" s="399"/>
      <c r="U229" s="399"/>
    </row>
    <row r="230" spans="1:21" outlineLevel="2" x14ac:dyDescent="0.3">
      <c r="A230" s="366" t="str">
        <f>IFERROR(VLOOKUP(RIGHT(E230,3)+0,[1]SchLocTable!$A$2:$B$47,2,FALSE)," ")</f>
        <v>Cross</v>
      </c>
      <c r="B230" s="366" t="str">
        <f>VLOOKUP(VALUE(D230),$D$3:F$106,3,FALSE)</f>
        <v>Principals</v>
      </c>
      <c r="C230" t="s">
        <v>314</v>
      </c>
      <c r="D230">
        <v>800</v>
      </c>
      <c r="E230" t="s">
        <v>349</v>
      </c>
      <c r="F230" t="s">
        <v>318</v>
      </c>
      <c r="G230" t="s">
        <v>319</v>
      </c>
      <c r="H230" s="502">
        <v>51140</v>
      </c>
      <c r="I230" s="415">
        <v>1100</v>
      </c>
      <c r="J230" s="415">
        <v>0</v>
      </c>
      <c r="K230" s="415">
        <v>1100</v>
      </c>
      <c r="L230" s="415">
        <v>1100</v>
      </c>
      <c r="M230" s="415">
        <v>0</v>
      </c>
      <c r="N230" s="415">
        <v>1100</v>
      </c>
      <c r="O230" s="415">
        <v>1100</v>
      </c>
      <c r="P230" s="415">
        <v>2500</v>
      </c>
      <c r="Q230" s="481">
        <f t="shared" si="49"/>
        <v>-1100</v>
      </c>
      <c r="S230" s="399"/>
      <c r="T230" s="399"/>
      <c r="U230" s="399"/>
    </row>
    <row r="231" spans="1:21" outlineLevel="2" x14ac:dyDescent="0.3">
      <c r="A231" s="366" t="str">
        <f>IFERROR(VLOOKUP(RIGHT(E231,3)+0,[1]SchLocTable!$A$2:$B$47,2,FALSE)," ")</f>
        <v>Cross</v>
      </c>
      <c r="B231" s="366" t="str">
        <f>VLOOKUP(VALUE(D231),$D$3:F$106,3,FALSE)</f>
        <v>Principals</v>
      </c>
      <c r="C231" t="s">
        <v>314</v>
      </c>
      <c r="D231">
        <v>800</v>
      </c>
      <c r="E231" t="s">
        <v>349</v>
      </c>
      <c r="F231" t="s">
        <v>320</v>
      </c>
      <c r="G231" t="s">
        <v>319</v>
      </c>
      <c r="H231" s="502">
        <v>52360</v>
      </c>
      <c r="I231" s="415">
        <v>4638.2705095999991</v>
      </c>
      <c r="J231" s="415">
        <v>6634</v>
      </c>
      <c r="K231" s="415">
        <v>6027.13</v>
      </c>
      <c r="L231" s="415">
        <v>3895.02</v>
      </c>
      <c r="M231" s="415">
        <v>3772.58</v>
      </c>
      <c r="N231" s="415">
        <v>3504.41</v>
      </c>
      <c r="O231" s="415">
        <v>3458.05</v>
      </c>
      <c r="P231" s="415">
        <v>3744.98</v>
      </c>
      <c r="Q231" s="481">
        <f t="shared" si="49"/>
        <v>1995.7294904000009</v>
      </c>
      <c r="S231" s="399"/>
      <c r="T231" s="399"/>
      <c r="U231" s="399"/>
    </row>
    <row r="232" spans="1:21" outlineLevel="2" x14ac:dyDescent="0.3">
      <c r="A232" s="366" t="str">
        <f>IFERROR(VLOOKUP(RIGHT(E232,3)+0,[1]SchLocTable!$A$2:$B$47,2,FALSE)," ")</f>
        <v>Blackham</v>
      </c>
      <c r="B232" s="366" t="str">
        <f>VLOOKUP(VALUE(D232),$D$3:F$106,3,FALSE)</f>
        <v>Principals</v>
      </c>
      <c r="C232" t="s">
        <v>314</v>
      </c>
      <c r="D232">
        <v>800</v>
      </c>
      <c r="E232" t="s">
        <v>350</v>
      </c>
      <c r="F232" t="s">
        <v>316</v>
      </c>
      <c r="G232">
        <v>3</v>
      </c>
      <c r="H232" s="502">
        <v>51000</v>
      </c>
      <c r="I232" s="415">
        <v>494914.15154999995</v>
      </c>
      <c r="J232" s="415">
        <v>477048</v>
      </c>
      <c r="K232" s="415">
        <v>466635.79</v>
      </c>
      <c r="L232" s="415">
        <v>457485.69</v>
      </c>
      <c r="M232" s="415">
        <v>450152.78</v>
      </c>
      <c r="N232" s="415">
        <v>409056.68</v>
      </c>
      <c r="O232" s="415">
        <v>290162.53999999998</v>
      </c>
      <c r="P232" s="415">
        <v>406779.63</v>
      </c>
      <c r="Q232" s="481">
        <f t="shared" si="49"/>
        <v>-17866.151549999951</v>
      </c>
      <c r="S232" s="399"/>
      <c r="T232" s="399"/>
      <c r="U232" s="399"/>
    </row>
    <row r="233" spans="1:21" outlineLevel="2" x14ac:dyDescent="0.3">
      <c r="A233" s="366" t="str">
        <f>IFERROR(VLOOKUP(RIGHT(E233,3)+0,[1]SchLocTable!$A$2:$B$47,2,FALSE)," ")</f>
        <v>Blackham</v>
      </c>
      <c r="B233" s="366" t="str">
        <f>VLOOKUP(VALUE(D233),$D$3:F$106,3,FALSE)</f>
        <v>Principals</v>
      </c>
      <c r="C233" t="s">
        <v>314</v>
      </c>
      <c r="D233">
        <v>800</v>
      </c>
      <c r="E233" t="s">
        <v>350</v>
      </c>
      <c r="F233" t="s">
        <v>321</v>
      </c>
      <c r="G233" t="s">
        <v>319</v>
      </c>
      <c r="H233" s="502">
        <v>52917</v>
      </c>
      <c r="I233" s="415">
        <v>127665.72</v>
      </c>
      <c r="J233" s="415">
        <v>94753</v>
      </c>
      <c r="K233" s="415">
        <v>89165.81</v>
      </c>
      <c r="L233" s="415">
        <v>85555.95</v>
      </c>
      <c r="M233" s="415">
        <v>84384.38</v>
      </c>
      <c r="N233" s="415">
        <v>75371.47</v>
      </c>
      <c r="O233" s="415">
        <v>49720.31</v>
      </c>
      <c r="P233" s="415">
        <v>55029.84</v>
      </c>
      <c r="Q233" s="481">
        <f t="shared" si="49"/>
        <v>-32912.720000000001</v>
      </c>
      <c r="S233" s="399"/>
      <c r="T233" s="399"/>
      <c r="U233" s="399"/>
    </row>
    <row r="234" spans="1:21" outlineLevel="2" x14ac:dyDescent="0.3">
      <c r="A234" s="366" t="str">
        <f>IFERROR(VLOOKUP(RIGHT(E234,3)+0,[1]SchLocTable!$A$2:$B$47,2,FALSE)," ")</f>
        <v>Blackham</v>
      </c>
      <c r="B234" s="366" t="str">
        <f>VLOOKUP(VALUE(D234),$D$3:F$106,3,FALSE)</f>
        <v>Principals</v>
      </c>
      <c r="C234" t="s">
        <v>314</v>
      </c>
      <c r="D234">
        <v>800</v>
      </c>
      <c r="E234" t="s">
        <v>350</v>
      </c>
      <c r="F234" t="s">
        <v>318</v>
      </c>
      <c r="G234" t="s">
        <v>319</v>
      </c>
      <c r="H234" s="502">
        <v>51140</v>
      </c>
      <c r="I234" s="415">
        <v>2700</v>
      </c>
      <c r="J234" s="415">
        <v>0</v>
      </c>
      <c r="K234" s="415">
        <v>2700</v>
      </c>
      <c r="L234" s="415">
        <v>2700</v>
      </c>
      <c r="M234" s="415">
        <v>2700</v>
      </c>
      <c r="N234" s="415">
        <v>2600</v>
      </c>
      <c r="O234" s="415">
        <v>2400</v>
      </c>
      <c r="P234" s="415">
        <v>3500</v>
      </c>
      <c r="Q234" s="481">
        <f t="shared" si="49"/>
        <v>-2700</v>
      </c>
      <c r="S234" s="399"/>
      <c r="T234" s="399"/>
      <c r="U234" s="399"/>
    </row>
    <row r="235" spans="1:21" outlineLevel="2" x14ac:dyDescent="0.3">
      <c r="A235" s="366" t="str">
        <f>IFERROR(VLOOKUP(RIGHT(E235,3)+0,[1]SchLocTable!$A$2:$B$47,2,FALSE)," ")</f>
        <v>Blackham</v>
      </c>
      <c r="B235" s="366" t="str">
        <f>VLOOKUP(VALUE(D235),$D$3:F$106,3,FALSE)</f>
        <v>Principals</v>
      </c>
      <c r="C235" t="s">
        <v>314</v>
      </c>
      <c r="D235">
        <v>800</v>
      </c>
      <c r="E235" t="s">
        <v>350</v>
      </c>
      <c r="F235" t="s">
        <v>320</v>
      </c>
      <c r="G235" t="s">
        <v>319</v>
      </c>
      <c r="H235" s="502">
        <v>52360</v>
      </c>
      <c r="I235" s="415">
        <v>7176.2551974750004</v>
      </c>
      <c r="J235" s="415">
        <v>6394</v>
      </c>
      <c r="K235" s="415">
        <v>6321.52</v>
      </c>
      <c r="L235" s="415">
        <v>6215.92</v>
      </c>
      <c r="M235" s="415">
        <v>6118.97</v>
      </c>
      <c r="N235" s="415">
        <v>5581.64</v>
      </c>
      <c r="O235" s="415">
        <v>4758.9399999999996</v>
      </c>
      <c r="P235" s="415">
        <v>5702.32</v>
      </c>
      <c r="Q235" s="481">
        <f t="shared" si="49"/>
        <v>-782.25519747500039</v>
      </c>
      <c r="S235" s="399"/>
      <c r="T235" s="399"/>
      <c r="U235" s="399"/>
    </row>
    <row r="236" spans="1:21" outlineLevel="2" x14ac:dyDescent="0.3">
      <c r="A236" s="366" t="str">
        <f>IFERROR(VLOOKUP(RIGHT(E236,3)+0,[1]SchLocTable!$A$2:$B$47,2,FALSE)," ")</f>
        <v>Dunbar</v>
      </c>
      <c r="B236" s="366" t="str">
        <f>VLOOKUP(VALUE(D236),$D$3:F$106,3,FALSE)</f>
        <v>Principals</v>
      </c>
      <c r="C236" t="s">
        <v>314</v>
      </c>
      <c r="D236">
        <v>800</v>
      </c>
      <c r="E236" t="s">
        <v>351</v>
      </c>
      <c r="F236" t="s">
        <v>316</v>
      </c>
      <c r="G236">
        <v>2</v>
      </c>
      <c r="H236" s="502">
        <v>51000</v>
      </c>
      <c r="I236" s="415">
        <v>322726.02634999994</v>
      </c>
      <c r="J236" s="415">
        <v>203918.59</v>
      </c>
      <c r="K236" s="415">
        <v>297837.89</v>
      </c>
      <c r="L236" s="415">
        <v>287592.55</v>
      </c>
      <c r="M236" s="415">
        <v>320774.52</v>
      </c>
      <c r="N236" s="415">
        <v>294753.18</v>
      </c>
      <c r="O236" s="415">
        <v>262486.48</v>
      </c>
      <c r="P236" s="415">
        <v>247873.68</v>
      </c>
      <c r="Q236" s="481">
        <f t="shared" si="49"/>
        <v>-118807.43634999995</v>
      </c>
      <c r="S236" s="399"/>
      <c r="T236" s="399"/>
      <c r="U236" s="399"/>
    </row>
    <row r="237" spans="1:21" outlineLevel="2" x14ac:dyDescent="0.3">
      <c r="A237" s="366" t="str">
        <f>IFERROR(VLOOKUP(RIGHT(E237,3)+0,[1]SchLocTable!$A$2:$B$47,2,FALSE)," ")</f>
        <v>Dunbar</v>
      </c>
      <c r="B237" s="366" t="str">
        <f>VLOOKUP(VALUE(D237),$D$3:F$106,3,FALSE)</f>
        <v>Principals</v>
      </c>
      <c r="C237" t="s">
        <v>314</v>
      </c>
      <c r="D237">
        <v>800</v>
      </c>
      <c r="E237" t="s">
        <v>351</v>
      </c>
      <c r="F237" t="s">
        <v>321</v>
      </c>
      <c r="G237" t="s">
        <v>319</v>
      </c>
      <c r="H237" s="502">
        <v>52917</v>
      </c>
      <c r="I237" s="415">
        <v>14579.447999999999</v>
      </c>
      <c r="J237" s="415">
        <v>3149.4</v>
      </c>
      <c r="K237" s="415">
        <v>41403.769999999997</v>
      </c>
      <c r="L237" s="415">
        <v>23328.92</v>
      </c>
      <c r="M237" s="415">
        <v>37123.03</v>
      </c>
      <c r="N237" s="415">
        <v>32246.42</v>
      </c>
      <c r="O237" s="415">
        <v>29713.21</v>
      </c>
      <c r="P237" s="415">
        <v>40806.660000000003</v>
      </c>
      <c r="Q237" s="481">
        <f t="shared" si="49"/>
        <v>-11430.047999999999</v>
      </c>
      <c r="S237" s="399"/>
      <c r="T237" s="399"/>
      <c r="U237" s="399"/>
    </row>
    <row r="238" spans="1:21" outlineLevel="2" x14ac:dyDescent="0.3">
      <c r="A238" s="366" t="str">
        <f>IFERROR(VLOOKUP(RIGHT(E238,3)+0,[1]SchLocTable!$A$2:$B$47,2,FALSE)," ")</f>
        <v>Dunbar</v>
      </c>
      <c r="B238" s="366" t="str">
        <f>VLOOKUP(VALUE(D238),$D$3:F$106,3,FALSE)</f>
        <v>Principals</v>
      </c>
      <c r="C238" t="s">
        <v>314</v>
      </c>
      <c r="D238">
        <v>800</v>
      </c>
      <c r="E238" t="s">
        <v>351</v>
      </c>
      <c r="F238" t="s">
        <v>318</v>
      </c>
      <c r="G238" t="s">
        <v>319</v>
      </c>
      <c r="H238" s="502">
        <v>51140</v>
      </c>
      <c r="I238" s="415">
        <v>0</v>
      </c>
      <c r="J238" s="415">
        <v>0</v>
      </c>
      <c r="K238" s="415">
        <v>1300</v>
      </c>
      <c r="L238" s="415">
        <v>0</v>
      </c>
      <c r="M238" s="415">
        <v>1100</v>
      </c>
      <c r="N238" s="415">
        <v>1100</v>
      </c>
      <c r="O238" s="415">
        <v>0</v>
      </c>
      <c r="P238" s="415">
        <v>0</v>
      </c>
      <c r="Q238" s="481">
        <f t="shared" si="49"/>
        <v>0</v>
      </c>
      <c r="S238" s="399"/>
      <c r="T238" s="399"/>
      <c r="U238" s="399"/>
    </row>
    <row r="239" spans="1:21" outlineLevel="2" x14ac:dyDescent="0.3">
      <c r="A239" s="366" t="str">
        <f>IFERROR(VLOOKUP(RIGHT(E239,3)+0,[1]SchLocTable!$A$2:$B$47,2,FALSE)," ")</f>
        <v>Dunbar</v>
      </c>
      <c r="B239" s="366" t="str">
        <f>VLOOKUP(VALUE(D239),$D$3:F$106,3,FALSE)</f>
        <v>Principals</v>
      </c>
      <c r="C239" t="s">
        <v>314</v>
      </c>
      <c r="D239">
        <v>800</v>
      </c>
      <c r="E239" t="s">
        <v>351</v>
      </c>
      <c r="F239" t="s">
        <v>320</v>
      </c>
      <c r="G239" t="s">
        <v>319</v>
      </c>
      <c r="H239" s="502">
        <v>52360</v>
      </c>
      <c r="I239" s="415">
        <v>4679.5273820750008</v>
      </c>
      <c r="J239" s="415">
        <v>2947.94</v>
      </c>
      <c r="K239" s="415">
        <v>4121.46</v>
      </c>
      <c r="L239" s="415">
        <v>4028.07</v>
      </c>
      <c r="M239" s="415">
        <v>4459.87</v>
      </c>
      <c r="N239" s="415">
        <v>4119.21</v>
      </c>
      <c r="O239" s="415">
        <v>3653.01</v>
      </c>
      <c r="P239" s="415">
        <v>3387.46</v>
      </c>
      <c r="Q239" s="481">
        <f t="shared" si="49"/>
        <v>-1731.5873820750007</v>
      </c>
      <c r="S239" s="399"/>
      <c r="T239" s="399"/>
      <c r="U239" s="399"/>
    </row>
    <row r="240" spans="1:21" outlineLevel="2" x14ac:dyDescent="0.3">
      <c r="A240" s="366" t="str">
        <f>IFERROR(VLOOKUP(RIGHT(E240,3)+0,[1]SchLocTable!$A$2:$B$47,2,FALSE)," ")</f>
        <v>Dunbar</v>
      </c>
      <c r="B240" s="366" t="str">
        <f>VLOOKUP(VALUE(D240),$D$3:F$106,3,FALSE)</f>
        <v>Principals</v>
      </c>
      <c r="C240" t="s">
        <v>314</v>
      </c>
      <c r="D240">
        <v>800</v>
      </c>
      <c r="E240" t="s">
        <v>351</v>
      </c>
      <c r="F240" t="s">
        <v>329</v>
      </c>
      <c r="G240" t="s">
        <v>319</v>
      </c>
      <c r="H240" s="502">
        <v>51154</v>
      </c>
      <c r="I240" s="415">
        <v>51371.25</v>
      </c>
      <c r="J240" s="415">
        <v>0</v>
      </c>
      <c r="K240" s="415">
        <v>0</v>
      </c>
      <c r="L240" s="415">
        <v>0</v>
      </c>
      <c r="M240" s="415">
        <v>0</v>
      </c>
      <c r="N240" s="415">
        <v>0</v>
      </c>
      <c r="O240" s="415">
        <v>0</v>
      </c>
      <c r="P240" s="415">
        <v>0</v>
      </c>
      <c r="Q240" s="481">
        <f t="shared" si="49"/>
        <v>-51371.25</v>
      </c>
      <c r="S240" s="399"/>
      <c r="T240" s="399"/>
      <c r="U240" s="399"/>
    </row>
    <row r="241" spans="1:21" outlineLevel="2" x14ac:dyDescent="0.3">
      <c r="A241" s="366" t="str">
        <f>IFERROR(VLOOKUP(RIGHT(E241,3)+0,[1]SchLocTable!$A$2:$B$47,2,FALSE)," ")</f>
        <v>Curiale</v>
      </c>
      <c r="B241" s="366" t="str">
        <f>VLOOKUP(VALUE(D241),$D$3:F$106,3,FALSE)</f>
        <v>Principals</v>
      </c>
      <c r="C241" t="s">
        <v>314</v>
      </c>
      <c r="D241">
        <v>800</v>
      </c>
      <c r="E241" t="s">
        <v>352</v>
      </c>
      <c r="F241" t="s">
        <v>316</v>
      </c>
      <c r="G241">
        <v>2</v>
      </c>
      <c r="H241" s="502">
        <v>51000</v>
      </c>
      <c r="I241" s="415">
        <v>321443.10379999998</v>
      </c>
      <c r="J241" s="415">
        <v>308652</v>
      </c>
      <c r="K241" s="415">
        <v>299954.32</v>
      </c>
      <c r="L241" s="415">
        <v>278937.09999999998</v>
      </c>
      <c r="M241" s="415">
        <v>274647.89</v>
      </c>
      <c r="N241" s="415">
        <v>268457.02</v>
      </c>
      <c r="O241" s="415">
        <v>248069.62</v>
      </c>
      <c r="P241" s="415">
        <v>232221.61</v>
      </c>
      <c r="Q241" s="481">
        <f t="shared" si="49"/>
        <v>-12791.103799999983</v>
      </c>
      <c r="S241" s="399"/>
      <c r="T241" s="399"/>
      <c r="U241" s="399"/>
    </row>
    <row r="242" spans="1:21" outlineLevel="2" x14ac:dyDescent="0.3">
      <c r="A242" s="366" t="str">
        <f>IFERROR(VLOOKUP(RIGHT(E242,3)+0,[1]SchLocTable!$A$2:$B$47,2,FALSE)," ")</f>
        <v>Curiale</v>
      </c>
      <c r="B242" s="366" t="str">
        <f>VLOOKUP(VALUE(D242),$D$3:F$106,3,FALSE)</f>
        <v>Principals</v>
      </c>
      <c r="C242" t="s">
        <v>314</v>
      </c>
      <c r="D242">
        <v>800</v>
      </c>
      <c r="E242" t="s">
        <v>352</v>
      </c>
      <c r="F242" t="s">
        <v>321</v>
      </c>
      <c r="G242" t="s">
        <v>319</v>
      </c>
      <c r="H242" s="502">
        <v>52917</v>
      </c>
      <c r="I242" s="415">
        <v>44486.207999999999</v>
      </c>
      <c r="J242" s="415">
        <v>35899</v>
      </c>
      <c r="K242" s="415">
        <v>33098.19</v>
      </c>
      <c r="L242" s="415">
        <v>41433.89</v>
      </c>
      <c r="M242" s="415">
        <v>31390.55</v>
      </c>
      <c r="N242" s="415">
        <v>29649.81</v>
      </c>
      <c r="O242" s="415">
        <v>28138.37</v>
      </c>
      <c r="P242" s="415">
        <v>26639.93</v>
      </c>
      <c r="Q242" s="481">
        <f t="shared" si="49"/>
        <v>-8587.2079999999987</v>
      </c>
      <c r="S242" s="399"/>
      <c r="T242" s="399"/>
      <c r="U242" s="399"/>
    </row>
    <row r="243" spans="1:21" outlineLevel="2" x14ac:dyDescent="0.3">
      <c r="A243" s="366" t="str">
        <f>IFERROR(VLOOKUP(RIGHT(E243,3)+0,[1]SchLocTable!$A$2:$B$47,2,FALSE)," ")</f>
        <v>Curiale</v>
      </c>
      <c r="B243" s="366" t="str">
        <f>VLOOKUP(VALUE(D243),$D$3:F$106,3,FALSE)</f>
        <v>Principals</v>
      </c>
      <c r="C243" t="s">
        <v>314</v>
      </c>
      <c r="D243">
        <v>800</v>
      </c>
      <c r="E243" t="s">
        <v>352</v>
      </c>
      <c r="F243" t="s">
        <v>318</v>
      </c>
      <c r="G243" t="s">
        <v>319</v>
      </c>
      <c r="H243" s="502">
        <v>51140</v>
      </c>
      <c r="I243" s="415">
        <v>1400</v>
      </c>
      <c r="J243" s="415">
        <v>0</v>
      </c>
      <c r="K243" s="415">
        <v>1400</v>
      </c>
      <c r="L243" s="415">
        <v>1400</v>
      </c>
      <c r="M243" s="415">
        <v>1400</v>
      </c>
      <c r="N243" s="415">
        <v>1400</v>
      </c>
      <c r="O243" s="415">
        <v>1300</v>
      </c>
      <c r="P243" s="415">
        <v>0</v>
      </c>
      <c r="Q243" s="481">
        <f t="shared" si="49"/>
        <v>-1400</v>
      </c>
      <c r="S243" s="399"/>
      <c r="T243" s="399"/>
      <c r="U243" s="399"/>
    </row>
    <row r="244" spans="1:21" outlineLevel="2" x14ac:dyDescent="0.3">
      <c r="A244" s="366" t="str">
        <f>IFERROR(VLOOKUP(RIGHT(E244,3)+0,[1]SchLocTable!$A$2:$B$47,2,FALSE)," ")</f>
        <v>Curiale</v>
      </c>
      <c r="B244" s="366" t="str">
        <f>VLOOKUP(VALUE(D244),$D$3:F$106,3,FALSE)</f>
        <v>Principals</v>
      </c>
      <c r="C244" t="s">
        <v>314</v>
      </c>
      <c r="D244">
        <v>800</v>
      </c>
      <c r="E244" t="s">
        <v>352</v>
      </c>
      <c r="F244" t="s">
        <v>320</v>
      </c>
      <c r="G244" t="s">
        <v>319</v>
      </c>
      <c r="H244" s="502">
        <v>52360</v>
      </c>
      <c r="I244" s="415">
        <v>4660.9250050999999</v>
      </c>
      <c r="J244" s="415">
        <v>4289</v>
      </c>
      <c r="K244" s="415">
        <v>4212.9399999999996</v>
      </c>
      <c r="L244" s="415">
        <v>3856.68</v>
      </c>
      <c r="M244" s="415">
        <v>3850.03</v>
      </c>
      <c r="N244" s="415">
        <v>3776.54</v>
      </c>
      <c r="O244" s="415">
        <v>3489.13</v>
      </c>
      <c r="P244" s="415">
        <v>3273.83</v>
      </c>
      <c r="Q244" s="481">
        <f t="shared" si="49"/>
        <v>-371.92500509999991</v>
      </c>
      <c r="S244" s="399"/>
      <c r="T244" s="399"/>
      <c r="U244" s="399"/>
    </row>
    <row r="245" spans="1:21" outlineLevel="2" x14ac:dyDescent="0.3">
      <c r="A245" s="366" t="str">
        <f>IFERROR(VLOOKUP(RIGHT(E245,3)+0,[1]SchLocTable!$A$2:$B$47,2,FALSE)," ")</f>
        <v>High Horizons Magnet</v>
      </c>
      <c r="B245" s="366" t="str">
        <f>VLOOKUP(VALUE(D245),$D$3:F$106,3,FALSE)</f>
        <v>Principals</v>
      </c>
      <c r="C245" t="s">
        <v>314</v>
      </c>
      <c r="D245">
        <v>800</v>
      </c>
      <c r="E245" t="s">
        <v>353</v>
      </c>
      <c r="F245" t="s">
        <v>316</v>
      </c>
      <c r="G245">
        <v>1</v>
      </c>
      <c r="H245" s="502">
        <v>51000</v>
      </c>
      <c r="I245" s="415">
        <v>171514.31569999998</v>
      </c>
      <c r="J245" s="415">
        <v>180134.23</v>
      </c>
      <c r="K245" s="415">
        <v>268549.56</v>
      </c>
      <c r="L245" s="415">
        <v>158560.51</v>
      </c>
      <c r="M245" s="415">
        <v>156626.45000000001</v>
      </c>
      <c r="N245" s="415">
        <v>153628.79999999999</v>
      </c>
      <c r="O245" s="415">
        <v>150349.25</v>
      </c>
      <c r="P245" s="415">
        <v>142848.22</v>
      </c>
      <c r="Q245" s="481">
        <f t="shared" si="49"/>
        <v>8619.9143000000331</v>
      </c>
      <c r="S245" s="399"/>
      <c r="T245" s="399"/>
      <c r="U245" s="399"/>
    </row>
    <row r="246" spans="1:21" outlineLevel="2" x14ac:dyDescent="0.3">
      <c r="A246" s="366" t="str">
        <f>IFERROR(VLOOKUP(RIGHT(E246,3)+0,[1]SchLocTable!$A$2:$B$47,2,FALSE)," ")</f>
        <v>High Horizons Magnet</v>
      </c>
      <c r="B246" s="366" t="str">
        <f>VLOOKUP(VALUE(D246),$D$3:F$106,3,FALSE)</f>
        <v>Principals</v>
      </c>
      <c r="C246" t="s">
        <v>314</v>
      </c>
      <c r="D246">
        <v>800</v>
      </c>
      <c r="E246" t="s">
        <v>353</v>
      </c>
      <c r="F246" t="s">
        <v>321</v>
      </c>
      <c r="G246" t="s">
        <v>319</v>
      </c>
      <c r="H246" s="502">
        <v>52917</v>
      </c>
      <c r="I246" s="415">
        <v>43174.248</v>
      </c>
      <c r="J246" s="415">
        <v>39163.47</v>
      </c>
      <c r="K246" s="415">
        <v>53593.03</v>
      </c>
      <c r="L246" s="415">
        <v>29828.33</v>
      </c>
      <c r="M246" s="415">
        <v>29423.98</v>
      </c>
      <c r="N246" s="415">
        <v>27567.54</v>
      </c>
      <c r="O246" s="415">
        <v>26394.05</v>
      </c>
      <c r="P246" s="415">
        <v>25117.68</v>
      </c>
      <c r="Q246" s="481">
        <f t="shared" si="49"/>
        <v>-4010.7779999999984</v>
      </c>
      <c r="S246" s="399"/>
      <c r="T246" s="399"/>
      <c r="U246" s="399"/>
    </row>
    <row r="247" spans="1:21" outlineLevel="2" x14ac:dyDescent="0.3">
      <c r="A247" s="366" t="str">
        <f>IFERROR(VLOOKUP(RIGHT(E247,3)+0,[1]SchLocTable!$A$2:$B$47,2,FALSE)," ")</f>
        <v>High Horizons Magnet</v>
      </c>
      <c r="B247" s="366" t="str">
        <f>VLOOKUP(VALUE(D247),$D$3:F$106,3,FALSE)</f>
        <v>Principals</v>
      </c>
      <c r="C247" t="s">
        <v>314</v>
      </c>
      <c r="D247">
        <v>800</v>
      </c>
      <c r="E247" t="s">
        <v>353</v>
      </c>
      <c r="F247" t="s">
        <v>318</v>
      </c>
      <c r="G247" t="s">
        <v>319</v>
      </c>
      <c r="H247" s="502">
        <v>51140</v>
      </c>
      <c r="I247" s="415">
        <v>1400</v>
      </c>
      <c r="J247" s="415">
        <v>0</v>
      </c>
      <c r="K247" s="415">
        <v>2500</v>
      </c>
      <c r="L247" s="415">
        <v>1400</v>
      </c>
      <c r="M247" s="415">
        <v>1400</v>
      </c>
      <c r="N247" s="415">
        <v>1300</v>
      </c>
      <c r="O247" s="415">
        <v>1300</v>
      </c>
      <c r="P247" s="415">
        <v>1300</v>
      </c>
      <c r="Q247" s="481">
        <f t="shared" si="49"/>
        <v>-1400</v>
      </c>
      <c r="S247" s="399"/>
      <c r="T247" s="399"/>
      <c r="U247" s="399"/>
    </row>
    <row r="248" spans="1:21" outlineLevel="2" x14ac:dyDescent="0.3">
      <c r="A248" s="366" t="str">
        <f>IFERROR(VLOOKUP(RIGHT(E248,3)+0,[1]SchLocTable!$A$2:$B$47,2,FALSE)," ")</f>
        <v>High Horizons Magnet</v>
      </c>
      <c r="B248" s="366" t="str">
        <f>VLOOKUP(VALUE(D248),$D$3:F$106,3,FALSE)</f>
        <v>Principals</v>
      </c>
      <c r="C248" t="s">
        <v>314</v>
      </c>
      <c r="D248">
        <v>800</v>
      </c>
      <c r="E248" t="s">
        <v>353</v>
      </c>
      <c r="F248" t="s">
        <v>320</v>
      </c>
      <c r="G248" t="s">
        <v>319</v>
      </c>
      <c r="H248" s="502">
        <v>52360</v>
      </c>
      <c r="I248" s="415">
        <v>2486.9575776499996</v>
      </c>
      <c r="J248" s="415">
        <v>2560.61</v>
      </c>
      <c r="K248" s="415">
        <v>3628.08</v>
      </c>
      <c r="L248" s="415">
        <v>2430.6999999999998</v>
      </c>
      <c r="M248" s="415">
        <v>2126.34</v>
      </c>
      <c r="N248" s="415">
        <v>2093.4699999999998</v>
      </c>
      <c r="O248" s="415">
        <v>2056.19</v>
      </c>
      <c r="P248" s="415">
        <v>1958.6</v>
      </c>
      <c r="Q248" s="481">
        <f t="shared" si="49"/>
        <v>73.652422350000506</v>
      </c>
      <c r="S248" s="399"/>
      <c r="T248" s="399"/>
      <c r="U248" s="399"/>
    </row>
    <row r="249" spans="1:21" outlineLevel="2" x14ac:dyDescent="0.3">
      <c r="A249" s="366" t="str">
        <f>IFERROR(VLOOKUP(RIGHT(E249,3)+0,[1]SchLocTable!$A$2:$B$47,2,FALSE)," ")</f>
        <v>High Horizons Magnet</v>
      </c>
      <c r="B249" s="366" t="str">
        <f>VLOOKUP(VALUE(D249),$D$3:F$106,3,FALSE)</f>
        <v>Principals</v>
      </c>
      <c r="C249" t="s">
        <v>314</v>
      </c>
      <c r="D249">
        <v>800</v>
      </c>
      <c r="E249" t="s">
        <v>353</v>
      </c>
      <c r="F249" t="s">
        <v>317</v>
      </c>
      <c r="G249" t="s">
        <v>319</v>
      </c>
      <c r="H249" s="502">
        <v>51100</v>
      </c>
      <c r="I249" s="415">
        <v>0</v>
      </c>
      <c r="J249" s="415">
        <v>0</v>
      </c>
      <c r="K249" s="415">
        <v>0</v>
      </c>
      <c r="L249" s="415">
        <v>19350</v>
      </c>
      <c r="M249" s="415">
        <v>0</v>
      </c>
      <c r="N249" s="415">
        <v>0</v>
      </c>
      <c r="O249" s="415">
        <v>0</v>
      </c>
      <c r="P249" s="415">
        <v>0</v>
      </c>
      <c r="Q249" s="481">
        <f t="shared" si="49"/>
        <v>0</v>
      </c>
      <c r="S249" s="399"/>
      <c r="T249" s="399"/>
      <c r="U249" s="399"/>
    </row>
    <row r="250" spans="1:21" outlineLevel="2" x14ac:dyDescent="0.3">
      <c r="A250" s="366" t="str">
        <f>IFERROR(VLOOKUP(RIGHT(E250,3)+0,[1]SchLocTable!$A$2:$B$47,2,FALSE)," ")</f>
        <v>Multicultural Magnet</v>
      </c>
      <c r="B250" s="366" t="str">
        <f>VLOOKUP(VALUE(D250),$D$3:F$106,3,FALSE)</f>
        <v>Principals</v>
      </c>
      <c r="C250" t="s">
        <v>314</v>
      </c>
      <c r="D250">
        <v>800</v>
      </c>
      <c r="E250" t="s">
        <v>354</v>
      </c>
      <c r="F250" t="s">
        <v>316</v>
      </c>
      <c r="G250">
        <v>2</v>
      </c>
      <c r="H250" s="502">
        <v>51000</v>
      </c>
      <c r="I250" s="415">
        <v>323630.43440000003</v>
      </c>
      <c r="J250" s="415">
        <v>297449.02</v>
      </c>
      <c r="K250" s="415">
        <v>272041.46999999997</v>
      </c>
      <c r="L250" s="415">
        <v>152894.68</v>
      </c>
      <c r="M250" s="415">
        <v>160008.34</v>
      </c>
      <c r="N250" s="415">
        <v>153010.96</v>
      </c>
      <c r="O250" s="415">
        <v>144914.18</v>
      </c>
      <c r="P250" s="415">
        <v>143195.32999999999</v>
      </c>
      <c r="Q250" s="481">
        <f t="shared" si="49"/>
        <v>-26181.414400000009</v>
      </c>
      <c r="S250" s="399"/>
      <c r="T250" s="399"/>
      <c r="U250" s="399"/>
    </row>
    <row r="251" spans="1:21" outlineLevel="2" x14ac:dyDescent="0.3">
      <c r="A251" s="366" t="str">
        <f>IFERROR(VLOOKUP(RIGHT(E251,3)+0,[1]SchLocTable!$A$2:$B$47,2,FALSE)," ")</f>
        <v>Multicultural Magnet</v>
      </c>
      <c r="B251" s="366" t="str">
        <f>VLOOKUP(VALUE(D251),$D$3:F$106,3,FALSE)</f>
        <v>Principals</v>
      </c>
      <c r="C251" t="s">
        <v>314</v>
      </c>
      <c r="D251">
        <v>800</v>
      </c>
      <c r="E251" t="s">
        <v>354</v>
      </c>
      <c r="F251" t="s">
        <v>321</v>
      </c>
      <c r="G251" t="s">
        <v>319</v>
      </c>
      <c r="H251" s="502">
        <v>52917</v>
      </c>
      <c r="I251" s="415">
        <v>49631.712</v>
      </c>
      <c r="J251" s="415">
        <v>39113</v>
      </c>
      <c r="K251" s="415">
        <v>35800.93</v>
      </c>
      <c r="L251" s="415">
        <v>15466.21</v>
      </c>
      <c r="M251" s="415">
        <v>1142.3499999999999</v>
      </c>
      <c r="N251" s="415">
        <v>1344.22</v>
      </c>
      <c r="O251" s="415">
        <v>1216.52</v>
      </c>
      <c r="P251" s="415">
        <v>1289.1099999999999</v>
      </c>
      <c r="Q251" s="481">
        <f t="shared" si="49"/>
        <v>-10518.712</v>
      </c>
      <c r="S251" s="399"/>
      <c r="T251" s="399"/>
      <c r="U251" s="399"/>
    </row>
    <row r="252" spans="1:21" outlineLevel="2" x14ac:dyDescent="0.3">
      <c r="A252" s="366" t="str">
        <f>IFERROR(VLOOKUP(RIGHT(E252,3)+0,[1]SchLocTable!$A$2:$B$47,2,FALSE)," ")</f>
        <v>Multicultural Magnet</v>
      </c>
      <c r="B252" s="366" t="str">
        <f>VLOOKUP(VALUE(D252),$D$3:F$106,3,FALSE)</f>
        <v>Principals</v>
      </c>
      <c r="C252" t="s">
        <v>314</v>
      </c>
      <c r="D252">
        <v>800</v>
      </c>
      <c r="E252" t="s">
        <v>354</v>
      </c>
      <c r="F252" t="s">
        <v>318</v>
      </c>
      <c r="G252" t="s">
        <v>319</v>
      </c>
      <c r="H252" s="502">
        <v>51140</v>
      </c>
      <c r="I252" s="415">
        <v>2700</v>
      </c>
      <c r="J252" s="415">
        <v>0</v>
      </c>
      <c r="K252" s="415">
        <v>2700</v>
      </c>
      <c r="L252" s="415">
        <v>1400</v>
      </c>
      <c r="M252" s="415">
        <v>1300</v>
      </c>
      <c r="N252" s="415">
        <v>1300</v>
      </c>
      <c r="O252" s="415">
        <v>1300</v>
      </c>
      <c r="P252" s="415">
        <v>1300</v>
      </c>
      <c r="Q252" s="481">
        <f t="shared" si="49"/>
        <v>-2700</v>
      </c>
      <c r="S252" s="399"/>
      <c r="T252" s="399"/>
      <c r="U252" s="399"/>
    </row>
    <row r="253" spans="1:21" outlineLevel="2" x14ac:dyDescent="0.3">
      <c r="A253" s="366" t="str">
        <f>IFERROR(VLOOKUP(RIGHT(E253,3)+0,[1]SchLocTable!$A$2:$B$47,2,FALSE)," ")</f>
        <v>Multicultural Magnet</v>
      </c>
      <c r="B253" s="366" t="str">
        <f>VLOOKUP(VALUE(D253),$D$3:F$106,3,FALSE)</f>
        <v>Principals</v>
      </c>
      <c r="C253" t="s">
        <v>314</v>
      </c>
      <c r="D253">
        <v>800</v>
      </c>
      <c r="E253" t="s">
        <v>354</v>
      </c>
      <c r="F253" t="s">
        <v>320</v>
      </c>
      <c r="G253" t="s">
        <v>319</v>
      </c>
      <c r="H253" s="502">
        <v>52360</v>
      </c>
      <c r="I253" s="415">
        <v>4692.6412988000002</v>
      </c>
      <c r="J253" s="415">
        <v>4270.41</v>
      </c>
      <c r="K253" s="415">
        <v>3660.64</v>
      </c>
      <c r="L253" s="415">
        <v>2326.19</v>
      </c>
      <c r="M253" s="415">
        <v>2340.19</v>
      </c>
      <c r="N253" s="415">
        <v>2278.41</v>
      </c>
      <c r="O253" s="415">
        <v>2122.15</v>
      </c>
      <c r="P253" s="415">
        <v>2098.0100000000002</v>
      </c>
      <c r="Q253" s="481">
        <f t="shared" si="49"/>
        <v>-422.23129880000033</v>
      </c>
      <c r="S253" s="399"/>
      <c r="T253" s="399"/>
      <c r="U253" s="399"/>
    </row>
    <row r="254" spans="1:21" outlineLevel="2" x14ac:dyDescent="0.3">
      <c r="A254" s="366" t="str">
        <f>IFERROR(VLOOKUP(RIGHT(E254,3)+0,[1]SchLocTable!$A$2:$B$47,2,FALSE)," ")</f>
        <v>Multicultural Magnet</v>
      </c>
      <c r="B254" s="366" t="str">
        <f>VLOOKUP(VALUE(D254),$D$3:F$106,3,FALSE)</f>
        <v>Principals</v>
      </c>
      <c r="C254" t="s">
        <v>314</v>
      </c>
      <c r="D254">
        <v>800</v>
      </c>
      <c r="E254" t="s">
        <v>354</v>
      </c>
      <c r="F254" t="s">
        <v>317</v>
      </c>
      <c r="G254" t="s">
        <v>319</v>
      </c>
      <c r="H254" s="502">
        <v>51100</v>
      </c>
      <c r="I254" s="415">
        <v>0</v>
      </c>
      <c r="J254" s="415">
        <v>0</v>
      </c>
      <c r="K254" s="415">
        <v>0</v>
      </c>
      <c r="L254" s="415">
        <v>2250</v>
      </c>
      <c r="M254" s="415">
        <v>0</v>
      </c>
      <c r="N254" s="415">
        <v>0</v>
      </c>
      <c r="O254" s="415">
        <v>0</v>
      </c>
      <c r="P254" s="415">
        <v>0</v>
      </c>
      <c r="Q254" s="481">
        <f t="shared" si="49"/>
        <v>0</v>
      </c>
      <c r="S254" s="399"/>
      <c r="T254" s="399"/>
      <c r="U254" s="399"/>
    </row>
    <row r="255" spans="1:21" outlineLevel="2" x14ac:dyDescent="0.3">
      <c r="A255" s="366" t="str">
        <f>IFERROR(VLOOKUP(RIGHT(E255,3)+0,[1]SchLocTable!$A$2:$B$47,2,FALSE)," ")</f>
        <v>Bassick HS</v>
      </c>
      <c r="B255" s="366" t="str">
        <f>VLOOKUP(VALUE(D255),$D$3:F$106,3,FALSE)</f>
        <v>Principals</v>
      </c>
      <c r="C255" t="s">
        <v>314</v>
      </c>
      <c r="D255">
        <v>800</v>
      </c>
      <c r="E255" t="s">
        <v>355</v>
      </c>
      <c r="F255" t="s">
        <v>316</v>
      </c>
      <c r="G255">
        <v>3</v>
      </c>
      <c r="H255" s="502">
        <v>51000</v>
      </c>
      <c r="I255" s="415">
        <v>531136.91539999994</v>
      </c>
      <c r="J255" s="415">
        <v>354150.96</v>
      </c>
      <c r="K255" s="415">
        <v>617977.30000000005</v>
      </c>
      <c r="L255" s="415">
        <v>460611.55</v>
      </c>
      <c r="M255" s="415">
        <v>421135.23</v>
      </c>
      <c r="N255" s="415">
        <v>444063.81</v>
      </c>
      <c r="O255" s="415">
        <v>421492.01</v>
      </c>
      <c r="P255" s="415">
        <v>417328.22</v>
      </c>
      <c r="Q255" s="481">
        <f t="shared" ref="Q255:Q318" si="50">J255-I255</f>
        <v>-176985.95539999992</v>
      </c>
      <c r="S255" s="399"/>
      <c r="T255" s="399"/>
      <c r="U255" s="399"/>
    </row>
    <row r="256" spans="1:21" outlineLevel="2" x14ac:dyDescent="0.3">
      <c r="A256" s="366" t="str">
        <f>IFERROR(VLOOKUP(RIGHT(E256,3)+0,[1]SchLocTable!$A$2:$B$47,2,FALSE)," ")</f>
        <v>Bassick HS</v>
      </c>
      <c r="B256" s="366" t="str">
        <f>VLOOKUP(VALUE(D256),$D$3:F$106,3,FALSE)</f>
        <v>Principals</v>
      </c>
      <c r="C256" t="s">
        <v>314</v>
      </c>
      <c r="D256">
        <v>800</v>
      </c>
      <c r="E256" t="s">
        <v>355</v>
      </c>
      <c r="F256" t="s">
        <v>321</v>
      </c>
      <c r="G256" t="s">
        <v>319</v>
      </c>
      <c r="H256" s="502">
        <v>52917</v>
      </c>
      <c r="I256" s="415">
        <v>92914.223999999987</v>
      </c>
      <c r="J256" s="415">
        <v>72748.460000000006</v>
      </c>
      <c r="K256" s="415">
        <v>86059.58</v>
      </c>
      <c r="L256" s="415">
        <v>87683.15</v>
      </c>
      <c r="M256" s="415">
        <v>53039.11</v>
      </c>
      <c r="N256" s="415">
        <v>28463.759999999998</v>
      </c>
      <c r="O256" s="415">
        <v>30385.919999999998</v>
      </c>
      <c r="P256" s="415">
        <v>34680.07</v>
      </c>
      <c r="Q256" s="481">
        <f t="shared" si="50"/>
        <v>-20165.763999999981</v>
      </c>
      <c r="S256" s="399"/>
      <c r="T256" s="399"/>
      <c r="U256" s="399"/>
    </row>
    <row r="257" spans="1:21" outlineLevel="2" x14ac:dyDescent="0.3">
      <c r="A257" s="366" t="str">
        <f>IFERROR(VLOOKUP(RIGHT(E257,3)+0,[1]SchLocTable!$A$2:$B$47,2,FALSE)," ")</f>
        <v>Bassick HS</v>
      </c>
      <c r="B257" s="366" t="str">
        <f>VLOOKUP(VALUE(D257),$D$3:F$106,3,FALSE)</f>
        <v>Principals</v>
      </c>
      <c r="C257" t="s">
        <v>314</v>
      </c>
      <c r="D257">
        <v>800</v>
      </c>
      <c r="E257" t="s">
        <v>355</v>
      </c>
      <c r="F257" t="s">
        <v>318</v>
      </c>
      <c r="G257" t="s">
        <v>319</v>
      </c>
      <c r="H257" s="502">
        <v>51140</v>
      </c>
      <c r="I257" s="415">
        <v>2500</v>
      </c>
      <c r="J257" s="415">
        <v>0</v>
      </c>
      <c r="K257" s="415">
        <v>2500</v>
      </c>
      <c r="L257" s="415">
        <v>1100</v>
      </c>
      <c r="M257" s="415">
        <v>1100</v>
      </c>
      <c r="N257" s="415">
        <v>0</v>
      </c>
      <c r="O257" s="415">
        <v>0</v>
      </c>
      <c r="P257" s="415">
        <v>0</v>
      </c>
      <c r="Q257" s="481">
        <f t="shared" si="50"/>
        <v>-2500</v>
      </c>
      <c r="S257" s="399"/>
      <c r="T257" s="399"/>
      <c r="U257" s="399"/>
    </row>
    <row r="258" spans="1:21" outlineLevel="2" x14ac:dyDescent="0.3">
      <c r="A258" s="366" t="str">
        <f>IFERROR(VLOOKUP(RIGHT(E258,3)+0,[1]SchLocTable!$A$2:$B$47,2,FALSE)," ")</f>
        <v>Bassick HS</v>
      </c>
      <c r="B258" s="366" t="str">
        <f>VLOOKUP(VALUE(D258),$D$3:F$106,3,FALSE)</f>
        <v>Principals</v>
      </c>
      <c r="C258" t="s">
        <v>314</v>
      </c>
      <c r="D258">
        <v>800</v>
      </c>
      <c r="E258" t="s">
        <v>355</v>
      </c>
      <c r="F258" t="s">
        <v>320</v>
      </c>
      <c r="G258" t="s">
        <v>319</v>
      </c>
      <c r="H258" s="502">
        <v>52360</v>
      </c>
      <c r="I258" s="415">
        <v>7701.4852733000007</v>
      </c>
      <c r="J258" s="415">
        <v>5138.84</v>
      </c>
      <c r="K258" s="415">
        <v>8560.2900000000009</v>
      </c>
      <c r="L258" s="415">
        <v>6214.98</v>
      </c>
      <c r="M258" s="415">
        <v>5842.41</v>
      </c>
      <c r="N258" s="415">
        <v>6288.63</v>
      </c>
      <c r="O258" s="415">
        <v>5970.36</v>
      </c>
      <c r="P258" s="415">
        <v>5879.25</v>
      </c>
      <c r="Q258" s="481">
        <f t="shared" si="50"/>
        <v>-2562.6452733000006</v>
      </c>
      <c r="S258" s="399"/>
      <c r="T258" s="399"/>
      <c r="U258" s="399"/>
    </row>
    <row r="259" spans="1:21" outlineLevel="2" x14ac:dyDescent="0.3">
      <c r="A259" s="366" t="str">
        <f>IFERROR(VLOOKUP(RIGHT(E259,3)+0,[1]SchLocTable!$A$2:$B$47,2,FALSE)," ")</f>
        <v>Bassick HS</v>
      </c>
      <c r="B259" s="366" t="str">
        <f>VLOOKUP(VALUE(D259),$D$3:F$106,3,FALSE)</f>
        <v>Principals</v>
      </c>
      <c r="C259" t="s">
        <v>314</v>
      </c>
      <c r="D259">
        <v>800</v>
      </c>
      <c r="E259" t="s">
        <v>355</v>
      </c>
      <c r="F259" t="s">
        <v>356</v>
      </c>
      <c r="G259" t="s">
        <v>319</v>
      </c>
      <c r="H259" s="502">
        <v>51156</v>
      </c>
      <c r="I259" s="415">
        <v>6870.1309000000001</v>
      </c>
      <c r="J259" s="415">
        <v>0</v>
      </c>
      <c r="K259" s="415">
        <v>1667.51</v>
      </c>
      <c r="L259" s="415">
        <v>0</v>
      </c>
      <c r="M259" s="415">
        <v>0</v>
      </c>
      <c r="N259" s="415">
        <v>0</v>
      </c>
      <c r="O259" s="415">
        <v>0</v>
      </c>
      <c r="P259" s="415">
        <v>0</v>
      </c>
      <c r="Q259" s="481">
        <f t="shared" si="50"/>
        <v>-6870.1309000000001</v>
      </c>
      <c r="S259" s="399"/>
      <c r="T259" s="399"/>
      <c r="U259" s="399"/>
    </row>
    <row r="260" spans="1:21" outlineLevel="2" x14ac:dyDescent="0.3">
      <c r="A260" s="366" t="str">
        <f>IFERROR(VLOOKUP(RIGHT(E260,3)+0,[1]SchLocTable!$A$2:$B$47,2,FALSE)," ")</f>
        <v>Central HS</v>
      </c>
      <c r="B260" s="366" t="str">
        <f>VLOOKUP(VALUE(D260),$D$3:F$106,3,FALSE)</f>
        <v>Principals</v>
      </c>
      <c r="C260" t="s">
        <v>314</v>
      </c>
      <c r="D260">
        <v>800</v>
      </c>
      <c r="E260" t="s">
        <v>357</v>
      </c>
      <c r="F260" t="s">
        <v>316</v>
      </c>
      <c r="G260">
        <v>5</v>
      </c>
      <c r="H260" s="502">
        <v>51000</v>
      </c>
      <c r="I260" s="415">
        <v>861265.98739999987</v>
      </c>
      <c r="J260" s="415">
        <v>668015.76</v>
      </c>
      <c r="K260" s="415">
        <v>762581.34</v>
      </c>
      <c r="L260" s="415">
        <v>738590.57</v>
      </c>
      <c r="M260" s="415">
        <v>704327.47</v>
      </c>
      <c r="N260" s="415">
        <v>720259.97</v>
      </c>
      <c r="O260" s="415">
        <v>704736.25</v>
      </c>
      <c r="P260" s="415">
        <v>698377.44</v>
      </c>
      <c r="Q260" s="481">
        <f t="shared" si="50"/>
        <v>-193250.22739999986</v>
      </c>
      <c r="S260" s="399"/>
      <c r="T260" s="399"/>
      <c r="U260" s="399"/>
    </row>
    <row r="261" spans="1:21" outlineLevel="2" x14ac:dyDescent="0.3">
      <c r="A261" s="366" t="str">
        <f>IFERROR(VLOOKUP(RIGHT(E261,3)+0,[1]SchLocTable!$A$2:$B$47,2,FALSE)," ")</f>
        <v>Central HS</v>
      </c>
      <c r="B261" s="366" t="str">
        <f>VLOOKUP(VALUE(D261),$D$3:F$106,3,FALSE)</f>
        <v>Principals</v>
      </c>
      <c r="C261" t="s">
        <v>314</v>
      </c>
      <c r="D261">
        <v>800</v>
      </c>
      <c r="E261" t="s">
        <v>357</v>
      </c>
      <c r="F261" t="s">
        <v>321</v>
      </c>
      <c r="G261" t="s">
        <v>319</v>
      </c>
      <c r="H261" s="502">
        <v>52917</v>
      </c>
      <c r="I261" s="415">
        <v>184779.19200000001</v>
      </c>
      <c r="J261" s="415">
        <v>140619.4</v>
      </c>
      <c r="K261" s="415">
        <v>160903.67999999999</v>
      </c>
      <c r="L261" s="415">
        <v>148467.43</v>
      </c>
      <c r="M261" s="415">
        <v>136557.32999999999</v>
      </c>
      <c r="N261" s="415">
        <v>132317.14000000001</v>
      </c>
      <c r="O261" s="415">
        <v>113428.93</v>
      </c>
      <c r="P261" s="415">
        <v>108065.39</v>
      </c>
      <c r="Q261" s="481">
        <f t="shared" si="50"/>
        <v>-44159.792000000016</v>
      </c>
      <c r="S261" s="399"/>
      <c r="T261" s="399"/>
      <c r="U261" s="399"/>
    </row>
    <row r="262" spans="1:21" outlineLevel="2" x14ac:dyDescent="0.3">
      <c r="A262" s="366" t="str">
        <f>IFERROR(VLOOKUP(RIGHT(E262,3)+0,[1]SchLocTable!$A$2:$B$47,2,FALSE)," ")</f>
        <v>Central HS</v>
      </c>
      <c r="B262" s="366" t="str">
        <f>VLOOKUP(VALUE(D262),$D$3:F$106,3,FALSE)</f>
        <v>Principals</v>
      </c>
      <c r="C262" t="s">
        <v>314</v>
      </c>
      <c r="D262">
        <v>800</v>
      </c>
      <c r="E262" t="s">
        <v>357</v>
      </c>
      <c r="F262" t="s">
        <v>318</v>
      </c>
      <c r="G262" t="s">
        <v>319</v>
      </c>
      <c r="H262" s="502">
        <v>51140</v>
      </c>
      <c r="I262" s="415">
        <v>5400</v>
      </c>
      <c r="J262" s="415">
        <v>0</v>
      </c>
      <c r="K262" s="415">
        <v>5100</v>
      </c>
      <c r="L262" s="415">
        <v>6100</v>
      </c>
      <c r="M262" s="415">
        <v>5400</v>
      </c>
      <c r="N262" s="415">
        <v>5400</v>
      </c>
      <c r="O262" s="415">
        <v>5500</v>
      </c>
      <c r="P262" s="415">
        <v>6700</v>
      </c>
      <c r="Q262" s="481">
        <f t="shared" si="50"/>
        <v>-5400</v>
      </c>
      <c r="S262" s="399"/>
      <c r="T262" s="399"/>
      <c r="U262" s="399"/>
    </row>
    <row r="263" spans="1:21" outlineLevel="2" x14ac:dyDescent="0.3">
      <c r="A263" s="366" t="str">
        <f>IFERROR(VLOOKUP(RIGHT(E263,3)+0,[1]SchLocTable!$A$2:$B$47,2,FALSE)," ")</f>
        <v>Central HS</v>
      </c>
      <c r="B263" s="366" t="str">
        <f>VLOOKUP(VALUE(D263),$D$3:F$106,3,FALSE)</f>
        <v>Principals</v>
      </c>
      <c r="C263" t="s">
        <v>314</v>
      </c>
      <c r="D263">
        <v>800</v>
      </c>
      <c r="E263" t="s">
        <v>357</v>
      </c>
      <c r="F263" t="s">
        <v>320</v>
      </c>
      <c r="G263" t="s">
        <v>319</v>
      </c>
      <c r="H263" s="502">
        <v>52360</v>
      </c>
      <c r="I263" s="415">
        <v>12488.356817300004</v>
      </c>
      <c r="J263" s="415">
        <v>9520.2800000000007</v>
      </c>
      <c r="K263" s="415">
        <v>10258.709999999999</v>
      </c>
      <c r="L263" s="415">
        <v>10034.44</v>
      </c>
      <c r="M263" s="415">
        <v>10151.35</v>
      </c>
      <c r="N263" s="415">
        <v>9861.7099999999991</v>
      </c>
      <c r="O263" s="415">
        <v>9732.4500000000007</v>
      </c>
      <c r="P263" s="415">
        <v>9725.01</v>
      </c>
      <c r="Q263" s="481">
        <f t="shared" si="50"/>
        <v>-2968.0768173000033</v>
      </c>
      <c r="S263" s="399"/>
      <c r="T263" s="399"/>
      <c r="U263" s="399"/>
    </row>
    <row r="264" spans="1:21" outlineLevel="2" x14ac:dyDescent="0.3">
      <c r="A264" s="366" t="str">
        <f>IFERROR(VLOOKUP(RIGHT(E264,3)+0,[1]SchLocTable!$A$2:$B$47,2,FALSE)," ")</f>
        <v>Central HS</v>
      </c>
      <c r="B264" s="366" t="str">
        <f>VLOOKUP(VALUE(D264),$D$3:F$106,3,FALSE)</f>
        <v>Principals</v>
      </c>
      <c r="C264" t="s">
        <v>314</v>
      </c>
      <c r="D264">
        <v>800</v>
      </c>
      <c r="E264" t="s">
        <v>357</v>
      </c>
      <c r="F264" t="s">
        <v>329</v>
      </c>
      <c r="G264" t="s">
        <v>319</v>
      </c>
      <c r="H264" s="502">
        <v>51154</v>
      </c>
      <c r="I264" s="415">
        <v>0</v>
      </c>
      <c r="J264" s="415">
        <v>0</v>
      </c>
      <c r="K264" s="415">
        <v>0</v>
      </c>
      <c r="L264" s="415">
        <v>0</v>
      </c>
      <c r="M264" s="415">
        <v>36331.360000000001</v>
      </c>
      <c r="N264" s="415">
        <v>0</v>
      </c>
      <c r="O264" s="415">
        <v>0</v>
      </c>
      <c r="P264" s="415">
        <v>0</v>
      </c>
      <c r="Q264" s="481">
        <f t="shared" si="50"/>
        <v>0</v>
      </c>
      <c r="S264" s="399"/>
      <c r="T264" s="399"/>
      <c r="U264" s="399"/>
    </row>
    <row r="265" spans="1:21" outlineLevel="2" x14ac:dyDescent="0.3">
      <c r="A265" s="366" t="str">
        <f>IFERROR(VLOOKUP(RIGHT(E265,3)+0,[1]SchLocTable!$A$2:$B$47,2,FALSE)," ")</f>
        <v>Harding HS</v>
      </c>
      <c r="B265" s="366" t="str">
        <f>VLOOKUP(VALUE(D265),$D$3:F$106,3,FALSE)</f>
        <v>Principals</v>
      </c>
      <c r="C265" t="s">
        <v>314</v>
      </c>
      <c r="D265">
        <v>800</v>
      </c>
      <c r="E265" t="s">
        <v>358</v>
      </c>
      <c r="F265" t="s">
        <v>316</v>
      </c>
      <c r="G265">
        <v>4</v>
      </c>
      <c r="H265" s="502">
        <v>51000</v>
      </c>
      <c r="I265" s="415">
        <v>674694.57964999997</v>
      </c>
      <c r="J265" s="415">
        <v>635937</v>
      </c>
      <c r="K265" s="415">
        <v>601078.93000000005</v>
      </c>
      <c r="L265" s="415">
        <v>611753.81999999995</v>
      </c>
      <c r="M265" s="415">
        <v>587580.84</v>
      </c>
      <c r="N265" s="415">
        <v>569230.35</v>
      </c>
      <c r="O265" s="415">
        <v>535404.69999999995</v>
      </c>
      <c r="P265" s="415">
        <v>532451.62</v>
      </c>
      <c r="Q265" s="481">
        <f t="shared" si="50"/>
        <v>-38757.579649999971</v>
      </c>
      <c r="S265" s="399"/>
      <c r="T265" s="399"/>
      <c r="U265" s="399"/>
    </row>
    <row r="266" spans="1:21" outlineLevel="2" x14ac:dyDescent="0.3">
      <c r="A266" s="366" t="str">
        <f>IFERROR(VLOOKUP(RIGHT(E266,3)+0,[1]SchLocTable!$A$2:$B$47,2,FALSE)," ")</f>
        <v>Harding HS</v>
      </c>
      <c r="B266" s="366" t="str">
        <f>VLOOKUP(VALUE(D266),$D$3:F$106,3,FALSE)</f>
        <v>Principals</v>
      </c>
      <c r="C266" t="s">
        <v>314</v>
      </c>
      <c r="D266">
        <v>800</v>
      </c>
      <c r="E266" t="s">
        <v>358</v>
      </c>
      <c r="F266" t="s">
        <v>321</v>
      </c>
      <c r="G266" t="s">
        <v>319</v>
      </c>
      <c r="H266" s="502">
        <v>52917</v>
      </c>
      <c r="I266" s="415">
        <v>131090.23199999999</v>
      </c>
      <c r="J266" s="415">
        <v>93266</v>
      </c>
      <c r="K266" s="415">
        <v>96671.46</v>
      </c>
      <c r="L266" s="415">
        <v>89148.95</v>
      </c>
      <c r="M266" s="415">
        <v>88724.36</v>
      </c>
      <c r="N266" s="415">
        <v>82564.39</v>
      </c>
      <c r="O266" s="415">
        <v>74893.13</v>
      </c>
      <c r="P266" s="415">
        <v>72980.399999999994</v>
      </c>
      <c r="Q266" s="481">
        <f t="shared" si="50"/>
        <v>-37824.231999999989</v>
      </c>
      <c r="S266" s="399"/>
      <c r="T266" s="399"/>
      <c r="U266" s="399"/>
    </row>
    <row r="267" spans="1:21" outlineLevel="2" x14ac:dyDescent="0.3">
      <c r="A267" s="366" t="str">
        <f>IFERROR(VLOOKUP(RIGHT(E267,3)+0,[1]SchLocTable!$A$2:$B$47,2,FALSE)," ")</f>
        <v>Harding HS</v>
      </c>
      <c r="B267" s="366" t="str">
        <f>VLOOKUP(VALUE(D267),$D$3:F$106,3,FALSE)</f>
        <v>Principals</v>
      </c>
      <c r="C267" t="s">
        <v>314</v>
      </c>
      <c r="D267">
        <v>800</v>
      </c>
      <c r="E267" t="s">
        <v>358</v>
      </c>
      <c r="F267" t="s">
        <v>318</v>
      </c>
      <c r="G267" t="s">
        <v>319</v>
      </c>
      <c r="H267" s="502">
        <v>51140</v>
      </c>
      <c r="I267" s="415">
        <v>0</v>
      </c>
      <c r="J267" s="415">
        <v>0</v>
      </c>
      <c r="K267" s="415">
        <v>1500</v>
      </c>
      <c r="L267" s="415">
        <v>2800</v>
      </c>
      <c r="M267" s="415">
        <v>1500</v>
      </c>
      <c r="N267" s="415">
        <v>1500</v>
      </c>
      <c r="O267" s="415">
        <v>1400</v>
      </c>
      <c r="P267" s="415">
        <v>1400</v>
      </c>
      <c r="Q267" s="481">
        <f t="shared" si="50"/>
        <v>0</v>
      </c>
      <c r="S267" s="399"/>
      <c r="T267" s="399"/>
      <c r="U267" s="399"/>
    </row>
    <row r="268" spans="1:21" outlineLevel="2" x14ac:dyDescent="0.3">
      <c r="A268" s="366" t="str">
        <f>IFERROR(VLOOKUP(RIGHT(E268,3)+0,[1]SchLocTable!$A$2:$B$47,2,FALSE)," ")</f>
        <v>Harding HS</v>
      </c>
      <c r="B268" s="366" t="str">
        <f>VLOOKUP(VALUE(D268),$D$3:F$106,3,FALSE)</f>
        <v>Principals</v>
      </c>
      <c r="C268" t="s">
        <v>314</v>
      </c>
      <c r="D268">
        <v>800</v>
      </c>
      <c r="E268" t="s">
        <v>358</v>
      </c>
      <c r="F268" t="s">
        <v>320</v>
      </c>
      <c r="G268" t="s">
        <v>319</v>
      </c>
      <c r="H268" s="502">
        <v>52360</v>
      </c>
      <c r="I268" s="415">
        <v>9783.0714049250018</v>
      </c>
      <c r="J268" s="415">
        <v>8651</v>
      </c>
      <c r="K268" s="415">
        <v>8185.58</v>
      </c>
      <c r="L268" s="415">
        <v>8427.2199999999993</v>
      </c>
      <c r="M268" s="415">
        <v>8065.46</v>
      </c>
      <c r="N268" s="415">
        <v>7841.57</v>
      </c>
      <c r="O268" s="415">
        <v>7401.76</v>
      </c>
      <c r="P268" s="415">
        <v>7384.17</v>
      </c>
      <c r="Q268" s="481">
        <f t="shared" si="50"/>
        <v>-1132.0714049250018</v>
      </c>
      <c r="S268" s="399"/>
      <c r="T268" s="399"/>
      <c r="U268" s="399"/>
    </row>
    <row r="269" spans="1:21" outlineLevel="2" x14ac:dyDescent="0.3">
      <c r="A269" s="366" t="str">
        <f>IFERROR(VLOOKUP(RIGHT(E269,3)+0,[1]SchLocTable!$A$2:$B$47,2,FALSE)," ")</f>
        <v xml:space="preserve"> </v>
      </c>
      <c r="B269" s="366" t="str">
        <f>VLOOKUP(VALUE(D269),$D$3:F$106,3,FALSE)</f>
        <v>Elementary Classroom</v>
      </c>
      <c r="C269" t="s">
        <v>314</v>
      </c>
      <c r="D269">
        <v>801</v>
      </c>
      <c r="E269" t="s">
        <v>359</v>
      </c>
      <c r="F269" t="s">
        <v>316</v>
      </c>
      <c r="G269" t="s">
        <v>319</v>
      </c>
      <c r="H269" s="502">
        <v>51000</v>
      </c>
      <c r="I269" s="415">
        <v>187505.88420659304</v>
      </c>
      <c r="J269" s="415">
        <v>-9098880.8100000005</v>
      </c>
      <c r="K269" s="415">
        <v>0</v>
      </c>
      <c r="L269" s="415">
        <v>0</v>
      </c>
      <c r="M269" s="415">
        <v>0</v>
      </c>
      <c r="N269" s="415">
        <v>0</v>
      </c>
      <c r="O269" s="415">
        <v>0</v>
      </c>
      <c r="P269" s="415">
        <v>0</v>
      </c>
      <c r="Q269" s="481">
        <f t="shared" si="50"/>
        <v>-9286386.6942065936</v>
      </c>
      <c r="S269" s="399"/>
      <c r="T269" s="399"/>
      <c r="U269" s="399"/>
    </row>
    <row r="270" spans="1:21" outlineLevel="2" x14ac:dyDescent="0.3">
      <c r="A270" s="366" t="str">
        <f>IFERROR(VLOOKUP(RIGHT(E270,3)+0,[1]SchLocTable!$A$2:$B$47,2,FALSE)," ")</f>
        <v xml:space="preserve"> </v>
      </c>
      <c r="B270" s="366" t="str">
        <f>VLOOKUP(VALUE(D270),$D$3:F$106,3,FALSE)</f>
        <v>Elementary Classroom</v>
      </c>
      <c r="C270" t="s">
        <v>314</v>
      </c>
      <c r="D270">
        <v>801</v>
      </c>
      <c r="E270" t="s">
        <v>359</v>
      </c>
      <c r="F270" t="s">
        <v>360</v>
      </c>
      <c r="G270" t="s">
        <v>319</v>
      </c>
      <c r="H270" s="502">
        <v>52920</v>
      </c>
      <c r="I270" s="415">
        <v>15000</v>
      </c>
      <c r="J270" s="415">
        <v>0</v>
      </c>
      <c r="K270" s="415">
        <v>0</v>
      </c>
      <c r="L270" s="415">
        <v>0</v>
      </c>
      <c r="M270" s="415">
        <v>0</v>
      </c>
      <c r="N270" s="415">
        <v>0</v>
      </c>
      <c r="O270" s="415">
        <v>0</v>
      </c>
      <c r="P270" s="415">
        <v>0</v>
      </c>
      <c r="Q270" s="481">
        <f t="shared" si="50"/>
        <v>-15000</v>
      </c>
      <c r="S270" s="399"/>
      <c r="T270" s="399"/>
      <c r="U270" s="399"/>
    </row>
    <row r="271" spans="1:21" outlineLevel="2" x14ac:dyDescent="0.3">
      <c r="A271" s="366" t="str">
        <f>IFERROR(VLOOKUP(RIGHT(E271,3)+0,[1]SchLocTable!$A$2:$B$47,2,FALSE)," ")</f>
        <v xml:space="preserve"> </v>
      </c>
      <c r="B271" s="366" t="str">
        <f>VLOOKUP(VALUE(D271),$D$3:F$106,3,FALSE)</f>
        <v>Elementary Classroom</v>
      </c>
      <c r="C271" t="s">
        <v>314</v>
      </c>
      <c r="D271">
        <v>801</v>
      </c>
      <c r="E271" t="s">
        <v>359</v>
      </c>
      <c r="F271" t="s">
        <v>318</v>
      </c>
      <c r="G271" t="s">
        <v>319</v>
      </c>
      <c r="H271" s="502">
        <v>51140</v>
      </c>
      <c r="I271" s="415">
        <v>152434.5</v>
      </c>
      <c r="J271" s="415">
        <v>0</v>
      </c>
      <c r="K271" s="415">
        <v>0</v>
      </c>
      <c r="L271" s="415">
        <v>0</v>
      </c>
      <c r="M271" s="415">
        <v>0</v>
      </c>
      <c r="N271" s="415">
        <v>0</v>
      </c>
      <c r="O271" s="415">
        <v>0</v>
      </c>
      <c r="P271" s="415">
        <v>0</v>
      </c>
      <c r="Q271" s="481">
        <f t="shared" si="50"/>
        <v>-152434.5</v>
      </c>
      <c r="S271" s="399"/>
      <c r="T271" s="399"/>
      <c r="U271" s="399"/>
    </row>
    <row r="272" spans="1:21" outlineLevel="2" x14ac:dyDescent="0.3">
      <c r="A272" s="366" t="str">
        <f>IFERROR(VLOOKUP(RIGHT(E272,3)+0,[1]SchLocTable!$A$2:$B$47,2,FALSE)," ")</f>
        <v xml:space="preserve"> </v>
      </c>
      <c r="B272" s="366" t="str">
        <f>VLOOKUP(VALUE(D272),$D$3:F$106,3,FALSE)</f>
        <v>Elementary Classroom</v>
      </c>
      <c r="C272" t="s">
        <v>314</v>
      </c>
      <c r="D272">
        <v>801</v>
      </c>
      <c r="E272" t="s">
        <v>359</v>
      </c>
      <c r="F272" t="s">
        <v>329</v>
      </c>
      <c r="G272" t="s">
        <v>319</v>
      </c>
      <c r="H272" s="502">
        <v>51154</v>
      </c>
      <c r="I272" s="415">
        <v>183397.31950000001</v>
      </c>
      <c r="J272" s="415">
        <v>248495.71</v>
      </c>
      <c r="K272" s="415">
        <v>0</v>
      </c>
      <c r="L272" s="415">
        <v>0</v>
      </c>
      <c r="M272" s="415">
        <v>0</v>
      </c>
      <c r="N272" s="415">
        <v>0</v>
      </c>
      <c r="O272" s="415">
        <v>0</v>
      </c>
      <c r="P272" s="415">
        <v>0</v>
      </c>
      <c r="Q272" s="481">
        <f t="shared" si="50"/>
        <v>65098.39049999998</v>
      </c>
      <c r="S272" s="399"/>
      <c r="T272" s="399"/>
      <c r="U272" s="399"/>
    </row>
    <row r="273" spans="1:21" outlineLevel="2" x14ac:dyDescent="0.3">
      <c r="A273" s="366" t="str">
        <f>IFERROR(VLOOKUP(RIGHT(E273,3)+0,[1]SchLocTable!$A$2:$B$47,2,FALSE)," ")</f>
        <v xml:space="preserve"> </v>
      </c>
      <c r="B273" s="366" t="str">
        <f>VLOOKUP(VALUE(D273),$D$3:F$106,3,FALSE)</f>
        <v>Elementary Classroom</v>
      </c>
      <c r="C273" t="s">
        <v>314</v>
      </c>
      <c r="D273">
        <v>801</v>
      </c>
      <c r="E273" t="s">
        <v>359</v>
      </c>
      <c r="F273" t="s">
        <v>356</v>
      </c>
      <c r="G273" t="s">
        <v>319</v>
      </c>
      <c r="H273" s="502">
        <v>51156</v>
      </c>
      <c r="I273" s="415">
        <v>103000</v>
      </c>
      <c r="J273" s="415">
        <v>0</v>
      </c>
      <c r="K273" s="415">
        <v>0</v>
      </c>
      <c r="L273" s="415">
        <v>0</v>
      </c>
      <c r="M273" s="415">
        <v>0</v>
      </c>
      <c r="N273" s="415">
        <v>0</v>
      </c>
      <c r="O273" s="415">
        <v>0</v>
      </c>
      <c r="P273" s="415">
        <v>0</v>
      </c>
      <c r="Q273" s="481">
        <f t="shared" si="50"/>
        <v>-103000</v>
      </c>
      <c r="S273" s="399"/>
      <c r="T273" s="399"/>
      <c r="U273" s="399"/>
    </row>
    <row r="274" spans="1:21" outlineLevel="2" x14ac:dyDescent="0.3">
      <c r="A274" s="366" t="str">
        <f>IFERROR(VLOOKUP(RIGHT(E274,3)+0,[1]SchLocTable!$A$2:$B$47,2,FALSE)," ")</f>
        <v>Barnum</v>
      </c>
      <c r="B274" s="366" t="str">
        <f>VLOOKUP(VALUE(D274),$D$3:F$106,3,FALSE)</f>
        <v>Elementary Classroom</v>
      </c>
      <c r="C274" t="s">
        <v>314</v>
      </c>
      <c r="D274">
        <v>801</v>
      </c>
      <c r="E274" t="s">
        <v>361</v>
      </c>
      <c r="F274" t="s">
        <v>316</v>
      </c>
      <c r="G274">
        <v>6</v>
      </c>
      <c r="H274" s="502">
        <v>51000</v>
      </c>
      <c r="I274" s="415">
        <v>305184.44684000005</v>
      </c>
      <c r="J274" s="415">
        <v>458757.42</v>
      </c>
      <c r="K274" s="415">
        <v>679877.56</v>
      </c>
      <c r="L274" s="415">
        <v>704330.03</v>
      </c>
      <c r="M274" s="415">
        <v>881115.2</v>
      </c>
      <c r="N274" s="415">
        <v>947560.02</v>
      </c>
      <c r="O274" s="415">
        <v>914772.82</v>
      </c>
      <c r="P274" s="415">
        <v>925379.65</v>
      </c>
      <c r="Q274" s="481">
        <f t="shared" si="50"/>
        <v>153572.97315999994</v>
      </c>
      <c r="S274" s="399"/>
      <c r="T274" s="399"/>
      <c r="U274" s="399"/>
    </row>
    <row r="275" spans="1:21" outlineLevel="2" x14ac:dyDescent="0.3">
      <c r="A275" s="366" t="str">
        <f>IFERROR(VLOOKUP(RIGHT(E275,3)+0,[1]SchLocTable!$A$2:$B$47,2,FALSE)," ")</f>
        <v>Barnum</v>
      </c>
      <c r="B275" s="366" t="str">
        <f>VLOOKUP(VALUE(D275),$D$3:F$106,3,FALSE)</f>
        <v>Elementary Classroom</v>
      </c>
      <c r="C275" t="s">
        <v>314</v>
      </c>
      <c r="D275">
        <v>801</v>
      </c>
      <c r="E275" t="s">
        <v>361</v>
      </c>
      <c r="F275" t="s">
        <v>321</v>
      </c>
      <c r="G275" t="s">
        <v>319</v>
      </c>
      <c r="H275" s="502">
        <v>52917</v>
      </c>
      <c r="I275" s="415">
        <v>108042.47999999998</v>
      </c>
      <c r="J275" s="415">
        <v>108919.33</v>
      </c>
      <c r="K275" s="415">
        <v>131637.12</v>
      </c>
      <c r="L275" s="415">
        <v>105649.44</v>
      </c>
      <c r="M275" s="415">
        <v>170307.73</v>
      </c>
      <c r="N275" s="415">
        <v>128578.01</v>
      </c>
      <c r="O275" s="415">
        <v>152155.79</v>
      </c>
      <c r="P275" s="415">
        <v>144372.37</v>
      </c>
      <c r="Q275" s="481">
        <f t="shared" si="50"/>
        <v>876.85000000002037</v>
      </c>
      <c r="S275" s="399"/>
      <c r="T275" s="399"/>
      <c r="U275" s="399"/>
    </row>
    <row r="276" spans="1:21" outlineLevel="2" x14ac:dyDescent="0.3">
      <c r="A276" s="366" t="str">
        <f>IFERROR(VLOOKUP(RIGHT(E276,3)+0,[1]SchLocTable!$A$2:$B$47,2,FALSE)," ")</f>
        <v>Barnum</v>
      </c>
      <c r="B276" s="366" t="str">
        <f>VLOOKUP(VALUE(D276),$D$3:F$106,3,FALSE)</f>
        <v>Elementary Classroom</v>
      </c>
      <c r="C276" t="s">
        <v>314</v>
      </c>
      <c r="D276">
        <v>801</v>
      </c>
      <c r="E276" t="s">
        <v>361</v>
      </c>
      <c r="F276" t="s">
        <v>318</v>
      </c>
      <c r="G276" t="s">
        <v>319</v>
      </c>
      <c r="H276" s="502">
        <v>51140</v>
      </c>
      <c r="I276" s="415">
        <v>1200</v>
      </c>
      <c r="J276" s="415">
        <v>0</v>
      </c>
      <c r="K276" s="415">
        <v>2100</v>
      </c>
      <c r="L276" s="415">
        <v>2765.93</v>
      </c>
      <c r="M276" s="415">
        <v>6200</v>
      </c>
      <c r="N276" s="415">
        <v>5300</v>
      </c>
      <c r="O276" s="415">
        <v>4400</v>
      </c>
      <c r="P276" s="415">
        <v>5300</v>
      </c>
      <c r="Q276" s="481">
        <f t="shared" si="50"/>
        <v>-1200</v>
      </c>
      <c r="S276" s="399"/>
      <c r="T276" s="399"/>
      <c r="U276" s="399"/>
    </row>
    <row r="277" spans="1:21" outlineLevel="2" x14ac:dyDescent="0.3">
      <c r="A277" s="366" t="str">
        <f>IFERROR(VLOOKUP(RIGHT(E277,3)+0,[1]SchLocTable!$A$2:$B$47,2,FALSE)," ")</f>
        <v>Barnum</v>
      </c>
      <c r="B277" s="366" t="str">
        <f>VLOOKUP(VALUE(D277),$D$3:F$106,3,FALSE)</f>
        <v>Elementary Classroom</v>
      </c>
      <c r="C277" t="s">
        <v>314</v>
      </c>
      <c r="D277">
        <v>801</v>
      </c>
      <c r="E277" t="s">
        <v>361</v>
      </c>
      <c r="F277" t="s">
        <v>320</v>
      </c>
      <c r="G277" t="s">
        <v>319</v>
      </c>
      <c r="H277" s="502">
        <v>52360</v>
      </c>
      <c r="I277" s="415">
        <v>4425.1744791800002</v>
      </c>
      <c r="J277" s="415">
        <v>6583.16</v>
      </c>
      <c r="K277" s="415">
        <v>9328.1200000000008</v>
      </c>
      <c r="L277" s="415">
        <v>9800.08</v>
      </c>
      <c r="M277" s="415">
        <v>11916.98</v>
      </c>
      <c r="N277" s="415">
        <v>11925.58</v>
      </c>
      <c r="O277" s="415">
        <v>11376.81</v>
      </c>
      <c r="P277" s="415">
        <v>11604.6</v>
      </c>
      <c r="Q277" s="481">
        <f t="shared" si="50"/>
        <v>2157.9855208199997</v>
      </c>
      <c r="S277" s="399"/>
      <c r="T277" s="399"/>
      <c r="U277" s="399"/>
    </row>
    <row r="278" spans="1:21" outlineLevel="2" x14ac:dyDescent="0.3">
      <c r="A278" s="366" t="str">
        <f>IFERROR(VLOOKUP(RIGHT(E278,3)+0,[1]SchLocTable!$A$2:$B$47,2,FALSE)," ")</f>
        <v>Barnum</v>
      </c>
      <c r="B278" s="366" t="str">
        <f>VLOOKUP(VALUE(D278),$D$3:F$106,3,FALSE)</f>
        <v>Elementary Classroom</v>
      </c>
      <c r="C278" t="s">
        <v>314</v>
      </c>
      <c r="D278">
        <v>801</v>
      </c>
      <c r="E278" t="s">
        <v>361</v>
      </c>
      <c r="F278" t="s">
        <v>324</v>
      </c>
      <c r="G278" t="s">
        <v>319</v>
      </c>
      <c r="H278" s="502">
        <v>52385</v>
      </c>
      <c r="I278" s="415">
        <v>4171.05</v>
      </c>
      <c r="J278" s="415">
        <v>0</v>
      </c>
      <c r="K278" s="415">
        <v>6024.82</v>
      </c>
      <c r="L278" s="415">
        <v>6830.76</v>
      </c>
      <c r="M278" s="415">
        <v>882.81</v>
      </c>
      <c r="N278" s="415">
        <v>0</v>
      </c>
      <c r="O278" s="415">
        <v>0</v>
      </c>
      <c r="P278" s="415">
        <v>0</v>
      </c>
      <c r="Q278" s="481">
        <f t="shared" si="50"/>
        <v>-4171.05</v>
      </c>
      <c r="S278" s="399"/>
      <c r="T278" s="399"/>
      <c r="U278" s="399"/>
    </row>
    <row r="279" spans="1:21" outlineLevel="2" x14ac:dyDescent="0.3">
      <c r="A279" s="366" t="str">
        <f>IFERROR(VLOOKUP(RIGHT(E279,3)+0,[1]SchLocTable!$A$2:$B$47,2,FALSE)," ")</f>
        <v>Barnum</v>
      </c>
      <c r="B279" s="366" t="str">
        <f>VLOOKUP(VALUE(D279),$D$3:F$106,3,FALSE)</f>
        <v>Elementary Classroom</v>
      </c>
      <c r="C279" t="s">
        <v>314</v>
      </c>
      <c r="D279">
        <v>801</v>
      </c>
      <c r="E279" t="s">
        <v>361</v>
      </c>
      <c r="F279" t="s">
        <v>329</v>
      </c>
      <c r="G279" t="s">
        <v>319</v>
      </c>
      <c r="H279" s="502">
        <v>51154</v>
      </c>
      <c r="I279" s="415">
        <v>0</v>
      </c>
      <c r="J279" s="415">
        <v>0</v>
      </c>
      <c r="K279" s="415">
        <v>0</v>
      </c>
      <c r="L279" s="415">
        <v>0</v>
      </c>
      <c r="M279" s="415">
        <v>7150</v>
      </c>
      <c r="N279" s="415">
        <v>0</v>
      </c>
      <c r="O279" s="415">
        <v>0</v>
      </c>
      <c r="P279" s="415">
        <v>0</v>
      </c>
      <c r="Q279" s="481">
        <f t="shared" si="50"/>
        <v>0</v>
      </c>
      <c r="S279" s="399"/>
      <c r="T279" s="399"/>
      <c r="U279" s="399"/>
    </row>
    <row r="280" spans="1:21" outlineLevel="2" x14ac:dyDescent="0.3">
      <c r="A280" s="366" t="str">
        <f>IFERROR(VLOOKUP(RIGHT(E280,3)+0,[1]SchLocTable!$A$2:$B$47,2,FALSE)," ")</f>
        <v>Beardsley</v>
      </c>
      <c r="B280" s="366" t="str">
        <f>VLOOKUP(VALUE(D280),$D$3:F$106,3,FALSE)</f>
        <v>Elementary Classroom</v>
      </c>
      <c r="C280" t="s">
        <v>314</v>
      </c>
      <c r="D280">
        <v>801</v>
      </c>
      <c r="E280" t="s">
        <v>362</v>
      </c>
      <c r="F280" t="s">
        <v>316</v>
      </c>
      <c r="G280">
        <v>10</v>
      </c>
      <c r="H280" s="502">
        <v>51000</v>
      </c>
      <c r="I280" s="415">
        <v>454672.66858000006</v>
      </c>
      <c r="J280" s="415">
        <v>929490</v>
      </c>
      <c r="K280" s="415">
        <v>975710.55</v>
      </c>
      <c r="L280" s="415">
        <v>1077267.3600000001</v>
      </c>
      <c r="M280" s="415">
        <v>1103359.6599999999</v>
      </c>
      <c r="N280" s="415">
        <v>935352.6</v>
      </c>
      <c r="O280" s="415">
        <v>1067044.8</v>
      </c>
      <c r="P280" s="415">
        <v>1027093.05</v>
      </c>
      <c r="Q280" s="481">
        <f t="shared" si="50"/>
        <v>474817.33141999994</v>
      </c>
      <c r="S280" s="399"/>
      <c r="T280" s="399"/>
      <c r="U280" s="399"/>
    </row>
    <row r="281" spans="1:21" outlineLevel="2" x14ac:dyDescent="0.3">
      <c r="A281" s="366" t="str">
        <f>IFERROR(VLOOKUP(RIGHT(E281,3)+0,[1]SchLocTable!$A$2:$B$47,2,FALSE)," ")</f>
        <v>Beardsley</v>
      </c>
      <c r="B281" s="366" t="str">
        <f>VLOOKUP(VALUE(D281),$D$3:F$106,3,FALSE)</f>
        <v>Elementary Classroom</v>
      </c>
      <c r="C281" t="s">
        <v>314</v>
      </c>
      <c r="D281">
        <v>801</v>
      </c>
      <c r="E281" t="s">
        <v>362</v>
      </c>
      <c r="F281" t="s">
        <v>321</v>
      </c>
      <c r="G281" t="s">
        <v>319</v>
      </c>
      <c r="H281" s="502">
        <v>52917</v>
      </c>
      <c r="I281" s="415">
        <v>167950.44</v>
      </c>
      <c r="J281" s="415">
        <v>269753.82</v>
      </c>
      <c r="K281" s="415">
        <v>260151</v>
      </c>
      <c r="L281" s="415">
        <v>308553.78000000003</v>
      </c>
      <c r="M281" s="415">
        <v>308833.62</v>
      </c>
      <c r="N281" s="415">
        <v>286547.90999999997</v>
      </c>
      <c r="O281" s="415">
        <v>312758.34000000003</v>
      </c>
      <c r="P281" s="415">
        <v>252865.29</v>
      </c>
      <c r="Q281" s="481">
        <f t="shared" si="50"/>
        <v>101803.38</v>
      </c>
      <c r="S281" s="399"/>
      <c r="T281" s="399"/>
      <c r="U281" s="399"/>
    </row>
    <row r="282" spans="1:21" outlineLevel="2" x14ac:dyDescent="0.3">
      <c r="A282" s="366" t="str">
        <f>IFERROR(VLOOKUP(RIGHT(E282,3)+0,[1]SchLocTable!$A$2:$B$47,2,FALSE)," ")</f>
        <v>Beardsley</v>
      </c>
      <c r="B282" s="366" t="str">
        <f>VLOOKUP(VALUE(D282),$D$3:F$106,3,FALSE)</f>
        <v>Elementary Classroom</v>
      </c>
      <c r="C282" t="s">
        <v>314</v>
      </c>
      <c r="D282">
        <v>801</v>
      </c>
      <c r="E282" t="s">
        <v>362</v>
      </c>
      <c r="F282" t="s">
        <v>318</v>
      </c>
      <c r="G282" t="s">
        <v>319</v>
      </c>
      <c r="H282" s="502">
        <v>51140</v>
      </c>
      <c r="I282" s="415">
        <v>6900</v>
      </c>
      <c r="J282" s="415">
        <v>0</v>
      </c>
      <c r="K282" s="415">
        <v>8500</v>
      </c>
      <c r="L282" s="415">
        <v>11400</v>
      </c>
      <c r="M282" s="415">
        <v>11400</v>
      </c>
      <c r="N282" s="415">
        <v>8800</v>
      </c>
      <c r="O282" s="415">
        <v>10600</v>
      </c>
      <c r="P282" s="415">
        <v>9500</v>
      </c>
      <c r="Q282" s="481">
        <f t="shared" si="50"/>
        <v>-6900</v>
      </c>
      <c r="S282" s="399"/>
      <c r="T282" s="399"/>
      <c r="U282" s="399"/>
    </row>
    <row r="283" spans="1:21" outlineLevel="2" x14ac:dyDescent="0.3">
      <c r="A283" s="366" t="str">
        <f>IFERROR(VLOOKUP(RIGHT(E283,3)+0,[1]SchLocTable!$A$2:$B$47,2,FALSE)," ")</f>
        <v>Beardsley</v>
      </c>
      <c r="B283" s="366" t="str">
        <f>VLOOKUP(VALUE(D283),$D$3:F$106,3,FALSE)</f>
        <v>Elementary Classroom</v>
      </c>
      <c r="C283" t="s">
        <v>314</v>
      </c>
      <c r="D283">
        <v>801</v>
      </c>
      <c r="E283" t="s">
        <v>362</v>
      </c>
      <c r="F283" t="s">
        <v>320</v>
      </c>
      <c r="G283" t="s">
        <v>319</v>
      </c>
      <c r="H283" s="502">
        <v>52360</v>
      </c>
      <c r="I283" s="415">
        <v>6592.7536944100002</v>
      </c>
      <c r="J283" s="415">
        <v>12129</v>
      </c>
      <c r="K283" s="415">
        <v>12819.11</v>
      </c>
      <c r="L283" s="415">
        <v>15197.76</v>
      </c>
      <c r="M283" s="415">
        <v>15059.12</v>
      </c>
      <c r="N283" s="415">
        <v>13986.45</v>
      </c>
      <c r="O283" s="415">
        <v>14604.12</v>
      </c>
      <c r="P283" s="415">
        <v>14083.96</v>
      </c>
      <c r="Q283" s="481">
        <f t="shared" si="50"/>
        <v>5536.2463055899998</v>
      </c>
      <c r="S283" s="399"/>
      <c r="T283" s="399"/>
      <c r="U283" s="399"/>
    </row>
    <row r="284" spans="1:21" outlineLevel="2" x14ac:dyDescent="0.3">
      <c r="A284" s="366" t="str">
        <f>IFERROR(VLOOKUP(RIGHT(E284,3)+0,[1]SchLocTable!$A$2:$B$47,2,FALSE)," ")</f>
        <v>Beardsley</v>
      </c>
      <c r="B284" s="366" t="str">
        <f>VLOOKUP(VALUE(D284),$D$3:F$106,3,FALSE)</f>
        <v>Elementary Classroom</v>
      </c>
      <c r="C284" t="s">
        <v>314</v>
      </c>
      <c r="D284">
        <v>801</v>
      </c>
      <c r="E284" t="s">
        <v>362</v>
      </c>
      <c r="F284" t="s">
        <v>329</v>
      </c>
      <c r="G284" t="s">
        <v>319</v>
      </c>
      <c r="H284" s="502">
        <v>51154</v>
      </c>
      <c r="I284" s="415">
        <v>0</v>
      </c>
      <c r="J284" s="415">
        <v>0</v>
      </c>
      <c r="K284" s="415">
        <v>4550</v>
      </c>
      <c r="L284" s="415">
        <v>3900</v>
      </c>
      <c r="M284" s="415">
        <v>11375</v>
      </c>
      <c r="N284" s="415">
        <v>0</v>
      </c>
      <c r="O284" s="415">
        <v>11375</v>
      </c>
      <c r="P284" s="415">
        <v>0</v>
      </c>
      <c r="Q284" s="481">
        <f t="shared" si="50"/>
        <v>0</v>
      </c>
      <c r="S284" s="399"/>
      <c r="T284" s="399"/>
      <c r="U284" s="399"/>
    </row>
    <row r="285" spans="1:21" outlineLevel="2" x14ac:dyDescent="0.3">
      <c r="A285" s="366" t="str">
        <f>IFERROR(VLOOKUP(RIGHT(E285,3)+0,[1]SchLocTable!$A$2:$B$47,2,FALSE)," ")</f>
        <v>Black Rock</v>
      </c>
      <c r="B285" s="366" t="str">
        <f>VLOOKUP(VALUE(D285),$D$3:F$106,3,FALSE)</f>
        <v>Elementary Classroom</v>
      </c>
      <c r="C285" t="s">
        <v>314</v>
      </c>
      <c r="D285">
        <v>801</v>
      </c>
      <c r="E285" t="s">
        <v>363</v>
      </c>
      <c r="F285" t="s">
        <v>316</v>
      </c>
      <c r="G285">
        <v>10</v>
      </c>
      <c r="H285" s="502">
        <v>51000</v>
      </c>
      <c r="I285" s="415">
        <v>291463.48816000001</v>
      </c>
      <c r="J285" s="415">
        <v>847842</v>
      </c>
      <c r="K285" s="415">
        <v>799935.43</v>
      </c>
      <c r="L285" s="415">
        <v>879100.29</v>
      </c>
      <c r="M285" s="415">
        <v>781428.85</v>
      </c>
      <c r="N285" s="415">
        <v>772684.24</v>
      </c>
      <c r="O285" s="415">
        <v>793438.48</v>
      </c>
      <c r="P285" s="415">
        <v>759749.12</v>
      </c>
      <c r="Q285" s="481">
        <f t="shared" si="50"/>
        <v>556378.51184000005</v>
      </c>
      <c r="S285" s="399"/>
      <c r="T285" s="399"/>
      <c r="U285" s="399"/>
    </row>
    <row r="286" spans="1:21" outlineLevel="2" x14ac:dyDescent="0.3">
      <c r="A286" s="366" t="str">
        <f>IFERROR(VLOOKUP(RIGHT(E286,3)+0,[1]SchLocTable!$A$2:$B$47,2,FALSE)," ")</f>
        <v>Black Rock</v>
      </c>
      <c r="B286" s="366" t="str">
        <f>VLOOKUP(VALUE(D286),$D$3:F$106,3,FALSE)</f>
        <v>Elementary Classroom</v>
      </c>
      <c r="C286" t="s">
        <v>314</v>
      </c>
      <c r="D286">
        <v>801</v>
      </c>
      <c r="E286" t="s">
        <v>363</v>
      </c>
      <c r="F286" t="s">
        <v>321</v>
      </c>
      <c r="G286" t="s">
        <v>319</v>
      </c>
      <c r="H286" s="502">
        <v>52917</v>
      </c>
      <c r="I286" s="415">
        <v>47961.395999999993</v>
      </c>
      <c r="J286" s="415">
        <v>206428.95</v>
      </c>
      <c r="K286" s="415">
        <v>190473.54</v>
      </c>
      <c r="L286" s="415">
        <v>211816.15</v>
      </c>
      <c r="M286" s="415">
        <v>187056.88</v>
      </c>
      <c r="N286" s="415">
        <v>179378.2</v>
      </c>
      <c r="O286" s="415">
        <v>176709.6</v>
      </c>
      <c r="P286" s="415">
        <v>170501.52</v>
      </c>
      <c r="Q286" s="481">
        <f t="shared" si="50"/>
        <v>158467.554</v>
      </c>
      <c r="S286" s="399"/>
      <c r="T286" s="399"/>
      <c r="U286" s="399"/>
    </row>
    <row r="287" spans="1:21" outlineLevel="2" x14ac:dyDescent="0.3">
      <c r="A287" s="366" t="str">
        <f>IFERROR(VLOOKUP(RIGHT(E287,3)+0,[1]SchLocTable!$A$2:$B$47,2,FALSE)," ")</f>
        <v>Black Rock</v>
      </c>
      <c r="B287" s="366" t="str">
        <f>VLOOKUP(VALUE(D287),$D$3:F$106,3,FALSE)</f>
        <v>Elementary Classroom</v>
      </c>
      <c r="C287" t="s">
        <v>314</v>
      </c>
      <c r="D287">
        <v>801</v>
      </c>
      <c r="E287" t="s">
        <v>363</v>
      </c>
      <c r="F287" t="s">
        <v>318</v>
      </c>
      <c r="G287" t="s">
        <v>319</v>
      </c>
      <c r="H287" s="502">
        <v>51140</v>
      </c>
      <c r="I287" s="415">
        <v>6100</v>
      </c>
      <c r="J287" s="415">
        <v>0</v>
      </c>
      <c r="K287" s="415">
        <v>6000</v>
      </c>
      <c r="L287" s="415">
        <v>8400</v>
      </c>
      <c r="M287" s="415">
        <v>6300</v>
      </c>
      <c r="N287" s="415">
        <v>4100</v>
      </c>
      <c r="O287" s="415">
        <v>5400</v>
      </c>
      <c r="P287" s="415">
        <v>4300</v>
      </c>
      <c r="Q287" s="481">
        <f t="shared" si="50"/>
        <v>-6100</v>
      </c>
      <c r="S287" s="399"/>
      <c r="T287" s="399"/>
      <c r="U287" s="399"/>
    </row>
    <row r="288" spans="1:21" outlineLevel="2" x14ac:dyDescent="0.3">
      <c r="A288" s="366" t="str">
        <f>IFERROR(VLOOKUP(RIGHT(E288,3)+0,[1]SchLocTable!$A$2:$B$47,2,FALSE)," ")</f>
        <v>Black Rock</v>
      </c>
      <c r="B288" s="366" t="str">
        <f>VLOOKUP(VALUE(D288),$D$3:F$106,3,FALSE)</f>
        <v>Elementary Classroom</v>
      </c>
      <c r="C288" t="s">
        <v>314</v>
      </c>
      <c r="D288">
        <v>801</v>
      </c>
      <c r="E288" t="s">
        <v>363</v>
      </c>
      <c r="F288" t="s">
        <v>320</v>
      </c>
      <c r="G288" t="s">
        <v>319</v>
      </c>
      <c r="H288" s="502">
        <v>52360</v>
      </c>
      <c r="I288" s="415">
        <v>4226.2205783200006</v>
      </c>
      <c r="J288" s="415">
        <v>11266</v>
      </c>
      <c r="K288" s="415">
        <v>10688.55</v>
      </c>
      <c r="L288" s="415">
        <v>12090.95</v>
      </c>
      <c r="M288" s="415">
        <v>10620.84</v>
      </c>
      <c r="N288" s="415">
        <v>10565.13</v>
      </c>
      <c r="O288" s="415">
        <v>11079.09</v>
      </c>
      <c r="P288" s="415">
        <v>10443.65</v>
      </c>
      <c r="Q288" s="481">
        <f t="shared" si="50"/>
        <v>7039.7794216799994</v>
      </c>
      <c r="S288" s="399"/>
      <c r="T288" s="399"/>
      <c r="U288" s="399"/>
    </row>
    <row r="289" spans="1:21" outlineLevel="2" x14ac:dyDescent="0.3">
      <c r="A289" s="366" t="str">
        <f>IFERROR(VLOOKUP(RIGHT(E289,3)+0,[1]SchLocTable!$A$2:$B$47,2,FALSE)," ")</f>
        <v>Black Rock</v>
      </c>
      <c r="B289" s="366" t="str">
        <f>VLOOKUP(VALUE(D289),$D$3:F$106,3,FALSE)</f>
        <v>Elementary Classroom</v>
      </c>
      <c r="C289" t="s">
        <v>314</v>
      </c>
      <c r="D289">
        <v>801</v>
      </c>
      <c r="E289" t="s">
        <v>363</v>
      </c>
      <c r="F289" t="s">
        <v>324</v>
      </c>
      <c r="G289" t="s">
        <v>319</v>
      </c>
      <c r="H289" s="502">
        <v>52385</v>
      </c>
      <c r="I289" s="415">
        <v>0</v>
      </c>
      <c r="J289" s="415">
        <v>0</v>
      </c>
      <c r="K289" s="415">
        <v>0</v>
      </c>
      <c r="L289" s="415">
        <v>0</v>
      </c>
      <c r="M289" s="415">
        <v>882.58</v>
      </c>
      <c r="N289" s="415">
        <v>0</v>
      </c>
      <c r="O289" s="415">
        <v>1120.2</v>
      </c>
      <c r="P289" s="415">
        <v>0</v>
      </c>
      <c r="Q289" s="481">
        <f t="shared" si="50"/>
        <v>0</v>
      </c>
      <c r="S289" s="399"/>
      <c r="T289" s="399"/>
      <c r="U289" s="399"/>
    </row>
    <row r="290" spans="1:21" outlineLevel="2" x14ac:dyDescent="0.3">
      <c r="A290" s="366" t="str">
        <f>IFERROR(VLOOKUP(RIGHT(E290,3)+0,[1]SchLocTable!$A$2:$B$47,2,FALSE)," ")</f>
        <v>Bryant</v>
      </c>
      <c r="B290" s="366" t="str">
        <f>VLOOKUP(VALUE(D290),$D$3:F$106,3,FALSE)</f>
        <v>Elementary Classroom</v>
      </c>
      <c r="C290" t="s">
        <v>314</v>
      </c>
      <c r="D290">
        <v>801</v>
      </c>
      <c r="E290" t="s">
        <v>364</v>
      </c>
      <c r="F290" t="s">
        <v>316</v>
      </c>
      <c r="G290">
        <v>6</v>
      </c>
      <c r="H290" s="502">
        <v>51000</v>
      </c>
      <c r="I290" s="415">
        <v>404983.88996000006</v>
      </c>
      <c r="J290" s="415">
        <v>519326</v>
      </c>
      <c r="K290" s="415">
        <v>585290.80000000005</v>
      </c>
      <c r="L290" s="415">
        <v>718298.93</v>
      </c>
      <c r="M290" s="415">
        <v>686105.76</v>
      </c>
      <c r="N290" s="415">
        <v>591840.94999999995</v>
      </c>
      <c r="O290" s="415">
        <v>657893.25</v>
      </c>
      <c r="P290" s="415">
        <v>733590.52</v>
      </c>
      <c r="Q290" s="481">
        <f t="shared" si="50"/>
        <v>114342.11003999994</v>
      </c>
      <c r="S290" s="399"/>
      <c r="T290" s="399"/>
      <c r="U290" s="399"/>
    </row>
    <row r="291" spans="1:21" outlineLevel="2" x14ac:dyDescent="0.3">
      <c r="A291" s="366" t="str">
        <f>IFERROR(VLOOKUP(RIGHT(E291,3)+0,[1]SchLocTable!$A$2:$B$47,2,FALSE)," ")</f>
        <v>Bryant</v>
      </c>
      <c r="B291" s="366" t="str">
        <f>VLOOKUP(VALUE(D291),$D$3:F$106,3,FALSE)</f>
        <v>Elementary Classroom</v>
      </c>
      <c r="C291" t="s">
        <v>314</v>
      </c>
      <c r="D291">
        <v>801</v>
      </c>
      <c r="E291" t="s">
        <v>364</v>
      </c>
      <c r="F291" t="s">
        <v>321</v>
      </c>
      <c r="G291" t="s">
        <v>319</v>
      </c>
      <c r="H291" s="502">
        <v>52917</v>
      </c>
      <c r="I291" s="415">
        <v>123951.24</v>
      </c>
      <c r="J291" s="415">
        <v>180510.96</v>
      </c>
      <c r="K291" s="415">
        <v>153433.24</v>
      </c>
      <c r="L291" s="415">
        <v>195977.56</v>
      </c>
      <c r="M291" s="415">
        <v>179495.55</v>
      </c>
      <c r="N291" s="415">
        <v>172688.25</v>
      </c>
      <c r="O291" s="415">
        <v>154844.88</v>
      </c>
      <c r="P291" s="415">
        <v>150616.62</v>
      </c>
      <c r="Q291" s="481">
        <f t="shared" si="50"/>
        <v>56559.719999999987</v>
      </c>
      <c r="S291" s="399"/>
      <c r="T291" s="399"/>
      <c r="U291" s="399"/>
    </row>
    <row r="292" spans="1:21" outlineLevel="2" x14ac:dyDescent="0.3">
      <c r="A292" s="366" t="str">
        <f>IFERROR(VLOOKUP(RIGHT(E292,3)+0,[1]SchLocTable!$A$2:$B$47,2,FALSE)," ")</f>
        <v>Bryant</v>
      </c>
      <c r="B292" s="366" t="str">
        <f>VLOOKUP(VALUE(D292),$D$3:F$106,3,FALSE)</f>
        <v>Elementary Classroom</v>
      </c>
      <c r="C292" t="s">
        <v>314</v>
      </c>
      <c r="D292">
        <v>801</v>
      </c>
      <c r="E292" t="s">
        <v>364</v>
      </c>
      <c r="F292" t="s">
        <v>318</v>
      </c>
      <c r="G292" t="s">
        <v>319</v>
      </c>
      <c r="H292" s="502">
        <v>51140</v>
      </c>
      <c r="I292" s="415">
        <v>2700</v>
      </c>
      <c r="J292" s="415">
        <v>0</v>
      </c>
      <c r="K292" s="415">
        <v>2700</v>
      </c>
      <c r="L292" s="415">
        <v>3800</v>
      </c>
      <c r="M292" s="415">
        <v>2900</v>
      </c>
      <c r="N292" s="415">
        <v>3800</v>
      </c>
      <c r="O292" s="415">
        <v>2000</v>
      </c>
      <c r="P292" s="415">
        <v>3500</v>
      </c>
      <c r="Q292" s="481">
        <f t="shared" si="50"/>
        <v>-2700</v>
      </c>
      <c r="S292" s="399"/>
      <c r="T292" s="399"/>
      <c r="U292" s="399"/>
    </row>
    <row r="293" spans="1:21" outlineLevel="2" x14ac:dyDescent="0.3">
      <c r="A293" s="366" t="str">
        <f>IFERROR(VLOOKUP(RIGHT(E293,3)+0,[1]SchLocTable!$A$2:$B$47,2,FALSE)," ")</f>
        <v>Bryant</v>
      </c>
      <c r="B293" s="366" t="str">
        <f>VLOOKUP(VALUE(D293),$D$3:F$106,3,FALSE)</f>
        <v>Elementary Classroom</v>
      </c>
      <c r="C293" t="s">
        <v>314</v>
      </c>
      <c r="D293">
        <v>801</v>
      </c>
      <c r="E293" t="s">
        <v>364</v>
      </c>
      <c r="F293" t="s">
        <v>320</v>
      </c>
      <c r="G293" t="s">
        <v>319</v>
      </c>
      <c r="H293" s="502">
        <v>52360</v>
      </c>
      <c r="I293" s="415">
        <v>5872.266404420001</v>
      </c>
      <c r="J293" s="415">
        <v>6632</v>
      </c>
      <c r="K293" s="415">
        <v>7853.24</v>
      </c>
      <c r="L293" s="415">
        <v>9618.81</v>
      </c>
      <c r="M293" s="415">
        <v>9202.7800000000007</v>
      </c>
      <c r="N293" s="415">
        <v>9528.14</v>
      </c>
      <c r="O293" s="415">
        <v>8980.94</v>
      </c>
      <c r="P293" s="415">
        <v>10296.65</v>
      </c>
      <c r="Q293" s="481">
        <f t="shared" si="50"/>
        <v>759.73359557999902</v>
      </c>
      <c r="S293" s="399"/>
      <c r="T293" s="399"/>
      <c r="U293" s="399"/>
    </row>
    <row r="294" spans="1:21" outlineLevel="2" x14ac:dyDescent="0.3">
      <c r="A294" s="366" t="str">
        <f>IFERROR(VLOOKUP(RIGHT(E294,3)+0,[1]SchLocTable!$A$2:$B$47,2,FALSE)," ")</f>
        <v>Bryant</v>
      </c>
      <c r="B294" s="366" t="str">
        <f>VLOOKUP(VALUE(D294),$D$3:F$106,3,FALSE)</f>
        <v>Elementary Classroom</v>
      </c>
      <c r="C294" t="s">
        <v>314</v>
      </c>
      <c r="D294">
        <v>801</v>
      </c>
      <c r="E294" t="s">
        <v>364</v>
      </c>
      <c r="F294" t="s">
        <v>324</v>
      </c>
      <c r="G294" t="s">
        <v>319</v>
      </c>
      <c r="H294" s="502">
        <v>52385</v>
      </c>
      <c r="I294" s="415">
        <v>0</v>
      </c>
      <c r="J294" s="415">
        <v>0</v>
      </c>
      <c r="K294" s="415">
        <v>5525.75</v>
      </c>
      <c r="L294" s="415">
        <v>2666</v>
      </c>
      <c r="M294" s="415">
        <v>2774.5</v>
      </c>
      <c r="N294" s="415">
        <v>0</v>
      </c>
      <c r="O294" s="415">
        <v>0</v>
      </c>
      <c r="P294" s="415">
        <v>0</v>
      </c>
      <c r="Q294" s="481">
        <f t="shared" si="50"/>
        <v>0</v>
      </c>
      <c r="S294" s="399"/>
      <c r="T294" s="399"/>
      <c r="U294" s="399"/>
    </row>
    <row r="295" spans="1:21" outlineLevel="2" x14ac:dyDescent="0.3">
      <c r="A295" s="366" t="str">
        <f>IFERROR(VLOOKUP(RIGHT(E295,3)+0,[1]SchLocTable!$A$2:$B$47,2,FALSE)," ")</f>
        <v>Columbus</v>
      </c>
      <c r="B295" s="366" t="str">
        <f>VLOOKUP(VALUE(D295),$D$3:F$106,3,FALSE)</f>
        <v>Elementary Classroom</v>
      </c>
      <c r="C295" t="s">
        <v>314</v>
      </c>
      <c r="D295">
        <v>801</v>
      </c>
      <c r="E295" t="s">
        <v>365</v>
      </c>
      <c r="F295" t="s">
        <v>316</v>
      </c>
      <c r="G295">
        <v>12</v>
      </c>
      <c r="H295" s="502">
        <v>51000</v>
      </c>
      <c r="I295" s="415">
        <v>677330.42381999991</v>
      </c>
      <c r="J295" s="415">
        <v>911725.28</v>
      </c>
      <c r="K295" s="415">
        <v>1060570.1100000001</v>
      </c>
      <c r="L295" s="415">
        <v>1085684.32</v>
      </c>
      <c r="M295" s="415">
        <v>1045798.59</v>
      </c>
      <c r="N295" s="415">
        <v>1073666.02</v>
      </c>
      <c r="O295" s="415">
        <v>1079293.8</v>
      </c>
      <c r="P295" s="415">
        <v>1090207.25</v>
      </c>
      <c r="Q295" s="481">
        <f t="shared" si="50"/>
        <v>234394.85618000012</v>
      </c>
      <c r="S295" s="399"/>
      <c r="T295" s="399"/>
      <c r="U295" s="399"/>
    </row>
    <row r="296" spans="1:21" outlineLevel="2" x14ac:dyDescent="0.3">
      <c r="A296" s="366" t="str">
        <f>IFERROR(VLOOKUP(RIGHT(E296,3)+0,[1]SchLocTable!$A$2:$B$47,2,FALSE)," ")</f>
        <v>Columbus</v>
      </c>
      <c r="B296" s="366" t="str">
        <f>VLOOKUP(VALUE(D296),$D$3:F$106,3,FALSE)</f>
        <v>Elementary Classroom</v>
      </c>
      <c r="C296" t="s">
        <v>314</v>
      </c>
      <c r="D296">
        <v>801</v>
      </c>
      <c r="E296" t="s">
        <v>365</v>
      </c>
      <c r="F296" t="s">
        <v>321</v>
      </c>
      <c r="G296" t="s">
        <v>319</v>
      </c>
      <c r="H296" s="502">
        <v>52917</v>
      </c>
      <c r="I296" s="415">
        <v>247113.46800000002</v>
      </c>
      <c r="J296" s="415">
        <v>271853.09999999998</v>
      </c>
      <c r="K296" s="415">
        <v>283117.38</v>
      </c>
      <c r="L296" s="415">
        <v>273394.52</v>
      </c>
      <c r="M296" s="415">
        <v>259687.99</v>
      </c>
      <c r="N296" s="415">
        <v>273456.96000000002</v>
      </c>
      <c r="O296" s="415">
        <v>266184.77</v>
      </c>
      <c r="P296" s="415">
        <v>274300.63</v>
      </c>
      <c r="Q296" s="481">
        <f t="shared" si="50"/>
        <v>24739.631999999954</v>
      </c>
      <c r="S296" s="399"/>
      <c r="T296" s="399"/>
      <c r="U296" s="399"/>
    </row>
    <row r="297" spans="1:21" outlineLevel="2" x14ac:dyDescent="0.3">
      <c r="A297" s="366" t="str">
        <f>IFERROR(VLOOKUP(RIGHT(E297,3)+0,[1]SchLocTable!$A$2:$B$47,2,FALSE)," ")</f>
        <v>Columbus</v>
      </c>
      <c r="B297" s="366" t="str">
        <f>VLOOKUP(VALUE(D297),$D$3:F$106,3,FALSE)</f>
        <v>Elementary Classroom</v>
      </c>
      <c r="C297" t="s">
        <v>314</v>
      </c>
      <c r="D297">
        <v>801</v>
      </c>
      <c r="E297" t="s">
        <v>365</v>
      </c>
      <c r="F297" t="s">
        <v>318</v>
      </c>
      <c r="G297" t="s">
        <v>319</v>
      </c>
      <c r="H297" s="502">
        <v>51140</v>
      </c>
      <c r="I297" s="415">
        <v>6300</v>
      </c>
      <c r="J297" s="415">
        <v>0</v>
      </c>
      <c r="K297" s="415">
        <v>6000</v>
      </c>
      <c r="L297" s="415">
        <v>8100</v>
      </c>
      <c r="M297" s="415">
        <v>8100</v>
      </c>
      <c r="N297" s="415">
        <v>6000</v>
      </c>
      <c r="O297" s="415">
        <v>6000</v>
      </c>
      <c r="P297" s="415">
        <v>5100</v>
      </c>
      <c r="Q297" s="481">
        <f t="shared" si="50"/>
        <v>-6300</v>
      </c>
      <c r="S297" s="399"/>
      <c r="T297" s="399"/>
      <c r="U297" s="399"/>
    </row>
    <row r="298" spans="1:21" outlineLevel="2" x14ac:dyDescent="0.3">
      <c r="A298" s="366" t="str">
        <f>IFERROR(VLOOKUP(RIGHT(E298,3)+0,[1]SchLocTable!$A$2:$B$47,2,FALSE)," ")</f>
        <v>Columbus</v>
      </c>
      <c r="B298" s="366" t="str">
        <f>VLOOKUP(VALUE(D298),$D$3:F$106,3,FALSE)</f>
        <v>Elementary Classroom</v>
      </c>
      <c r="C298" t="s">
        <v>314</v>
      </c>
      <c r="D298">
        <v>801</v>
      </c>
      <c r="E298" t="s">
        <v>365</v>
      </c>
      <c r="F298" t="s">
        <v>320</v>
      </c>
      <c r="G298" t="s">
        <v>319</v>
      </c>
      <c r="H298" s="502">
        <v>52360</v>
      </c>
      <c r="I298" s="415">
        <v>9821.2911453900015</v>
      </c>
      <c r="J298" s="415">
        <v>12890.06</v>
      </c>
      <c r="K298" s="415">
        <v>12914.71</v>
      </c>
      <c r="L298" s="415">
        <v>13399.2</v>
      </c>
      <c r="M298" s="415">
        <v>12921.89</v>
      </c>
      <c r="N298" s="415">
        <v>13323.62</v>
      </c>
      <c r="O298" s="415">
        <v>13478.74</v>
      </c>
      <c r="P298" s="415">
        <v>13751.59</v>
      </c>
      <c r="Q298" s="481">
        <f t="shared" si="50"/>
        <v>3068.768854609998</v>
      </c>
      <c r="S298" s="399"/>
      <c r="T298" s="399"/>
      <c r="U298" s="399"/>
    </row>
    <row r="299" spans="1:21" outlineLevel="2" x14ac:dyDescent="0.3">
      <c r="A299" s="366" t="str">
        <f>IFERROR(VLOOKUP(RIGHT(E299,3)+0,[1]SchLocTable!$A$2:$B$47,2,FALSE)," ")</f>
        <v>Columbus</v>
      </c>
      <c r="B299" s="366" t="str">
        <f>VLOOKUP(VALUE(D299),$D$3:F$106,3,FALSE)</f>
        <v>Elementary Classroom</v>
      </c>
      <c r="C299" t="s">
        <v>314</v>
      </c>
      <c r="D299">
        <v>801</v>
      </c>
      <c r="E299" t="s">
        <v>365</v>
      </c>
      <c r="F299" t="s">
        <v>324</v>
      </c>
      <c r="G299" t="s">
        <v>319</v>
      </c>
      <c r="H299" s="502">
        <v>52385</v>
      </c>
      <c r="I299" s="415">
        <v>0</v>
      </c>
      <c r="J299" s="415">
        <v>0</v>
      </c>
      <c r="K299" s="415">
        <v>0</v>
      </c>
      <c r="L299" s="415">
        <v>2147.63</v>
      </c>
      <c r="M299" s="415">
        <v>3780.44</v>
      </c>
      <c r="N299" s="415">
        <v>0</v>
      </c>
      <c r="O299" s="415">
        <v>0</v>
      </c>
      <c r="P299" s="415">
        <v>0</v>
      </c>
      <c r="Q299" s="481">
        <f t="shared" si="50"/>
        <v>0</v>
      </c>
      <c r="S299" s="399"/>
      <c r="T299" s="399"/>
      <c r="U299" s="399"/>
    </row>
    <row r="300" spans="1:21" outlineLevel="2" x14ac:dyDescent="0.3">
      <c r="A300" s="366" t="str">
        <f>IFERROR(VLOOKUP(RIGHT(E300,3)+0,[1]SchLocTable!$A$2:$B$47,2,FALSE)," ")</f>
        <v>Edison</v>
      </c>
      <c r="B300" s="366" t="str">
        <f>VLOOKUP(VALUE(D300),$D$3:F$106,3,FALSE)</f>
        <v>Elementary Classroom</v>
      </c>
      <c r="C300" t="s">
        <v>314</v>
      </c>
      <c r="D300">
        <v>801</v>
      </c>
      <c r="E300" t="s">
        <v>366</v>
      </c>
      <c r="F300" t="s">
        <v>316</v>
      </c>
      <c r="G300">
        <v>4</v>
      </c>
      <c r="H300" s="502">
        <v>51000</v>
      </c>
      <c r="I300" s="415">
        <v>67234.52996</v>
      </c>
      <c r="J300" s="415">
        <v>349702.64</v>
      </c>
      <c r="K300" s="415">
        <v>465752.23</v>
      </c>
      <c r="L300" s="415">
        <v>534305.74</v>
      </c>
      <c r="M300" s="415">
        <v>547943.07999999996</v>
      </c>
      <c r="N300" s="415">
        <v>504256.78</v>
      </c>
      <c r="O300" s="415">
        <v>420237.4</v>
      </c>
      <c r="P300" s="415">
        <v>535814.05000000005</v>
      </c>
      <c r="Q300" s="481">
        <f t="shared" si="50"/>
        <v>282468.11004</v>
      </c>
      <c r="S300" s="399"/>
      <c r="T300" s="399"/>
      <c r="U300" s="399"/>
    </row>
    <row r="301" spans="1:21" outlineLevel="2" x14ac:dyDescent="0.3">
      <c r="A301" s="366" t="str">
        <f>IFERROR(VLOOKUP(RIGHT(E301,3)+0,[1]SchLocTable!$A$2:$B$47,2,FALSE)," ")</f>
        <v>Edison</v>
      </c>
      <c r="B301" s="366" t="str">
        <f>VLOOKUP(VALUE(D301),$D$3:F$106,3,FALSE)</f>
        <v>Elementary Classroom</v>
      </c>
      <c r="C301" t="s">
        <v>314</v>
      </c>
      <c r="D301">
        <v>801</v>
      </c>
      <c r="E301" t="s">
        <v>366</v>
      </c>
      <c r="F301" t="s">
        <v>321</v>
      </c>
      <c r="G301" t="s">
        <v>319</v>
      </c>
      <c r="H301" s="502">
        <v>52917</v>
      </c>
      <c r="I301" s="415">
        <v>0</v>
      </c>
      <c r="J301" s="415">
        <v>46119.78</v>
      </c>
      <c r="K301" s="415">
        <v>70557.48</v>
      </c>
      <c r="L301" s="415">
        <v>123265.26</v>
      </c>
      <c r="M301" s="415">
        <v>128514.08</v>
      </c>
      <c r="N301" s="415">
        <v>138911.78</v>
      </c>
      <c r="O301" s="415">
        <v>88803.01</v>
      </c>
      <c r="P301" s="415">
        <v>86209.34</v>
      </c>
      <c r="Q301" s="481">
        <f t="shared" si="50"/>
        <v>46119.78</v>
      </c>
      <c r="S301" s="399"/>
      <c r="T301" s="399"/>
      <c r="U301" s="399"/>
    </row>
    <row r="302" spans="1:21" outlineLevel="2" x14ac:dyDescent="0.3">
      <c r="A302" s="366" t="str">
        <f>IFERROR(VLOOKUP(RIGHT(E302,3)+0,[1]SchLocTable!$A$2:$B$47,2,FALSE)," ")</f>
        <v>Edison</v>
      </c>
      <c r="B302" s="366" t="str">
        <f>VLOOKUP(VALUE(D302),$D$3:F$106,3,FALSE)</f>
        <v>Elementary Classroom</v>
      </c>
      <c r="C302" t="s">
        <v>314</v>
      </c>
      <c r="D302">
        <v>801</v>
      </c>
      <c r="E302" t="s">
        <v>366</v>
      </c>
      <c r="F302" t="s">
        <v>318</v>
      </c>
      <c r="G302" t="s">
        <v>319</v>
      </c>
      <c r="H302" s="502">
        <v>51140</v>
      </c>
      <c r="I302" s="415">
        <v>1100</v>
      </c>
      <c r="J302" s="415">
        <v>0</v>
      </c>
      <c r="K302" s="415">
        <v>1100</v>
      </c>
      <c r="L302" s="415">
        <v>2200</v>
      </c>
      <c r="M302" s="415">
        <v>1800</v>
      </c>
      <c r="N302" s="415">
        <v>900</v>
      </c>
      <c r="O302" s="415">
        <v>1800</v>
      </c>
      <c r="P302" s="415">
        <v>1800</v>
      </c>
      <c r="Q302" s="481">
        <f t="shared" si="50"/>
        <v>-1100</v>
      </c>
      <c r="S302" s="399"/>
      <c r="T302" s="399"/>
      <c r="U302" s="399"/>
    </row>
    <row r="303" spans="1:21" outlineLevel="2" x14ac:dyDescent="0.3">
      <c r="A303" s="366" t="str">
        <f>IFERROR(VLOOKUP(RIGHT(E303,3)+0,[1]SchLocTable!$A$2:$B$47,2,FALSE)," ")</f>
        <v>Edison</v>
      </c>
      <c r="B303" s="366" t="str">
        <f>VLOOKUP(VALUE(D303),$D$3:F$106,3,FALSE)</f>
        <v>Elementary Classroom</v>
      </c>
      <c r="C303" t="s">
        <v>314</v>
      </c>
      <c r="D303">
        <v>801</v>
      </c>
      <c r="E303" t="s">
        <v>366</v>
      </c>
      <c r="F303" t="s">
        <v>320</v>
      </c>
      <c r="G303" t="s">
        <v>319</v>
      </c>
      <c r="H303" s="502">
        <v>52360</v>
      </c>
      <c r="I303" s="415">
        <v>974.90068442000006</v>
      </c>
      <c r="J303" s="415">
        <v>5042.05</v>
      </c>
      <c r="K303" s="415">
        <v>6465.05</v>
      </c>
      <c r="L303" s="415">
        <v>8323.33</v>
      </c>
      <c r="M303" s="415">
        <v>7428.17</v>
      </c>
      <c r="N303" s="415">
        <v>7328.52</v>
      </c>
      <c r="O303" s="415">
        <v>6354.35</v>
      </c>
      <c r="P303" s="415">
        <v>7480.24</v>
      </c>
      <c r="Q303" s="481">
        <f t="shared" si="50"/>
        <v>4067.1493155799999</v>
      </c>
      <c r="S303" s="399"/>
      <c r="T303" s="399"/>
      <c r="U303" s="399"/>
    </row>
    <row r="304" spans="1:21" outlineLevel="1" x14ac:dyDescent="0.3">
      <c r="A304" s="366" t="str">
        <f>IFERROR(VLOOKUP(RIGHT(E304,3)+0,[1]SchLocTable!$A$2:$B$47,2,FALSE)," ")</f>
        <v>Edison</v>
      </c>
      <c r="B304" s="366" t="str">
        <f>VLOOKUP(VALUE(D304),$D$3:F$106,3,FALSE)</f>
        <v>Elementary Classroom</v>
      </c>
      <c r="C304" t="s">
        <v>314</v>
      </c>
      <c r="D304">
        <v>801</v>
      </c>
      <c r="E304" t="s">
        <v>366</v>
      </c>
      <c r="F304" t="s">
        <v>324</v>
      </c>
      <c r="G304" t="s">
        <v>319</v>
      </c>
      <c r="H304" s="502">
        <v>52385</v>
      </c>
      <c r="I304" s="415">
        <v>0</v>
      </c>
      <c r="J304" s="415">
        <v>0</v>
      </c>
      <c r="K304" s="415">
        <v>930</v>
      </c>
      <c r="L304" s="415">
        <v>2836.5</v>
      </c>
      <c r="M304" s="415">
        <v>0</v>
      </c>
      <c r="N304" s="415">
        <v>0</v>
      </c>
      <c r="O304" s="415">
        <v>0</v>
      </c>
      <c r="P304" s="415">
        <v>0</v>
      </c>
      <c r="Q304" s="481">
        <f t="shared" si="50"/>
        <v>0</v>
      </c>
      <c r="S304" s="399"/>
      <c r="T304" s="399"/>
      <c r="U304" s="399"/>
    </row>
    <row r="305" spans="1:21" outlineLevel="1" x14ac:dyDescent="0.3">
      <c r="A305" s="366" t="str">
        <f>IFERROR(VLOOKUP(RIGHT(E305,3)+0,[1]SchLocTable!$A$2:$B$47,2,FALSE)," ")</f>
        <v>Marin</v>
      </c>
      <c r="B305" s="366" t="str">
        <f>VLOOKUP(VALUE(D305),$D$3:F$106,3,FALSE)</f>
        <v>Elementary Classroom</v>
      </c>
      <c r="C305" t="s">
        <v>314</v>
      </c>
      <c r="D305">
        <v>801</v>
      </c>
      <c r="E305" t="s">
        <v>367</v>
      </c>
      <c r="F305" t="s">
        <v>316</v>
      </c>
      <c r="G305">
        <v>11</v>
      </c>
      <c r="H305" s="502">
        <v>51000</v>
      </c>
      <c r="I305" s="415">
        <v>617179.29753999994</v>
      </c>
      <c r="J305" s="415">
        <v>893310.77</v>
      </c>
      <c r="K305" s="415">
        <v>927715.22</v>
      </c>
      <c r="L305" s="415">
        <v>1049120.8799999999</v>
      </c>
      <c r="M305" s="415">
        <v>1003057.21</v>
      </c>
      <c r="N305" s="415">
        <v>947311.81</v>
      </c>
      <c r="O305" s="415">
        <v>1025082.66</v>
      </c>
      <c r="P305" s="415">
        <v>1004554.08</v>
      </c>
      <c r="Q305" s="481">
        <f t="shared" si="50"/>
        <v>276131.47246000008</v>
      </c>
      <c r="S305" s="399"/>
      <c r="T305" s="399"/>
      <c r="U305" s="399"/>
    </row>
    <row r="306" spans="1:21" outlineLevel="2" x14ac:dyDescent="0.3">
      <c r="A306" s="366" t="str">
        <f>IFERROR(VLOOKUP(RIGHT(E306,3)+0,[1]SchLocTable!$A$2:$B$47,2,FALSE)," ")</f>
        <v>Marin</v>
      </c>
      <c r="B306" s="366" t="str">
        <f>VLOOKUP(VALUE(D306),$D$3:F$106,3,FALSE)</f>
        <v>Elementary Classroom</v>
      </c>
      <c r="C306" t="s">
        <v>314</v>
      </c>
      <c r="D306">
        <v>801</v>
      </c>
      <c r="E306" t="s">
        <v>367</v>
      </c>
      <c r="F306" t="s">
        <v>321</v>
      </c>
      <c r="G306" t="s">
        <v>319</v>
      </c>
      <c r="H306" s="502">
        <v>52917</v>
      </c>
      <c r="I306" s="415">
        <v>287841.20399999997</v>
      </c>
      <c r="J306" s="415">
        <v>304979.43</v>
      </c>
      <c r="K306" s="415">
        <v>296927.56</v>
      </c>
      <c r="L306" s="415">
        <v>255545.92</v>
      </c>
      <c r="M306" s="415">
        <v>236221.23</v>
      </c>
      <c r="N306" s="415">
        <v>264368.01</v>
      </c>
      <c r="O306" s="415">
        <v>289065.8</v>
      </c>
      <c r="P306" s="415">
        <v>264538.8</v>
      </c>
      <c r="Q306" s="481">
        <f t="shared" si="50"/>
        <v>17138.226000000024</v>
      </c>
      <c r="S306" s="399"/>
      <c r="T306" s="399"/>
      <c r="U306" s="399"/>
    </row>
    <row r="307" spans="1:21" outlineLevel="2" x14ac:dyDescent="0.3">
      <c r="A307" s="366" t="str">
        <f>IFERROR(VLOOKUP(RIGHT(E307,3)+0,[1]SchLocTable!$A$2:$B$47,2,FALSE)," ")</f>
        <v>Marin</v>
      </c>
      <c r="B307" s="366" t="str">
        <f>VLOOKUP(VALUE(D307),$D$3:F$106,3,FALSE)</f>
        <v>Elementary Classroom</v>
      </c>
      <c r="C307" t="s">
        <v>314</v>
      </c>
      <c r="D307">
        <v>801</v>
      </c>
      <c r="E307" t="s">
        <v>367</v>
      </c>
      <c r="F307" t="s">
        <v>318</v>
      </c>
      <c r="G307" t="s">
        <v>319</v>
      </c>
      <c r="H307" s="502">
        <v>51140</v>
      </c>
      <c r="I307" s="415">
        <v>900</v>
      </c>
      <c r="J307" s="415">
        <v>0</v>
      </c>
      <c r="K307" s="415">
        <v>900</v>
      </c>
      <c r="L307" s="415">
        <v>3500</v>
      </c>
      <c r="M307" s="415">
        <v>1200</v>
      </c>
      <c r="N307" s="415">
        <v>1200</v>
      </c>
      <c r="O307" s="415">
        <v>3000</v>
      </c>
      <c r="P307" s="415">
        <v>2100</v>
      </c>
      <c r="Q307" s="481">
        <f t="shared" si="50"/>
        <v>-900</v>
      </c>
      <c r="S307" s="399"/>
      <c r="T307" s="399"/>
      <c r="U307" s="399"/>
    </row>
    <row r="308" spans="1:21" outlineLevel="2" x14ac:dyDescent="0.3">
      <c r="A308" s="366" t="str">
        <f>IFERROR(VLOOKUP(RIGHT(E308,3)+0,[1]SchLocTable!$A$2:$B$47,2,FALSE)," ")</f>
        <v>Marin</v>
      </c>
      <c r="B308" s="366" t="str">
        <f>VLOOKUP(VALUE(D308),$D$3:F$106,3,FALSE)</f>
        <v>Elementary Classroom</v>
      </c>
      <c r="C308" t="s">
        <v>314</v>
      </c>
      <c r="D308">
        <v>801</v>
      </c>
      <c r="E308" t="s">
        <v>367</v>
      </c>
      <c r="F308" t="s">
        <v>320</v>
      </c>
      <c r="G308" t="s">
        <v>319</v>
      </c>
      <c r="H308" s="502">
        <v>52360</v>
      </c>
      <c r="I308" s="415">
        <v>8949.0998143300003</v>
      </c>
      <c r="J308" s="415">
        <v>12538</v>
      </c>
      <c r="K308" s="415">
        <v>12196.99</v>
      </c>
      <c r="L308" s="415">
        <v>14246.13</v>
      </c>
      <c r="M308" s="415">
        <v>13587.53</v>
      </c>
      <c r="N308" s="415">
        <v>12721.58</v>
      </c>
      <c r="O308" s="415">
        <v>13778.37</v>
      </c>
      <c r="P308" s="415">
        <v>13607</v>
      </c>
      <c r="Q308" s="481">
        <f t="shared" si="50"/>
        <v>3588.9001856699997</v>
      </c>
      <c r="S308" s="399"/>
      <c r="T308" s="399"/>
      <c r="U308" s="399"/>
    </row>
    <row r="309" spans="1:21" outlineLevel="2" x14ac:dyDescent="0.3">
      <c r="A309" s="366" t="str">
        <f>IFERROR(VLOOKUP(RIGHT(E309,3)+0,[1]SchLocTable!$A$2:$B$47,2,FALSE)," ")</f>
        <v>Marin</v>
      </c>
      <c r="B309" s="366" t="str">
        <f>VLOOKUP(VALUE(D309),$D$3:F$106,3,FALSE)</f>
        <v>Elementary Classroom</v>
      </c>
      <c r="C309" t="s">
        <v>314</v>
      </c>
      <c r="D309">
        <v>801</v>
      </c>
      <c r="E309" t="s">
        <v>367</v>
      </c>
      <c r="F309" t="s">
        <v>324</v>
      </c>
      <c r="G309" t="s">
        <v>319</v>
      </c>
      <c r="H309" s="502">
        <v>52385</v>
      </c>
      <c r="I309" s="415">
        <v>0</v>
      </c>
      <c r="J309" s="415">
        <v>0</v>
      </c>
      <c r="K309" s="415">
        <v>0</v>
      </c>
      <c r="L309" s="415">
        <v>155</v>
      </c>
      <c r="M309" s="415">
        <v>2813.25</v>
      </c>
      <c r="N309" s="415">
        <v>0</v>
      </c>
      <c r="O309" s="415">
        <v>0</v>
      </c>
      <c r="P309" s="415">
        <v>0</v>
      </c>
      <c r="Q309" s="481">
        <f t="shared" si="50"/>
        <v>0</v>
      </c>
      <c r="S309" s="399"/>
      <c r="T309" s="399"/>
      <c r="U309" s="399"/>
    </row>
    <row r="310" spans="1:21" outlineLevel="2" x14ac:dyDescent="0.3">
      <c r="A310" s="366" t="str">
        <f>IFERROR(VLOOKUP(RIGHT(E310,3)+0,[1]SchLocTable!$A$2:$B$47,2,FALSE)," ")</f>
        <v>Marin</v>
      </c>
      <c r="B310" s="366" t="str">
        <f>VLOOKUP(VALUE(D310),$D$3:F$106,3,FALSE)</f>
        <v>Elementary Classroom</v>
      </c>
      <c r="C310" t="s">
        <v>314</v>
      </c>
      <c r="D310">
        <v>801</v>
      </c>
      <c r="E310" t="s">
        <v>367</v>
      </c>
      <c r="F310" t="s">
        <v>329</v>
      </c>
      <c r="G310" t="s">
        <v>319</v>
      </c>
      <c r="H310" s="502">
        <v>51154</v>
      </c>
      <c r="I310" s="415">
        <v>0</v>
      </c>
      <c r="J310" s="415">
        <v>0</v>
      </c>
      <c r="K310" s="415">
        <v>0</v>
      </c>
      <c r="L310" s="415">
        <v>2600</v>
      </c>
      <c r="M310" s="415">
        <v>0</v>
      </c>
      <c r="N310" s="415">
        <v>0</v>
      </c>
      <c r="O310" s="415">
        <v>6825</v>
      </c>
      <c r="P310" s="415">
        <v>0</v>
      </c>
      <c r="Q310" s="481">
        <f t="shared" si="50"/>
        <v>0</v>
      </c>
      <c r="S310" s="399"/>
      <c r="T310" s="399"/>
      <c r="U310" s="399"/>
    </row>
    <row r="311" spans="1:21" outlineLevel="2" x14ac:dyDescent="0.3">
      <c r="A311" s="366" t="str">
        <f>IFERROR(VLOOKUP(RIGHT(E311,3)+0,[1]SchLocTable!$A$2:$B$47,2,FALSE)," ")</f>
        <v>Hall</v>
      </c>
      <c r="B311" s="366" t="str">
        <f>VLOOKUP(VALUE(D311),$D$3:F$106,3,FALSE)</f>
        <v>Elementary Classroom</v>
      </c>
      <c r="C311" t="s">
        <v>314</v>
      </c>
      <c r="D311">
        <v>801</v>
      </c>
      <c r="E311" t="s">
        <v>368</v>
      </c>
      <c r="F311" t="s">
        <v>316</v>
      </c>
      <c r="G311">
        <v>5</v>
      </c>
      <c r="H311" s="502">
        <v>51000</v>
      </c>
      <c r="I311" s="415">
        <v>331285.3947</v>
      </c>
      <c r="J311" s="415">
        <v>541574.54</v>
      </c>
      <c r="K311" s="415">
        <v>626059.98</v>
      </c>
      <c r="L311" s="415">
        <v>404825.34</v>
      </c>
      <c r="M311" s="415">
        <v>578115.57999999996</v>
      </c>
      <c r="N311" s="415">
        <v>211024.13</v>
      </c>
      <c r="O311" s="415">
        <v>689114.91</v>
      </c>
      <c r="P311" s="415">
        <v>783197.6</v>
      </c>
      <c r="Q311" s="481">
        <f t="shared" si="50"/>
        <v>210289.14530000003</v>
      </c>
      <c r="S311" s="399"/>
      <c r="T311" s="399"/>
      <c r="U311" s="399"/>
    </row>
    <row r="312" spans="1:21" outlineLevel="2" x14ac:dyDescent="0.3">
      <c r="A312" s="366" t="str">
        <f>IFERROR(VLOOKUP(RIGHT(E312,3)+0,[1]SchLocTable!$A$2:$B$47,2,FALSE)," ")</f>
        <v>Hall</v>
      </c>
      <c r="B312" s="366" t="str">
        <f>VLOOKUP(VALUE(D312),$D$3:F$106,3,FALSE)</f>
        <v>Elementary Classroom</v>
      </c>
      <c r="C312" t="s">
        <v>314</v>
      </c>
      <c r="D312">
        <v>801</v>
      </c>
      <c r="E312" t="s">
        <v>368</v>
      </c>
      <c r="F312" t="s">
        <v>321</v>
      </c>
      <c r="G312" t="s">
        <v>319</v>
      </c>
      <c r="H312" s="502">
        <v>52917</v>
      </c>
      <c r="I312" s="415">
        <v>63516.851999999999</v>
      </c>
      <c r="J312" s="415">
        <v>110375.37</v>
      </c>
      <c r="K312" s="415">
        <v>112247.94</v>
      </c>
      <c r="L312" s="415">
        <v>109366.95</v>
      </c>
      <c r="M312" s="415">
        <v>131616.5</v>
      </c>
      <c r="N312" s="415">
        <v>88915.74</v>
      </c>
      <c r="O312" s="415">
        <v>145944.63</v>
      </c>
      <c r="P312" s="415">
        <v>139678.79</v>
      </c>
      <c r="Q312" s="481">
        <f t="shared" si="50"/>
        <v>46858.517999999996</v>
      </c>
      <c r="S312" s="399"/>
      <c r="T312" s="399"/>
      <c r="U312" s="399"/>
    </row>
    <row r="313" spans="1:21" outlineLevel="2" x14ac:dyDescent="0.3">
      <c r="A313" s="366" t="str">
        <f>IFERROR(VLOOKUP(RIGHT(E313,3)+0,[1]SchLocTable!$A$2:$B$47,2,FALSE)," ")</f>
        <v>Hall</v>
      </c>
      <c r="B313" s="366" t="str">
        <f>VLOOKUP(VALUE(D313),$D$3:F$106,3,FALSE)</f>
        <v>Elementary Classroom</v>
      </c>
      <c r="C313" t="s">
        <v>314</v>
      </c>
      <c r="D313">
        <v>801</v>
      </c>
      <c r="E313" t="s">
        <v>368</v>
      </c>
      <c r="F313" t="s">
        <v>318</v>
      </c>
      <c r="G313" t="s">
        <v>319</v>
      </c>
      <c r="H313" s="502">
        <v>51140</v>
      </c>
      <c r="I313" s="415">
        <v>4700</v>
      </c>
      <c r="J313" s="415">
        <v>0</v>
      </c>
      <c r="K313" s="415">
        <v>6400</v>
      </c>
      <c r="L313" s="415">
        <v>6700</v>
      </c>
      <c r="M313" s="415">
        <v>7800</v>
      </c>
      <c r="N313" s="415">
        <v>5300</v>
      </c>
      <c r="O313" s="415">
        <v>6200</v>
      </c>
      <c r="P313" s="415">
        <v>6300</v>
      </c>
      <c r="Q313" s="481">
        <f t="shared" si="50"/>
        <v>-4700</v>
      </c>
      <c r="S313" s="399"/>
      <c r="T313" s="399"/>
      <c r="U313" s="399"/>
    </row>
    <row r="314" spans="1:21" outlineLevel="2" x14ac:dyDescent="0.3">
      <c r="A314" s="366" t="str">
        <f>IFERROR(VLOOKUP(RIGHT(E314,3)+0,[1]SchLocTable!$A$2:$B$47,2,FALSE)," ")</f>
        <v>Hall</v>
      </c>
      <c r="B314" s="366" t="str">
        <f>VLOOKUP(VALUE(D314),$D$3:F$106,3,FALSE)</f>
        <v>Elementary Classroom</v>
      </c>
      <c r="C314" t="s">
        <v>314</v>
      </c>
      <c r="D314">
        <v>801</v>
      </c>
      <c r="E314" t="s">
        <v>368</v>
      </c>
      <c r="F314" t="s">
        <v>320</v>
      </c>
      <c r="G314" t="s">
        <v>319</v>
      </c>
      <c r="H314" s="502">
        <v>52360</v>
      </c>
      <c r="I314" s="415">
        <v>4803.6382231500011</v>
      </c>
      <c r="J314" s="415">
        <v>7783.72</v>
      </c>
      <c r="K314" s="415">
        <v>8693.2800000000007</v>
      </c>
      <c r="L314" s="415">
        <v>6943.58</v>
      </c>
      <c r="M314" s="415">
        <v>8283.2099999999991</v>
      </c>
      <c r="N314" s="415">
        <v>9230.23</v>
      </c>
      <c r="O314" s="415">
        <v>10155.219999999999</v>
      </c>
      <c r="P314" s="415">
        <v>10927.6</v>
      </c>
      <c r="Q314" s="481">
        <f t="shared" si="50"/>
        <v>2980.0817768499992</v>
      </c>
      <c r="S314" s="399"/>
      <c r="T314" s="399"/>
      <c r="U314" s="399"/>
    </row>
    <row r="315" spans="1:21" outlineLevel="2" x14ac:dyDescent="0.3">
      <c r="A315" s="366" t="str">
        <f>IFERROR(VLOOKUP(RIGHT(E315,3)+0,[1]SchLocTable!$A$2:$B$47,2,FALSE)," ")</f>
        <v>Hallen</v>
      </c>
      <c r="B315" s="366" t="str">
        <f>VLOOKUP(VALUE(D315),$D$3:F$106,3,FALSE)</f>
        <v>Elementary Classroom</v>
      </c>
      <c r="C315" t="s">
        <v>314</v>
      </c>
      <c r="D315">
        <v>801</v>
      </c>
      <c r="E315" t="s">
        <v>369</v>
      </c>
      <c r="F315" t="s">
        <v>316</v>
      </c>
      <c r="G315">
        <v>8</v>
      </c>
      <c r="H315" s="502">
        <v>51000</v>
      </c>
      <c r="I315" s="415">
        <v>431543.39566000004</v>
      </c>
      <c r="J315" s="415">
        <v>771730.07</v>
      </c>
      <c r="K315" s="415">
        <v>785722.5</v>
      </c>
      <c r="L315" s="415">
        <v>909810.3</v>
      </c>
      <c r="M315" s="415">
        <v>809028.97</v>
      </c>
      <c r="N315" s="415">
        <v>671512.86</v>
      </c>
      <c r="O315" s="415">
        <v>923942.02</v>
      </c>
      <c r="P315" s="415">
        <v>909394.05</v>
      </c>
      <c r="Q315" s="481">
        <f t="shared" si="50"/>
        <v>340186.67433999991</v>
      </c>
      <c r="S315" s="399"/>
      <c r="T315" s="399"/>
      <c r="U315" s="399"/>
    </row>
    <row r="316" spans="1:21" outlineLevel="2" x14ac:dyDescent="0.3">
      <c r="A316" s="366" t="str">
        <f>IFERROR(VLOOKUP(RIGHT(E316,3)+0,[1]SchLocTable!$A$2:$B$47,2,FALSE)," ")</f>
        <v>Hallen</v>
      </c>
      <c r="B316" s="366" t="str">
        <f>VLOOKUP(VALUE(D316),$D$3:F$106,3,FALSE)</f>
        <v>Elementary Classroom</v>
      </c>
      <c r="C316" t="s">
        <v>314</v>
      </c>
      <c r="D316">
        <v>801</v>
      </c>
      <c r="E316" t="s">
        <v>369</v>
      </c>
      <c r="F316" t="s">
        <v>321</v>
      </c>
      <c r="G316" t="s">
        <v>319</v>
      </c>
      <c r="H316" s="502">
        <v>52917</v>
      </c>
      <c r="I316" s="415">
        <v>123687.144</v>
      </c>
      <c r="J316" s="415">
        <v>143468.64000000001</v>
      </c>
      <c r="K316" s="415">
        <v>173058.54</v>
      </c>
      <c r="L316" s="415">
        <v>241820.04</v>
      </c>
      <c r="M316" s="415">
        <v>248262.22</v>
      </c>
      <c r="N316" s="415">
        <v>191860.62</v>
      </c>
      <c r="O316" s="415">
        <v>236385.9</v>
      </c>
      <c r="P316" s="415">
        <v>218902.32</v>
      </c>
      <c r="Q316" s="481">
        <f t="shared" si="50"/>
        <v>19781.496000000014</v>
      </c>
      <c r="S316" s="399"/>
      <c r="T316" s="399"/>
      <c r="U316" s="399"/>
    </row>
    <row r="317" spans="1:21" outlineLevel="2" x14ac:dyDescent="0.3">
      <c r="A317" s="366" t="str">
        <f>IFERROR(VLOOKUP(RIGHT(E317,3)+0,[1]SchLocTable!$A$2:$B$47,2,FALSE)," ")</f>
        <v>Hallen</v>
      </c>
      <c r="B317" s="366" t="str">
        <f>VLOOKUP(VALUE(D317),$D$3:F$106,3,FALSE)</f>
        <v>Elementary Classroom</v>
      </c>
      <c r="C317" t="s">
        <v>314</v>
      </c>
      <c r="D317">
        <v>801</v>
      </c>
      <c r="E317" t="s">
        <v>369</v>
      </c>
      <c r="F317" t="s">
        <v>318</v>
      </c>
      <c r="G317" t="s">
        <v>319</v>
      </c>
      <c r="H317" s="502">
        <v>51140</v>
      </c>
      <c r="I317" s="415">
        <v>6400</v>
      </c>
      <c r="J317" s="415">
        <v>0</v>
      </c>
      <c r="K317" s="415">
        <v>6300</v>
      </c>
      <c r="L317" s="415">
        <v>7800</v>
      </c>
      <c r="M317" s="415">
        <v>7800</v>
      </c>
      <c r="N317" s="415">
        <v>6000</v>
      </c>
      <c r="O317" s="415">
        <v>4900</v>
      </c>
      <c r="P317" s="415">
        <v>4700</v>
      </c>
      <c r="Q317" s="481">
        <f t="shared" si="50"/>
        <v>-6400</v>
      </c>
      <c r="S317" s="399"/>
      <c r="T317" s="399"/>
      <c r="U317" s="399"/>
    </row>
    <row r="318" spans="1:21" outlineLevel="2" x14ac:dyDescent="0.3">
      <c r="A318" s="366" t="str">
        <f>IFERROR(VLOOKUP(RIGHT(E318,3)+0,[1]SchLocTable!$A$2:$B$47,2,FALSE)," ")</f>
        <v>Hallen</v>
      </c>
      <c r="B318" s="366" t="str">
        <f>VLOOKUP(VALUE(D318),$D$3:F$106,3,FALSE)</f>
        <v>Elementary Classroom</v>
      </c>
      <c r="C318" t="s">
        <v>314</v>
      </c>
      <c r="D318">
        <v>801</v>
      </c>
      <c r="E318" t="s">
        <v>369</v>
      </c>
      <c r="F318" t="s">
        <v>320</v>
      </c>
      <c r="G318" t="s">
        <v>319</v>
      </c>
      <c r="H318" s="502">
        <v>52360</v>
      </c>
      <c r="I318" s="415">
        <v>6257.3792370700012</v>
      </c>
      <c r="J318" s="415">
        <v>10879</v>
      </c>
      <c r="K318" s="415">
        <v>10746.77</v>
      </c>
      <c r="L318" s="415">
        <v>12304.05</v>
      </c>
      <c r="M318" s="415">
        <v>11174.37</v>
      </c>
      <c r="N318" s="415">
        <v>13003.1</v>
      </c>
      <c r="O318" s="415">
        <v>12570.62</v>
      </c>
      <c r="P318" s="415">
        <v>12435.18</v>
      </c>
      <c r="Q318" s="481">
        <f t="shared" si="50"/>
        <v>4621.6207629299988</v>
      </c>
      <c r="S318" s="399"/>
      <c r="T318" s="399"/>
      <c r="U318" s="399"/>
    </row>
    <row r="319" spans="1:21" outlineLevel="2" x14ac:dyDescent="0.3">
      <c r="A319" s="366" t="str">
        <f>IFERROR(VLOOKUP(RIGHT(E319,3)+0,[1]SchLocTable!$A$2:$B$47,2,FALSE)," ")</f>
        <v>Hooker</v>
      </c>
      <c r="B319" s="366" t="str">
        <f>VLOOKUP(VALUE(D319),$D$3:F$106,3,FALSE)</f>
        <v>Elementary Classroom</v>
      </c>
      <c r="C319" t="s">
        <v>314</v>
      </c>
      <c r="D319">
        <v>801</v>
      </c>
      <c r="E319" t="s">
        <v>370</v>
      </c>
      <c r="F319" t="s">
        <v>316</v>
      </c>
      <c r="G319">
        <v>7</v>
      </c>
      <c r="H319" s="502">
        <v>51000</v>
      </c>
      <c r="I319" s="415">
        <v>331285.3947</v>
      </c>
      <c r="J319" s="415">
        <v>671548.54</v>
      </c>
      <c r="K319" s="415">
        <v>681530.67</v>
      </c>
      <c r="L319" s="415">
        <v>703609.1</v>
      </c>
      <c r="M319" s="415">
        <v>912593.29</v>
      </c>
      <c r="N319" s="415">
        <v>829060.42</v>
      </c>
      <c r="O319" s="415">
        <v>853371.74</v>
      </c>
      <c r="P319" s="415">
        <v>833616.42</v>
      </c>
      <c r="Q319" s="481">
        <f t="shared" ref="Q319:Q382" si="51">J319-I319</f>
        <v>340263.14530000003</v>
      </c>
      <c r="S319" s="399"/>
      <c r="T319" s="399"/>
      <c r="U319" s="399"/>
    </row>
    <row r="320" spans="1:21" outlineLevel="2" x14ac:dyDescent="0.3">
      <c r="A320" s="366" t="str">
        <f>IFERROR(VLOOKUP(RIGHT(E320,3)+0,[1]SchLocTable!$A$2:$B$47,2,FALSE)," ")</f>
        <v>Hooker</v>
      </c>
      <c r="B320" s="366" t="str">
        <f>VLOOKUP(VALUE(D320),$D$3:F$106,3,FALSE)</f>
        <v>Elementary Classroom</v>
      </c>
      <c r="C320" t="s">
        <v>314</v>
      </c>
      <c r="D320">
        <v>801</v>
      </c>
      <c r="E320" t="s">
        <v>370</v>
      </c>
      <c r="F320" t="s">
        <v>321</v>
      </c>
      <c r="G320" t="s">
        <v>319</v>
      </c>
      <c r="H320" s="502">
        <v>52917</v>
      </c>
      <c r="I320" s="415">
        <v>68933.59199999999</v>
      </c>
      <c r="J320" s="415">
        <v>140461.23000000001</v>
      </c>
      <c r="K320" s="415">
        <v>144375.48000000001</v>
      </c>
      <c r="L320" s="415">
        <v>142780.29</v>
      </c>
      <c r="M320" s="415">
        <v>205502.36</v>
      </c>
      <c r="N320" s="415">
        <v>206653.91</v>
      </c>
      <c r="O320" s="415">
        <v>198711.67999999999</v>
      </c>
      <c r="P320" s="415">
        <v>184060.56</v>
      </c>
      <c r="Q320" s="481">
        <f t="shared" si="51"/>
        <v>71527.638000000021</v>
      </c>
      <c r="S320" s="399"/>
      <c r="T320" s="399"/>
      <c r="U320" s="399"/>
    </row>
    <row r="321" spans="1:21" outlineLevel="2" x14ac:dyDescent="0.3">
      <c r="A321" s="366" t="str">
        <f>IFERROR(VLOOKUP(RIGHT(E321,3)+0,[1]SchLocTable!$A$2:$B$47,2,FALSE)," ")</f>
        <v>Hooker</v>
      </c>
      <c r="B321" s="366" t="str">
        <f>VLOOKUP(VALUE(D321),$D$3:F$106,3,FALSE)</f>
        <v>Elementary Classroom</v>
      </c>
      <c r="C321" t="s">
        <v>314</v>
      </c>
      <c r="D321">
        <v>801</v>
      </c>
      <c r="E321" t="s">
        <v>370</v>
      </c>
      <c r="F321" t="s">
        <v>318</v>
      </c>
      <c r="G321" t="s">
        <v>319</v>
      </c>
      <c r="H321" s="502">
        <v>51140</v>
      </c>
      <c r="I321" s="415">
        <v>3800</v>
      </c>
      <c r="J321" s="415">
        <v>0</v>
      </c>
      <c r="K321" s="415">
        <v>3600</v>
      </c>
      <c r="L321" s="415">
        <v>6500</v>
      </c>
      <c r="M321" s="415">
        <v>7200</v>
      </c>
      <c r="N321" s="415">
        <v>6300</v>
      </c>
      <c r="O321" s="415">
        <v>3600</v>
      </c>
      <c r="P321" s="415">
        <v>3600</v>
      </c>
      <c r="Q321" s="481">
        <f t="shared" si="51"/>
        <v>-3800</v>
      </c>
      <c r="S321" s="399"/>
      <c r="T321" s="399"/>
      <c r="U321" s="399"/>
    </row>
    <row r="322" spans="1:21" outlineLevel="2" x14ac:dyDescent="0.3">
      <c r="A322" s="366" t="str">
        <f>IFERROR(VLOOKUP(RIGHT(E322,3)+0,[1]SchLocTable!$A$2:$B$47,2,FALSE)," ")</f>
        <v>Hooker</v>
      </c>
      <c r="B322" s="366" t="str">
        <f>VLOOKUP(VALUE(D322),$D$3:F$106,3,FALSE)</f>
        <v>Elementary Classroom</v>
      </c>
      <c r="C322" t="s">
        <v>314</v>
      </c>
      <c r="D322">
        <v>801</v>
      </c>
      <c r="E322" t="s">
        <v>370</v>
      </c>
      <c r="F322" t="s">
        <v>320</v>
      </c>
      <c r="G322" t="s">
        <v>319</v>
      </c>
      <c r="H322" s="502">
        <v>52360</v>
      </c>
      <c r="I322" s="415">
        <v>4803.6382231500011</v>
      </c>
      <c r="J322" s="415">
        <v>9649.11</v>
      </c>
      <c r="K322" s="415">
        <v>9310.83</v>
      </c>
      <c r="L322" s="415">
        <v>9550.65</v>
      </c>
      <c r="M322" s="415">
        <v>13087.75</v>
      </c>
      <c r="N322" s="415">
        <v>12173.09</v>
      </c>
      <c r="O322" s="415">
        <v>11655.1</v>
      </c>
      <c r="P322" s="415">
        <v>11419.35</v>
      </c>
      <c r="Q322" s="481">
        <f t="shared" si="51"/>
        <v>4845.4717768499995</v>
      </c>
      <c r="S322" s="399"/>
      <c r="T322" s="399"/>
      <c r="U322" s="399"/>
    </row>
    <row r="323" spans="1:21" outlineLevel="2" x14ac:dyDescent="0.3">
      <c r="A323" s="366" t="str">
        <f>IFERROR(VLOOKUP(RIGHT(E323,3)+0,[1]SchLocTable!$A$2:$B$47,2,FALSE)," ")</f>
        <v>Hooker</v>
      </c>
      <c r="B323" s="366" t="str">
        <f>VLOOKUP(VALUE(D323),$D$3:F$106,3,FALSE)</f>
        <v>Elementary Classroom</v>
      </c>
      <c r="C323" t="s">
        <v>314</v>
      </c>
      <c r="D323">
        <v>801</v>
      </c>
      <c r="E323" t="s">
        <v>370</v>
      </c>
      <c r="F323" t="s">
        <v>329</v>
      </c>
      <c r="G323" t="s">
        <v>319</v>
      </c>
      <c r="H323" s="502">
        <v>51154</v>
      </c>
      <c r="I323" s="415">
        <v>0</v>
      </c>
      <c r="J323" s="415">
        <v>0</v>
      </c>
      <c r="K323" s="415">
        <v>0</v>
      </c>
      <c r="L323" s="415">
        <v>0</v>
      </c>
      <c r="M323" s="415">
        <v>11375</v>
      </c>
      <c r="N323" s="415">
        <v>0</v>
      </c>
      <c r="O323" s="415">
        <v>0</v>
      </c>
      <c r="P323" s="415">
        <v>0</v>
      </c>
      <c r="Q323" s="481">
        <f t="shared" si="51"/>
        <v>0</v>
      </c>
      <c r="S323" s="399"/>
      <c r="T323" s="399"/>
      <c r="U323" s="399"/>
    </row>
    <row r="324" spans="1:21" outlineLevel="2" x14ac:dyDescent="0.3">
      <c r="A324" s="366" t="str">
        <f>IFERROR(VLOOKUP(RIGHT(E324,3)+0,[1]SchLocTable!$A$2:$B$47,2,FALSE)," ")</f>
        <v>Batalla</v>
      </c>
      <c r="B324" s="366" t="str">
        <f>VLOOKUP(VALUE(D324),$D$3:F$106,3,FALSE)</f>
        <v>Elementary Classroom</v>
      </c>
      <c r="C324" t="s">
        <v>314</v>
      </c>
      <c r="D324">
        <v>801</v>
      </c>
      <c r="E324" t="s">
        <v>371</v>
      </c>
      <c r="F324" t="s">
        <v>316</v>
      </c>
      <c r="G324">
        <v>17</v>
      </c>
      <c r="H324" s="502">
        <v>51000</v>
      </c>
      <c r="I324" s="415">
        <v>798375.11630999984</v>
      </c>
      <c r="J324" s="415">
        <v>1213676.58</v>
      </c>
      <c r="K324" s="415">
        <v>1287953.77</v>
      </c>
      <c r="L324" s="415">
        <v>1369177.81</v>
      </c>
      <c r="M324" s="415">
        <v>1415348.77</v>
      </c>
      <c r="N324" s="415">
        <v>1367886.94</v>
      </c>
      <c r="O324" s="415">
        <v>1386637.67</v>
      </c>
      <c r="P324" s="415">
        <v>1372807.46</v>
      </c>
      <c r="Q324" s="481">
        <f t="shared" si="51"/>
        <v>415301.46369000024</v>
      </c>
      <c r="S324" s="399"/>
      <c r="T324" s="399"/>
      <c r="U324" s="399"/>
    </row>
    <row r="325" spans="1:21" outlineLevel="2" x14ac:dyDescent="0.3">
      <c r="A325" s="366" t="str">
        <f>IFERROR(VLOOKUP(RIGHT(E325,3)+0,[1]SchLocTable!$A$2:$B$47,2,FALSE)," ")</f>
        <v>Batalla</v>
      </c>
      <c r="B325" s="366" t="str">
        <f>VLOOKUP(VALUE(D325),$D$3:F$106,3,FALSE)</f>
        <v>Elementary Classroom</v>
      </c>
      <c r="C325" t="s">
        <v>314</v>
      </c>
      <c r="D325">
        <v>801</v>
      </c>
      <c r="E325" t="s">
        <v>371</v>
      </c>
      <c r="F325" t="s">
        <v>321</v>
      </c>
      <c r="G325" t="s">
        <v>319</v>
      </c>
      <c r="H325" s="502">
        <v>52917</v>
      </c>
      <c r="I325" s="415">
        <v>189181.8</v>
      </c>
      <c r="J325" s="415">
        <v>221763.15</v>
      </c>
      <c r="K325" s="415">
        <v>230637.54</v>
      </c>
      <c r="L325" s="415">
        <v>322439.53000000003</v>
      </c>
      <c r="M325" s="415">
        <v>328498.8</v>
      </c>
      <c r="N325" s="415">
        <v>336972.19</v>
      </c>
      <c r="O325" s="415">
        <v>326636.83</v>
      </c>
      <c r="P325" s="415">
        <v>291432.96000000002</v>
      </c>
      <c r="Q325" s="481">
        <f t="shared" si="51"/>
        <v>32581.350000000006</v>
      </c>
      <c r="S325" s="399"/>
      <c r="T325" s="399"/>
      <c r="U325" s="399"/>
    </row>
    <row r="326" spans="1:21" outlineLevel="2" x14ac:dyDescent="0.3">
      <c r="A326" s="366" t="str">
        <f>IFERROR(VLOOKUP(RIGHT(E326,3)+0,[1]SchLocTable!$A$2:$B$47,2,FALSE)," ")</f>
        <v>Batalla</v>
      </c>
      <c r="B326" s="366" t="str">
        <f>VLOOKUP(VALUE(D326),$D$3:F$106,3,FALSE)</f>
        <v>Elementary Classroom</v>
      </c>
      <c r="C326" t="s">
        <v>314</v>
      </c>
      <c r="D326">
        <v>801</v>
      </c>
      <c r="E326" t="s">
        <v>371</v>
      </c>
      <c r="F326" t="s">
        <v>318</v>
      </c>
      <c r="G326" t="s">
        <v>319</v>
      </c>
      <c r="H326" s="502">
        <v>51140</v>
      </c>
      <c r="I326" s="415">
        <v>5200</v>
      </c>
      <c r="J326" s="415">
        <v>0</v>
      </c>
      <c r="K326" s="415">
        <v>7800</v>
      </c>
      <c r="L326" s="415">
        <v>9600</v>
      </c>
      <c r="M326" s="415">
        <v>10300</v>
      </c>
      <c r="N326" s="415">
        <v>8300</v>
      </c>
      <c r="O326" s="415">
        <v>8800</v>
      </c>
      <c r="P326" s="415">
        <v>4700</v>
      </c>
      <c r="Q326" s="481">
        <f t="shared" si="51"/>
        <v>-5200</v>
      </c>
      <c r="S326" s="399"/>
      <c r="T326" s="399"/>
      <c r="U326" s="399"/>
    </row>
    <row r="327" spans="1:21" outlineLevel="2" x14ac:dyDescent="0.3">
      <c r="A327" s="366" t="str">
        <f>IFERROR(VLOOKUP(RIGHT(E327,3)+0,[1]SchLocTable!$A$2:$B$47,2,FALSE)," ")</f>
        <v>Batalla</v>
      </c>
      <c r="B327" s="366" t="str">
        <f>VLOOKUP(VALUE(D327),$D$3:F$106,3,FALSE)</f>
        <v>Elementary Classroom</v>
      </c>
      <c r="C327" t="s">
        <v>314</v>
      </c>
      <c r="D327">
        <v>801</v>
      </c>
      <c r="E327" t="s">
        <v>371</v>
      </c>
      <c r="F327" t="s">
        <v>320</v>
      </c>
      <c r="G327" t="s">
        <v>319</v>
      </c>
      <c r="H327" s="502">
        <v>52360</v>
      </c>
      <c r="I327" s="415">
        <v>11576.439186495001</v>
      </c>
      <c r="J327" s="415">
        <v>17459.48</v>
      </c>
      <c r="K327" s="415">
        <v>17972.75</v>
      </c>
      <c r="L327" s="415">
        <v>18665.509999999998</v>
      </c>
      <c r="M327" s="415">
        <v>19409.150000000001</v>
      </c>
      <c r="N327" s="415">
        <v>18641.14</v>
      </c>
      <c r="O327" s="415">
        <v>19176.419999999998</v>
      </c>
      <c r="P327" s="415">
        <v>18902.509999999998</v>
      </c>
      <c r="Q327" s="481">
        <f t="shared" si="51"/>
        <v>5883.0408135049984</v>
      </c>
      <c r="S327" s="399"/>
      <c r="T327" s="399"/>
      <c r="U327" s="399"/>
    </row>
    <row r="328" spans="1:21" outlineLevel="2" x14ac:dyDescent="0.3">
      <c r="A328" s="366" t="str">
        <f>IFERROR(VLOOKUP(RIGHT(E328,3)+0,[1]SchLocTable!$A$2:$B$47,2,FALSE)," ")</f>
        <v>Batalla</v>
      </c>
      <c r="B328" s="366" t="str">
        <f>VLOOKUP(VALUE(D328),$D$3:F$106,3,FALSE)</f>
        <v>Elementary Classroom</v>
      </c>
      <c r="C328" t="s">
        <v>314</v>
      </c>
      <c r="D328">
        <v>801</v>
      </c>
      <c r="E328" t="s">
        <v>371</v>
      </c>
      <c r="F328" t="s">
        <v>324</v>
      </c>
      <c r="G328" t="s">
        <v>319</v>
      </c>
      <c r="H328" s="502">
        <v>52385</v>
      </c>
      <c r="I328" s="415">
        <v>0</v>
      </c>
      <c r="J328" s="415">
        <v>0</v>
      </c>
      <c r="K328" s="415">
        <v>0</v>
      </c>
      <c r="L328" s="415">
        <v>0</v>
      </c>
      <c r="M328" s="415">
        <v>261.02</v>
      </c>
      <c r="N328" s="415">
        <v>0</v>
      </c>
      <c r="O328" s="415">
        <v>0</v>
      </c>
      <c r="P328" s="415">
        <v>0</v>
      </c>
      <c r="Q328" s="481">
        <f t="shared" si="51"/>
        <v>0</v>
      </c>
      <c r="S328" s="399"/>
      <c r="T328" s="399"/>
      <c r="U328" s="399"/>
    </row>
    <row r="329" spans="1:21" outlineLevel="2" x14ac:dyDescent="0.3">
      <c r="A329" s="366" t="str">
        <f>IFERROR(VLOOKUP(RIGHT(E329,3)+0,[1]SchLocTable!$A$2:$B$47,2,FALSE)," ")</f>
        <v>Batalla</v>
      </c>
      <c r="B329" s="366" t="str">
        <f>VLOOKUP(VALUE(D329),$D$3:F$106,3,FALSE)</f>
        <v>Elementary Classroom</v>
      </c>
      <c r="C329" t="s">
        <v>314</v>
      </c>
      <c r="D329">
        <v>801</v>
      </c>
      <c r="E329" t="s">
        <v>371</v>
      </c>
      <c r="F329" t="s">
        <v>329</v>
      </c>
      <c r="G329" t="s">
        <v>319</v>
      </c>
      <c r="H329" s="502">
        <v>51154</v>
      </c>
      <c r="I329" s="415">
        <v>0</v>
      </c>
      <c r="J329" s="415">
        <v>0</v>
      </c>
      <c r="K329" s="415">
        <v>11375</v>
      </c>
      <c r="L329" s="415">
        <v>0</v>
      </c>
      <c r="M329" s="415">
        <v>5200</v>
      </c>
      <c r="N329" s="415">
        <v>0</v>
      </c>
      <c r="O329" s="415">
        <v>11375</v>
      </c>
      <c r="P329" s="415">
        <v>0</v>
      </c>
      <c r="Q329" s="481">
        <f t="shared" si="51"/>
        <v>0</v>
      </c>
      <c r="S329" s="399"/>
      <c r="T329" s="399"/>
      <c r="U329" s="399"/>
    </row>
    <row r="330" spans="1:21" outlineLevel="2" x14ac:dyDescent="0.3">
      <c r="A330" s="366" t="str">
        <f>IFERROR(VLOOKUP(RIGHT(E330,3)+0,[1]SchLocTable!$A$2:$B$47,2,FALSE)," ")</f>
        <v>Park City Magnet</v>
      </c>
      <c r="B330" s="366" t="str">
        <f>VLOOKUP(VALUE(D330),$D$3:F$106,3,FALSE)</f>
        <v>Elementary Classroom</v>
      </c>
      <c r="C330" t="s">
        <v>314</v>
      </c>
      <c r="D330">
        <v>801</v>
      </c>
      <c r="E330" t="s">
        <v>372</v>
      </c>
      <c r="F330" t="s">
        <v>316</v>
      </c>
      <c r="G330">
        <v>8</v>
      </c>
      <c r="H330" s="502">
        <v>51000</v>
      </c>
      <c r="I330" s="415">
        <v>512015.89725000004</v>
      </c>
      <c r="J330" s="415">
        <v>539144.57999999996</v>
      </c>
      <c r="K330" s="415">
        <v>732681.06</v>
      </c>
      <c r="L330" s="415">
        <v>750771.47</v>
      </c>
      <c r="M330" s="415">
        <v>805050.05</v>
      </c>
      <c r="N330" s="415">
        <v>676462.68</v>
      </c>
      <c r="O330" s="415">
        <v>921442.78</v>
      </c>
      <c r="P330" s="415">
        <v>866958.41</v>
      </c>
      <c r="Q330" s="481">
        <f t="shared" si="51"/>
        <v>27128.68274999992</v>
      </c>
      <c r="S330" s="399"/>
      <c r="T330" s="399"/>
      <c r="U330" s="399"/>
    </row>
    <row r="331" spans="1:21" outlineLevel="2" x14ac:dyDescent="0.3">
      <c r="A331" s="366" t="str">
        <f>IFERROR(VLOOKUP(RIGHT(E331,3)+0,[1]SchLocTable!$A$2:$B$47,2,FALSE)," ")</f>
        <v>Park City Magnet</v>
      </c>
      <c r="B331" s="366" t="str">
        <f>VLOOKUP(VALUE(D331),$D$3:F$106,3,FALSE)</f>
        <v>Elementary Classroom</v>
      </c>
      <c r="C331" t="s">
        <v>314</v>
      </c>
      <c r="D331">
        <v>801</v>
      </c>
      <c r="E331" t="s">
        <v>372</v>
      </c>
      <c r="F331" t="s">
        <v>321</v>
      </c>
      <c r="G331" t="s">
        <v>319</v>
      </c>
      <c r="H331" s="502">
        <v>52917</v>
      </c>
      <c r="I331" s="415">
        <v>134627.89199999999</v>
      </c>
      <c r="J331" s="415">
        <v>109091.01</v>
      </c>
      <c r="K331" s="415">
        <v>112247.94</v>
      </c>
      <c r="L331" s="415">
        <v>130743.57</v>
      </c>
      <c r="M331" s="415">
        <v>147770.73000000001</v>
      </c>
      <c r="N331" s="415">
        <v>114390.44</v>
      </c>
      <c r="O331" s="415">
        <v>164487.93</v>
      </c>
      <c r="P331" s="415">
        <v>171857.24</v>
      </c>
      <c r="Q331" s="481">
        <f t="shared" si="51"/>
        <v>-25536.881999999998</v>
      </c>
      <c r="S331" s="399"/>
      <c r="T331" s="399"/>
      <c r="U331" s="399"/>
    </row>
    <row r="332" spans="1:21" outlineLevel="2" x14ac:dyDescent="0.3">
      <c r="A332" s="366" t="str">
        <f>IFERROR(VLOOKUP(RIGHT(E332,3)+0,[1]SchLocTable!$A$2:$B$47,2,FALSE)," ")</f>
        <v>Park City Magnet</v>
      </c>
      <c r="B332" s="366" t="str">
        <f>VLOOKUP(VALUE(D332),$D$3:F$106,3,FALSE)</f>
        <v>Elementary Classroom</v>
      </c>
      <c r="C332" t="s">
        <v>314</v>
      </c>
      <c r="D332">
        <v>801</v>
      </c>
      <c r="E332" t="s">
        <v>372</v>
      </c>
      <c r="F332" t="s">
        <v>318</v>
      </c>
      <c r="G332" t="s">
        <v>319</v>
      </c>
      <c r="H332" s="502">
        <v>51140</v>
      </c>
      <c r="I332" s="415">
        <v>4800</v>
      </c>
      <c r="J332" s="415">
        <v>0</v>
      </c>
      <c r="K332" s="415">
        <v>9000</v>
      </c>
      <c r="L332" s="415">
        <v>6800</v>
      </c>
      <c r="M332" s="415">
        <v>5900</v>
      </c>
      <c r="N332" s="415">
        <v>5500</v>
      </c>
      <c r="O332" s="415">
        <v>9900</v>
      </c>
      <c r="P332" s="415">
        <v>7400</v>
      </c>
      <c r="Q332" s="481">
        <f t="shared" si="51"/>
        <v>-4800</v>
      </c>
      <c r="S332" s="399"/>
      <c r="T332" s="399"/>
      <c r="U332" s="399"/>
    </row>
    <row r="333" spans="1:21" outlineLevel="2" x14ac:dyDescent="0.3">
      <c r="A333" s="366" t="str">
        <f>IFERROR(VLOOKUP(RIGHT(E333,3)+0,[1]SchLocTable!$A$2:$B$47,2,FALSE)," ")</f>
        <v>Park City Magnet</v>
      </c>
      <c r="B333" s="366" t="str">
        <f>VLOOKUP(VALUE(D333),$D$3:F$106,3,FALSE)</f>
        <v>Elementary Classroom</v>
      </c>
      <c r="C333" t="s">
        <v>314</v>
      </c>
      <c r="D333">
        <v>801</v>
      </c>
      <c r="E333" t="s">
        <v>372</v>
      </c>
      <c r="F333" t="s">
        <v>320</v>
      </c>
      <c r="G333" t="s">
        <v>319</v>
      </c>
      <c r="H333" s="502">
        <v>52360</v>
      </c>
      <c r="I333" s="415">
        <v>7424.2305101250004</v>
      </c>
      <c r="J333" s="415">
        <v>7749</v>
      </c>
      <c r="K333" s="415">
        <v>10479.67</v>
      </c>
      <c r="L333" s="415">
        <v>10444.94</v>
      </c>
      <c r="M333" s="415">
        <v>11462.81</v>
      </c>
      <c r="N333" s="415">
        <v>9324.01</v>
      </c>
      <c r="O333" s="415">
        <v>13192.9</v>
      </c>
      <c r="P333" s="415">
        <v>12039.73</v>
      </c>
      <c r="Q333" s="481">
        <f t="shared" si="51"/>
        <v>324.76948987499964</v>
      </c>
      <c r="S333" s="399"/>
      <c r="T333" s="399"/>
      <c r="U333" s="399"/>
    </row>
    <row r="334" spans="1:21" outlineLevel="2" x14ac:dyDescent="0.3">
      <c r="A334" s="366" t="str">
        <f>IFERROR(VLOOKUP(RIGHT(E334,3)+0,[1]SchLocTable!$A$2:$B$47,2,FALSE)," ")</f>
        <v>Park City Magnet</v>
      </c>
      <c r="B334" s="366" t="str">
        <f>VLOOKUP(VALUE(D334),$D$3:F$106,3,FALSE)</f>
        <v>Elementary Classroom</v>
      </c>
      <c r="C334" t="s">
        <v>314</v>
      </c>
      <c r="D334">
        <v>801</v>
      </c>
      <c r="E334" t="s">
        <v>372</v>
      </c>
      <c r="F334" t="s">
        <v>324</v>
      </c>
      <c r="G334" t="s">
        <v>319</v>
      </c>
      <c r="H334" s="502">
        <v>52385</v>
      </c>
      <c r="I334" s="415">
        <v>11672.2613618</v>
      </c>
      <c r="J334" s="415">
        <v>0</v>
      </c>
      <c r="K334" s="415">
        <v>0</v>
      </c>
      <c r="L334" s="415">
        <v>1313.31</v>
      </c>
      <c r="M334" s="415">
        <v>294.51</v>
      </c>
      <c r="N334" s="415">
        <v>325.5</v>
      </c>
      <c r="O334" s="415">
        <v>0</v>
      </c>
      <c r="P334" s="415">
        <v>0</v>
      </c>
      <c r="Q334" s="481">
        <f t="shared" si="51"/>
        <v>-11672.2613618</v>
      </c>
      <c r="S334" s="399"/>
      <c r="T334" s="399"/>
      <c r="U334" s="399"/>
    </row>
    <row r="335" spans="1:21" outlineLevel="2" x14ac:dyDescent="0.3">
      <c r="A335" s="366" t="str">
        <f>IFERROR(VLOOKUP(RIGHT(E335,3)+0,[1]SchLocTable!$A$2:$B$47,2,FALSE)," ")</f>
        <v>Park City Magnet</v>
      </c>
      <c r="B335" s="366" t="str">
        <f>VLOOKUP(VALUE(D335),$D$3:F$106,3,FALSE)</f>
        <v>Elementary Classroom</v>
      </c>
      <c r="C335" t="s">
        <v>314</v>
      </c>
      <c r="D335">
        <v>801</v>
      </c>
      <c r="E335" t="s">
        <v>372</v>
      </c>
      <c r="F335" t="s">
        <v>329</v>
      </c>
      <c r="G335" t="s">
        <v>319</v>
      </c>
      <c r="H335" s="502">
        <v>51154</v>
      </c>
      <c r="I335" s="415">
        <v>0</v>
      </c>
      <c r="J335" s="415">
        <v>0</v>
      </c>
      <c r="K335" s="415">
        <v>13975</v>
      </c>
      <c r="L335" s="415">
        <v>0</v>
      </c>
      <c r="M335" s="415">
        <v>0</v>
      </c>
      <c r="N335" s="415">
        <v>0</v>
      </c>
      <c r="O335" s="415">
        <v>21125</v>
      </c>
      <c r="P335" s="415">
        <v>0</v>
      </c>
      <c r="Q335" s="481">
        <f t="shared" si="51"/>
        <v>0</v>
      </c>
      <c r="S335" s="399"/>
      <c r="T335" s="399"/>
      <c r="U335" s="399"/>
    </row>
    <row r="336" spans="1:21" outlineLevel="2" x14ac:dyDescent="0.3">
      <c r="A336" s="366" t="str">
        <f>IFERROR(VLOOKUP(RIGHT(E336,3)+0,[1]SchLocTable!$A$2:$B$47,2,FALSE)," ")</f>
        <v>Madison</v>
      </c>
      <c r="B336" s="366" t="str">
        <f>VLOOKUP(VALUE(D336),$D$3:F$106,3,FALSE)</f>
        <v>Elementary Classroom</v>
      </c>
      <c r="C336" t="s">
        <v>314</v>
      </c>
      <c r="D336">
        <v>801</v>
      </c>
      <c r="E336" t="s">
        <v>373</v>
      </c>
      <c r="F336" t="s">
        <v>316</v>
      </c>
      <c r="G336">
        <v>15</v>
      </c>
      <c r="H336" s="502">
        <v>51000</v>
      </c>
      <c r="I336" s="415">
        <v>815172.83640000003</v>
      </c>
      <c r="J336" s="415">
        <v>1257516</v>
      </c>
      <c r="K336" s="415">
        <v>1227277.24</v>
      </c>
      <c r="L336" s="415">
        <v>1300590.17</v>
      </c>
      <c r="M336" s="415">
        <v>1490891.17</v>
      </c>
      <c r="N336" s="415">
        <v>1446815.65</v>
      </c>
      <c r="O336" s="415">
        <v>1397292.43</v>
      </c>
      <c r="P336" s="415">
        <v>1380662.41</v>
      </c>
      <c r="Q336" s="481">
        <f t="shared" si="51"/>
        <v>442343.16359999997</v>
      </c>
      <c r="S336" s="399"/>
      <c r="T336" s="399"/>
      <c r="U336" s="399"/>
    </row>
    <row r="337" spans="1:21" outlineLevel="2" x14ac:dyDescent="0.3">
      <c r="A337" s="366" t="str">
        <f>IFERROR(VLOOKUP(RIGHT(E337,3)+0,[1]SchLocTable!$A$2:$B$47,2,FALSE)," ")</f>
        <v>Madison</v>
      </c>
      <c r="B337" s="366" t="str">
        <f>VLOOKUP(VALUE(D337),$D$3:F$106,3,FALSE)</f>
        <v>Elementary Classroom</v>
      </c>
      <c r="C337" t="s">
        <v>314</v>
      </c>
      <c r="D337">
        <v>801</v>
      </c>
      <c r="E337" t="s">
        <v>373</v>
      </c>
      <c r="F337" t="s">
        <v>321</v>
      </c>
      <c r="G337" t="s">
        <v>319</v>
      </c>
      <c r="H337" s="502">
        <v>52917</v>
      </c>
      <c r="I337" s="415">
        <v>278324.67599999998</v>
      </c>
      <c r="J337" s="415">
        <v>392098.14</v>
      </c>
      <c r="K337" s="415">
        <v>356076</v>
      </c>
      <c r="L337" s="415">
        <v>380857.34</v>
      </c>
      <c r="M337" s="415">
        <v>426353.11</v>
      </c>
      <c r="N337" s="415">
        <v>397026.48</v>
      </c>
      <c r="O337" s="415">
        <v>400022.09</v>
      </c>
      <c r="P337" s="415">
        <v>343447.66</v>
      </c>
      <c r="Q337" s="481">
        <f t="shared" si="51"/>
        <v>113773.46400000004</v>
      </c>
      <c r="S337" s="399"/>
      <c r="T337" s="399"/>
      <c r="U337" s="399"/>
    </row>
    <row r="338" spans="1:21" outlineLevel="2" x14ac:dyDescent="0.3">
      <c r="A338" s="366" t="str">
        <f>IFERROR(VLOOKUP(RIGHT(E338,3)+0,[1]SchLocTable!$A$2:$B$47,2,FALSE)," ")</f>
        <v>Madison</v>
      </c>
      <c r="B338" s="366" t="str">
        <f>VLOOKUP(VALUE(D338),$D$3:F$106,3,FALSE)</f>
        <v>Elementary Classroom</v>
      </c>
      <c r="C338" t="s">
        <v>314</v>
      </c>
      <c r="D338">
        <v>801</v>
      </c>
      <c r="E338" t="s">
        <v>373</v>
      </c>
      <c r="F338" t="s">
        <v>318</v>
      </c>
      <c r="G338" t="s">
        <v>319</v>
      </c>
      <c r="H338" s="502">
        <v>51140</v>
      </c>
      <c r="I338" s="415">
        <v>11200</v>
      </c>
      <c r="J338" s="415">
        <v>0</v>
      </c>
      <c r="K338" s="415">
        <v>10800</v>
      </c>
      <c r="L338" s="415">
        <v>16500</v>
      </c>
      <c r="M338" s="415">
        <v>18100</v>
      </c>
      <c r="N338" s="415">
        <v>14800</v>
      </c>
      <c r="O338" s="415">
        <v>16600</v>
      </c>
      <c r="P338" s="415">
        <v>13400</v>
      </c>
      <c r="Q338" s="481">
        <f t="shared" si="51"/>
        <v>-11200</v>
      </c>
      <c r="S338" s="399"/>
      <c r="T338" s="399"/>
      <c r="U338" s="399"/>
    </row>
    <row r="339" spans="1:21" outlineLevel="2" x14ac:dyDescent="0.3">
      <c r="A339" s="366" t="str">
        <f>IFERROR(VLOOKUP(RIGHT(E339,3)+0,[1]SchLocTable!$A$2:$B$47,2,FALSE)," ")</f>
        <v>Madison</v>
      </c>
      <c r="B339" s="366" t="str">
        <f>VLOOKUP(VALUE(D339),$D$3:F$106,3,FALSE)</f>
        <v>Elementary Classroom</v>
      </c>
      <c r="C339" t="s">
        <v>314</v>
      </c>
      <c r="D339">
        <v>801</v>
      </c>
      <c r="E339" t="s">
        <v>373</v>
      </c>
      <c r="F339" t="s">
        <v>320</v>
      </c>
      <c r="G339" t="s">
        <v>319</v>
      </c>
      <c r="H339" s="502">
        <v>52360</v>
      </c>
      <c r="I339" s="415">
        <v>11820.006127800001</v>
      </c>
      <c r="J339" s="415">
        <v>16273</v>
      </c>
      <c r="K339" s="415">
        <v>16315.25</v>
      </c>
      <c r="L339" s="415">
        <v>17557.419999999998</v>
      </c>
      <c r="M339" s="415">
        <v>20188.14</v>
      </c>
      <c r="N339" s="415">
        <v>19575.150000000001</v>
      </c>
      <c r="O339" s="415">
        <v>19098.95</v>
      </c>
      <c r="P339" s="415">
        <v>18852.38</v>
      </c>
      <c r="Q339" s="481">
        <f t="shared" si="51"/>
        <v>4452.9938721999988</v>
      </c>
      <c r="S339" s="399"/>
      <c r="T339" s="399"/>
      <c r="U339" s="399"/>
    </row>
    <row r="340" spans="1:21" outlineLevel="2" x14ac:dyDescent="0.3">
      <c r="A340" s="366" t="str">
        <f>IFERROR(VLOOKUP(RIGHT(E340,3)+0,[1]SchLocTable!$A$2:$B$47,2,FALSE)," ")</f>
        <v>Madison</v>
      </c>
      <c r="B340" s="366" t="str">
        <f>VLOOKUP(VALUE(D340),$D$3:F$106,3,FALSE)</f>
        <v>Elementary Classroom</v>
      </c>
      <c r="C340" t="s">
        <v>314</v>
      </c>
      <c r="D340">
        <v>801</v>
      </c>
      <c r="E340" t="s">
        <v>373</v>
      </c>
      <c r="F340" t="s">
        <v>329</v>
      </c>
      <c r="G340" t="s">
        <v>319</v>
      </c>
      <c r="H340" s="502">
        <v>51154</v>
      </c>
      <c r="I340" s="415">
        <v>0</v>
      </c>
      <c r="J340" s="415">
        <v>0</v>
      </c>
      <c r="K340" s="415">
        <v>0</v>
      </c>
      <c r="L340" s="415">
        <v>11375</v>
      </c>
      <c r="M340" s="415">
        <v>11375</v>
      </c>
      <c r="N340" s="415">
        <v>0</v>
      </c>
      <c r="O340" s="415">
        <v>11375</v>
      </c>
      <c r="P340" s="415">
        <v>0</v>
      </c>
      <c r="Q340" s="481">
        <f t="shared" si="51"/>
        <v>0</v>
      </c>
      <c r="S340" s="399"/>
      <c r="T340" s="399"/>
      <c r="U340" s="399"/>
    </row>
    <row r="341" spans="1:21" outlineLevel="2" x14ac:dyDescent="0.3">
      <c r="A341" s="366" t="str">
        <f>IFERROR(VLOOKUP(RIGHT(E341,3)+0,[1]SchLocTable!$A$2:$B$47,2,FALSE)," ")</f>
        <v>Classical Studies Academy</v>
      </c>
      <c r="B341" s="366" t="str">
        <f>VLOOKUP(VALUE(D341),$D$3:F$106,3,FALSE)</f>
        <v>Elementary Classroom</v>
      </c>
      <c r="C341" t="s">
        <v>314</v>
      </c>
      <c r="D341">
        <v>801</v>
      </c>
      <c r="E341" t="s">
        <v>374</v>
      </c>
      <c r="F341" t="s">
        <v>316</v>
      </c>
      <c r="G341">
        <v>11</v>
      </c>
      <c r="H341" s="502">
        <v>51000</v>
      </c>
      <c r="I341" s="415">
        <v>427236.81806000008</v>
      </c>
      <c r="J341" s="415">
        <v>826237</v>
      </c>
      <c r="K341" s="415">
        <v>784269.91</v>
      </c>
      <c r="L341" s="415">
        <v>769836.11</v>
      </c>
      <c r="M341" s="415">
        <v>659075.91</v>
      </c>
      <c r="N341" s="415">
        <v>664848.38</v>
      </c>
      <c r="O341" s="415">
        <v>654508.92000000004</v>
      </c>
      <c r="P341" s="415">
        <v>637063.18000000005</v>
      </c>
      <c r="Q341" s="481">
        <f t="shared" si="51"/>
        <v>399000.18193999992</v>
      </c>
      <c r="S341" s="399"/>
      <c r="T341" s="399"/>
      <c r="U341" s="399"/>
    </row>
    <row r="342" spans="1:21" outlineLevel="2" x14ac:dyDescent="0.3">
      <c r="A342" s="366" t="str">
        <f>IFERROR(VLOOKUP(RIGHT(E342,3)+0,[1]SchLocTable!$A$2:$B$47,2,FALSE)," ")</f>
        <v>Classical Studies Academy</v>
      </c>
      <c r="B342" s="366" t="str">
        <f>VLOOKUP(VALUE(D342),$D$3:F$106,3,FALSE)</f>
        <v>Elementary Classroom</v>
      </c>
      <c r="C342" t="s">
        <v>314</v>
      </c>
      <c r="D342">
        <v>801</v>
      </c>
      <c r="E342" t="s">
        <v>374</v>
      </c>
      <c r="F342" t="s">
        <v>321</v>
      </c>
      <c r="G342" t="s">
        <v>319</v>
      </c>
      <c r="H342" s="502">
        <v>52917</v>
      </c>
      <c r="I342" s="415">
        <v>68933.59199999999</v>
      </c>
      <c r="J342" s="415">
        <v>120643</v>
      </c>
      <c r="K342" s="415">
        <v>96144.960000000006</v>
      </c>
      <c r="L342" s="415">
        <v>89553.21</v>
      </c>
      <c r="M342" s="415">
        <v>79168.63</v>
      </c>
      <c r="N342" s="415">
        <v>96503.55</v>
      </c>
      <c r="O342" s="415">
        <v>89255.55</v>
      </c>
      <c r="P342" s="415">
        <v>84203.49</v>
      </c>
      <c r="Q342" s="481">
        <f t="shared" si="51"/>
        <v>51709.40800000001</v>
      </c>
      <c r="S342" s="399"/>
      <c r="T342" s="399"/>
      <c r="U342" s="399"/>
    </row>
    <row r="343" spans="1:21" outlineLevel="2" x14ac:dyDescent="0.3">
      <c r="A343" s="366" t="str">
        <f>IFERROR(VLOOKUP(RIGHT(E343,3)+0,[1]SchLocTable!$A$2:$B$47,2,FALSE)," ")</f>
        <v>Classical Studies Academy</v>
      </c>
      <c r="B343" s="366" t="str">
        <f>VLOOKUP(VALUE(D343),$D$3:F$106,3,FALSE)</f>
        <v>Elementary Classroom</v>
      </c>
      <c r="C343" t="s">
        <v>314</v>
      </c>
      <c r="D343">
        <v>801</v>
      </c>
      <c r="E343" t="s">
        <v>374</v>
      </c>
      <c r="F343" t="s">
        <v>318</v>
      </c>
      <c r="G343" t="s">
        <v>319</v>
      </c>
      <c r="H343" s="502">
        <v>51140</v>
      </c>
      <c r="I343" s="415">
        <v>2200</v>
      </c>
      <c r="J343" s="415">
        <v>0</v>
      </c>
      <c r="K343" s="415">
        <v>1200</v>
      </c>
      <c r="L343" s="415">
        <v>2100</v>
      </c>
      <c r="M343" s="415">
        <v>2100</v>
      </c>
      <c r="N343" s="415">
        <v>0</v>
      </c>
      <c r="O343" s="415">
        <v>0</v>
      </c>
      <c r="P343" s="415">
        <v>0</v>
      </c>
      <c r="Q343" s="481">
        <f t="shared" si="51"/>
        <v>-2200</v>
      </c>
      <c r="S343" s="399"/>
      <c r="T343" s="399"/>
      <c r="U343" s="399"/>
    </row>
    <row r="344" spans="1:21" outlineLevel="2" x14ac:dyDescent="0.3">
      <c r="A344" s="366" t="str">
        <f>IFERROR(VLOOKUP(RIGHT(E344,3)+0,[1]SchLocTable!$A$2:$B$47,2,FALSE)," ")</f>
        <v>Classical Studies Academy</v>
      </c>
      <c r="B344" s="366" t="str">
        <f>VLOOKUP(VALUE(D344),$D$3:F$106,3,FALSE)</f>
        <v>Elementary Classroom</v>
      </c>
      <c r="C344" t="s">
        <v>314</v>
      </c>
      <c r="D344">
        <v>801</v>
      </c>
      <c r="E344" t="s">
        <v>374</v>
      </c>
      <c r="F344" t="s">
        <v>320</v>
      </c>
      <c r="G344" t="s">
        <v>319</v>
      </c>
      <c r="H344" s="502">
        <v>52360</v>
      </c>
      <c r="I344" s="415">
        <v>6194.9338618700003</v>
      </c>
      <c r="J344" s="415">
        <v>11484</v>
      </c>
      <c r="K344" s="415">
        <v>10951.07</v>
      </c>
      <c r="L344" s="415">
        <v>10789.89</v>
      </c>
      <c r="M344" s="415">
        <v>9661.84</v>
      </c>
      <c r="N344" s="415">
        <v>9265.06</v>
      </c>
      <c r="O344" s="415">
        <v>9152.93</v>
      </c>
      <c r="P344" s="415">
        <v>8924.9599999999991</v>
      </c>
      <c r="Q344" s="481">
        <f t="shared" si="51"/>
        <v>5289.0661381299997</v>
      </c>
      <c r="S344" s="399"/>
      <c r="T344" s="399"/>
      <c r="U344" s="399"/>
    </row>
    <row r="345" spans="1:21" outlineLevel="2" x14ac:dyDescent="0.3">
      <c r="A345" s="366" t="str">
        <f>IFERROR(VLOOKUP(RIGHT(E345,3)+0,[1]SchLocTable!$A$2:$B$47,2,FALSE)," ")</f>
        <v>Classical Studies Academy</v>
      </c>
      <c r="B345" s="366" t="str">
        <f>VLOOKUP(VALUE(D345),$D$3:F$106,3,FALSE)</f>
        <v>Elementary Classroom</v>
      </c>
      <c r="C345" t="s">
        <v>314</v>
      </c>
      <c r="D345">
        <v>801</v>
      </c>
      <c r="E345" t="s">
        <v>374</v>
      </c>
      <c r="F345" t="s">
        <v>324</v>
      </c>
      <c r="G345" t="s">
        <v>319</v>
      </c>
      <c r="H345" s="502">
        <v>52385</v>
      </c>
      <c r="I345" s="415">
        <v>0</v>
      </c>
      <c r="J345" s="415">
        <v>0</v>
      </c>
      <c r="K345" s="415">
        <v>217</v>
      </c>
      <c r="L345" s="415">
        <v>0</v>
      </c>
      <c r="M345" s="415">
        <v>0</v>
      </c>
      <c r="N345" s="415">
        <v>2287.8000000000002</v>
      </c>
      <c r="O345" s="415">
        <v>0</v>
      </c>
      <c r="P345" s="415">
        <v>0</v>
      </c>
      <c r="Q345" s="481">
        <f t="shared" si="51"/>
        <v>0</v>
      </c>
      <c r="S345" s="399"/>
      <c r="T345" s="399"/>
      <c r="U345" s="399"/>
    </row>
    <row r="346" spans="1:21" outlineLevel="2" x14ac:dyDescent="0.3">
      <c r="A346" s="366" t="str">
        <f>IFERROR(VLOOKUP(RIGHT(E346,3)+0,[1]SchLocTable!$A$2:$B$47,2,FALSE)," ")</f>
        <v>Tisdale</v>
      </c>
      <c r="B346" s="366" t="str">
        <f>VLOOKUP(VALUE(D346),$D$3:F$106,3,FALSE)</f>
        <v>Elementary Classroom</v>
      </c>
      <c r="C346" t="s">
        <v>314</v>
      </c>
      <c r="D346">
        <v>801</v>
      </c>
      <c r="E346" t="s">
        <v>375</v>
      </c>
      <c r="F346" t="s">
        <v>316</v>
      </c>
      <c r="G346">
        <v>11</v>
      </c>
      <c r="H346" s="502">
        <v>51000</v>
      </c>
      <c r="I346" s="415">
        <v>491785.74874000001</v>
      </c>
      <c r="J346" s="415">
        <v>1053617</v>
      </c>
      <c r="K346" s="415">
        <v>1027397.8</v>
      </c>
      <c r="L346" s="415">
        <v>1052313.78</v>
      </c>
      <c r="M346" s="415">
        <v>1120835.45</v>
      </c>
      <c r="N346" s="415">
        <v>1127191.3700000001</v>
      </c>
      <c r="O346" s="415">
        <v>1120282.78</v>
      </c>
      <c r="P346" s="415">
        <v>1094916.06</v>
      </c>
      <c r="Q346" s="481">
        <f t="shared" si="51"/>
        <v>561831.25126000005</v>
      </c>
      <c r="S346" s="399"/>
      <c r="T346" s="399"/>
      <c r="U346" s="399"/>
    </row>
    <row r="347" spans="1:21" outlineLevel="2" x14ac:dyDescent="0.3">
      <c r="A347" s="366" t="str">
        <f>IFERROR(VLOOKUP(RIGHT(E347,3)+0,[1]SchLocTable!$A$2:$B$47,2,FALSE)," ")</f>
        <v>Tisdale</v>
      </c>
      <c r="B347" s="366" t="str">
        <f>VLOOKUP(VALUE(D347),$D$3:F$106,3,FALSE)</f>
        <v>Elementary Classroom</v>
      </c>
      <c r="C347" t="s">
        <v>314</v>
      </c>
      <c r="D347">
        <v>801</v>
      </c>
      <c r="E347" t="s">
        <v>375</v>
      </c>
      <c r="F347" t="s">
        <v>321</v>
      </c>
      <c r="G347" t="s">
        <v>319</v>
      </c>
      <c r="H347" s="502">
        <v>52917</v>
      </c>
      <c r="I347" s="415">
        <v>137264.14799999999</v>
      </c>
      <c r="J347" s="415">
        <v>236515.02</v>
      </c>
      <c r="K347" s="415">
        <v>222339.56</v>
      </c>
      <c r="L347" s="415">
        <v>250936.56</v>
      </c>
      <c r="M347" s="415">
        <v>248008.11</v>
      </c>
      <c r="N347" s="415">
        <v>220236.9</v>
      </c>
      <c r="O347" s="415">
        <v>226378.19</v>
      </c>
      <c r="P347" s="415">
        <v>252737.19</v>
      </c>
      <c r="Q347" s="481">
        <f t="shared" si="51"/>
        <v>99250.872000000003</v>
      </c>
      <c r="S347" s="399"/>
      <c r="T347" s="399"/>
      <c r="U347" s="399"/>
    </row>
    <row r="348" spans="1:21" outlineLevel="2" x14ac:dyDescent="0.3">
      <c r="A348" s="366" t="str">
        <f>IFERROR(VLOOKUP(RIGHT(E348,3)+0,[1]SchLocTable!$A$2:$B$47,2,FALSE)," ")</f>
        <v>Tisdale</v>
      </c>
      <c r="B348" s="366" t="str">
        <f>VLOOKUP(VALUE(D348),$D$3:F$106,3,FALSE)</f>
        <v>Elementary Classroom</v>
      </c>
      <c r="C348" t="s">
        <v>314</v>
      </c>
      <c r="D348">
        <v>801</v>
      </c>
      <c r="E348" t="s">
        <v>375</v>
      </c>
      <c r="F348" t="s">
        <v>318</v>
      </c>
      <c r="G348" t="s">
        <v>319</v>
      </c>
      <c r="H348" s="502">
        <v>51140</v>
      </c>
      <c r="I348" s="415">
        <v>9500</v>
      </c>
      <c r="J348" s="415">
        <v>0</v>
      </c>
      <c r="K348" s="415">
        <v>7600</v>
      </c>
      <c r="L348" s="415">
        <v>10900</v>
      </c>
      <c r="M348" s="415">
        <v>8800</v>
      </c>
      <c r="N348" s="415">
        <v>7800</v>
      </c>
      <c r="O348" s="415">
        <v>8200</v>
      </c>
      <c r="P348" s="415">
        <v>4000</v>
      </c>
      <c r="Q348" s="481">
        <f t="shared" si="51"/>
        <v>-9500</v>
      </c>
      <c r="S348" s="399"/>
      <c r="T348" s="399"/>
      <c r="U348" s="399"/>
    </row>
    <row r="349" spans="1:21" outlineLevel="2" x14ac:dyDescent="0.3">
      <c r="A349" s="366" t="str">
        <f>IFERROR(VLOOKUP(RIGHT(E349,3)+0,[1]SchLocTable!$A$2:$B$47,2,FALSE)," ")</f>
        <v>Tisdale</v>
      </c>
      <c r="B349" s="366" t="str">
        <f>VLOOKUP(VALUE(D349),$D$3:F$106,3,FALSE)</f>
        <v>Elementary Classroom</v>
      </c>
      <c r="C349" t="s">
        <v>314</v>
      </c>
      <c r="D349">
        <v>801</v>
      </c>
      <c r="E349" t="s">
        <v>375</v>
      </c>
      <c r="F349" t="s">
        <v>320</v>
      </c>
      <c r="G349" t="s">
        <v>319</v>
      </c>
      <c r="H349" s="502">
        <v>52360</v>
      </c>
      <c r="I349" s="415">
        <v>7130.8933567300001</v>
      </c>
      <c r="J349" s="415">
        <v>14082</v>
      </c>
      <c r="K349" s="415">
        <v>13971.76</v>
      </c>
      <c r="L349" s="415">
        <v>14298.84</v>
      </c>
      <c r="M349" s="415">
        <v>14599.87</v>
      </c>
      <c r="N349" s="415">
        <v>15596.68</v>
      </c>
      <c r="O349" s="415">
        <v>15497.16</v>
      </c>
      <c r="P349" s="415">
        <v>14975.69</v>
      </c>
      <c r="Q349" s="481">
        <f t="shared" si="51"/>
        <v>6951.1066432699999</v>
      </c>
      <c r="S349" s="399"/>
      <c r="T349" s="399"/>
      <c r="U349" s="399"/>
    </row>
    <row r="350" spans="1:21" outlineLevel="2" x14ac:dyDescent="0.3">
      <c r="A350" s="366" t="str">
        <f>IFERROR(VLOOKUP(RIGHT(E350,3)+0,[1]SchLocTable!$A$2:$B$47,2,FALSE)," ")</f>
        <v>Tisdale</v>
      </c>
      <c r="B350" s="366" t="str">
        <f>VLOOKUP(VALUE(D350),$D$3:F$106,3,FALSE)</f>
        <v>Elementary Classroom</v>
      </c>
      <c r="C350" t="s">
        <v>314</v>
      </c>
      <c r="D350">
        <v>801</v>
      </c>
      <c r="E350" t="s">
        <v>375</v>
      </c>
      <c r="F350" t="s">
        <v>329</v>
      </c>
      <c r="G350" t="s">
        <v>319</v>
      </c>
      <c r="H350" s="502">
        <v>51154</v>
      </c>
      <c r="I350" s="415">
        <v>0</v>
      </c>
      <c r="J350" s="415">
        <v>0</v>
      </c>
      <c r="K350" s="415">
        <v>0</v>
      </c>
      <c r="L350" s="415">
        <v>8125</v>
      </c>
      <c r="M350" s="415">
        <v>0</v>
      </c>
      <c r="N350" s="415">
        <v>0</v>
      </c>
      <c r="O350" s="415">
        <v>0</v>
      </c>
      <c r="P350" s="415">
        <v>0</v>
      </c>
      <c r="Q350" s="481">
        <f t="shared" si="51"/>
        <v>0</v>
      </c>
      <c r="S350" s="399"/>
      <c r="T350" s="399"/>
      <c r="U350" s="399"/>
    </row>
    <row r="351" spans="1:21" outlineLevel="2" x14ac:dyDescent="0.3">
      <c r="A351" s="366" t="str">
        <f>IFERROR(VLOOKUP(RIGHT(E351,3)+0,[1]SchLocTable!$A$2:$B$47,2,FALSE)," ")</f>
        <v>Read</v>
      </c>
      <c r="B351" s="366" t="str">
        <f>VLOOKUP(VALUE(D351),$D$3:F$106,3,FALSE)</f>
        <v>Elementary Classroom</v>
      </c>
      <c r="C351" t="s">
        <v>314</v>
      </c>
      <c r="D351">
        <v>801</v>
      </c>
      <c r="E351" t="s">
        <v>376</v>
      </c>
      <c r="F351" t="s">
        <v>316</v>
      </c>
      <c r="G351">
        <v>19</v>
      </c>
      <c r="H351" s="502">
        <v>51000</v>
      </c>
      <c r="I351" s="415">
        <v>678789.23586000002</v>
      </c>
      <c r="J351" s="415">
        <v>1567449</v>
      </c>
      <c r="K351" s="415">
        <v>1500985.41</v>
      </c>
      <c r="L351" s="415">
        <v>1278562.05</v>
      </c>
      <c r="M351" s="415">
        <v>1406998.78</v>
      </c>
      <c r="N351" s="415">
        <v>1686963.08</v>
      </c>
      <c r="O351" s="415">
        <v>1668601.94</v>
      </c>
      <c r="P351" s="415">
        <v>1734749.87</v>
      </c>
      <c r="Q351" s="481">
        <f t="shared" si="51"/>
        <v>888659.76413999998</v>
      </c>
      <c r="S351" s="399"/>
      <c r="T351" s="399"/>
      <c r="U351" s="399"/>
    </row>
    <row r="352" spans="1:21" outlineLevel="2" x14ac:dyDescent="0.3">
      <c r="A352" s="366" t="str">
        <f>IFERROR(VLOOKUP(RIGHT(E352,3)+0,[1]SchLocTable!$A$2:$B$47,2,FALSE)," ")</f>
        <v>Read</v>
      </c>
      <c r="B352" s="366" t="str">
        <f>VLOOKUP(VALUE(D352),$D$3:F$106,3,FALSE)</f>
        <v>Elementary Classroom</v>
      </c>
      <c r="C352" t="s">
        <v>314</v>
      </c>
      <c r="D352">
        <v>801</v>
      </c>
      <c r="E352" t="s">
        <v>376</v>
      </c>
      <c r="F352" t="s">
        <v>321</v>
      </c>
      <c r="G352" t="s">
        <v>319</v>
      </c>
      <c r="H352" s="502">
        <v>52917</v>
      </c>
      <c r="I352" s="415">
        <v>215642.30399999997</v>
      </c>
      <c r="J352" s="415">
        <v>371237.79</v>
      </c>
      <c r="K352" s="415">
        <v>364409.92</v>
      </c>
      <c r="L352" s="415">
        <v>321226.61</v>
      </c>
      <c r="M352" s="415">
        <v>363139.73</v>
      </c>
      <c r="N352" s="415">
        <v>430356.7</v>
      </c>
      <c r="O352" s="415">
        <v>444490.76</v>
      </c>
      <c r="P352" s="415">
        <v>412722.52</v>
      </c>
      <c r="Q352" s="481">
        <f t="shared" si="51"/>
        <v>155595.486</v>
      </c>
      <c r="S352" s="399"/>
      <c r="T352" s="399"/>
      <c r="U352" s="399"/>
    </row>
    <row r="353" spans="1:21" outlineLevel="2" x14ac:dyDescent="0.3">
      <c r="A353" s="366" t="str">
        <f>IFERROR(VLOOKUP(RIGHT(E353,3)+0,[1]SchLocTable!$A$2:$B$47,2,FALSE)," ")</f>
        <v>Read</v>
      </c>
      <c r="B353" s="366" t="str">
        <f>VLOOKUP(VALUE(D353),$D$3:F$106,3,FALSE)</f>
        <v>Elementary Classroom</v>
      </c>
      <c r="C353" t="s">
        <v>314</v>
      </c>
      <c r="D353">
        <v>801</v>
      </c>
      <c r="E353" t="s">
        <v>376</v>
      </c>
      <c r="F353" t="s">
        <v>318</v>
      </c>
      <c r="G353" t="s">
        <v>319</v>
      </c>
      <c r="H353" s="502">
        <v>51140</v>
      </c>
      <c r="I353" s="415">
        <v>8400</v>
      </c>
      <c r="J353" s="415">
        <v>0</v>
      </c>
      <c r="K353" s="415">
        <v>8400</v>
      </c>
      <c r="L353" s="415">
        <v>9300</v>
      </c>
      <c r="M353" s="415">
        <v>12700</v>
      </c>
      <c r="N353" s="415">
        <v>9800</v>
      </c>
      <c r="O353" s="415">
        <v>9000</v>
      </c>
      <c r="P353" s="415">
        <v>11800</v>
      </c>
      <c r="Q353" s="481">
        <f t="shared" si="51"/>
        <v>-8400</v>
      </c>
      <c r="S353" s="399"/>
      <c r="T353" s="399"/>
      <c r="U353" s="399"/>
    </row>
    <row r="354" spans="1:21" outlineLevel="2" x14ac:dyDescent="0.3">
      <c r="A354" s="366" t="str">
        <f>IFERROR(VLOOKUP(RIGHT(E354,3)+0,[1]SchLocTable!$A$2:$B$47,2,FALSE)," ")</f>
        <v>Read</v>
      </c>
      <c r="B354" s="366" t="str">
        <f>VLOOKUP(VALUE(D354),$D$3:F$106,3,FALSE)</f>
        <v>Elementary Classroom</v>
      </c>
      <c r="C354" t="s">
        <v>314</v>
      </c>
      <c r="D354">
        <v>801</v>
      </c>
      <c r="E354" t="s">
        <v>376</v>
      </c>
      <c r="F354" t="s">
        <v>320</v>
      </c>
      <c r="G354" t="s">
        <v>319</v>
      </c>
      <c r="H354" s="502">
        <v>52360</v>
      </c>
      <c r="I354" s="415">
        <v>9842.4439199700009</v>
      </c>
      <c r="J354" s="415">
        <v>20701</v>
      </c>
      <c r="K354" s="415">
        <v>20310.439999999999</v>
      </c>
      <c r="L354" s="415">
        <v>18550.240000000002</v>
      </c>
      <c r="M354" s="415">
        <v>19174.099999999999</v>
      </c>
      <c r="N354" s="415">
        <v>22900.73</v>
      </c>
      <c r="O354" s="415">
        <v>22615.040000000001</v>
      </c>
      <c r="P354" s="415">
        <v>22566.93</v>
      </c>
      <c r="Q354" s="481">
        <f t="shared" si="51"/>
        <v>10858.556080029999</v>
      </c>
      <c r="S354" s="399"/>
      <c r="T354" s="399"/>
      <c r="U354" s="399"/>
    </row>
    <row r="355" spans="1:21" outlineLevel="2" x14ac:dyDescent="0.3">
      <c r="A355" s="366" t="str">
        <f>IFERROR(VLOOKUP(RIGHT(E355,3)+0,[1]SchLocTable!$A$2:$B$47,2,FALSE)," ")</f>
        <v>Read</v>
      </c>
      <c r="B355" s="366" t="str">
        <f>VLOOKUP(VALUE(D355),$D$3:F$106,3,FALSE)</f>
        <v>Elementary Classroom</v>
      </c>
      <c r="C355" t="s">
        <v>314</v>
      </c>
      <c r="D355">
        <v>801</v>
      </c>
      <c r="E355" t="s">
        <v>376</v>
      </c>
      <c r="F355" t="s">
        <v>324</v>
      </c>
      <c r="G355" t="s">
        <v>319</v>
      </c>
      <c r="H355" s="502">
        <v>52385</v>
      </c>
      <c r="I355" s="415">
        <v>0</v>
      </c>
      <c r="J355" s="415">
        <v>778.37</v>
      </c>
      <c r="K355" s="415">
        <v>0</v>
      </c>
      <c r="L355" s="415">
        <v>1943.15</v>
      </c>
      <c r="M355" s="415">
        <v>778.37</v>
      </c>
      <c r="N355" s="415">
        <v>0</v>
      </c>
      <c r="O355" s="415">
        <v>0</v>
      </c>
      <c r="P355" s="415">
        <v>0</v>
      </c>
      <c r="Q355" s="481">
        <f t="shared" si="51"/>
        <v>778.37</v>
      </c>
      <c r="S355" s="399"/>
      <c r="T355" s="399"/>
      <c r="U355" s="399"/>
    </row>
    <row r="356" spans="1:21" outlineLevel="2" x14ac:dyDescent="0.3">
      <c r="A356" s="366" t="str">
        <f>IFERROR(VLOOKUP(RIGHT(E356,3)+0,[1]SchLocTable!$A$2:$B$47,2,FALSE)," ")</f>
        <v>Read</v>
      </c>
      <c r="B356" s="366" t="str">
        <f>VLOOKUP(VALUE(D356),$D$3:F$106,3,FALSE)</f>
        <v>Elementary Classroom</v>
      </c>
      <c r="C356" t="s">
        <v>314</v>
      </c>
      <c r="D356">
        <v>801</v>
      </c>
      <c r="E356" t="s">
        <v>376</v>
      </c>
      <c r="F356" t="s">
        <v>329</v>
      </c>
      <c r="G356" t="s">
        <v>319</v>
      </c>
      <c r="H356" s="502">
        <v>51154</v>
      </c>
      <c r="I356" s="415">
        <v>0</v>
      </c>
      <c r="J356" s="415">
        <v>0</v>
      </c>
      <c r="K356" s="415">
        <v>0</v>
      </c>
      <c r="L356" s="415">
        <v>0</v>
      </c>
      <c r="M356" s="415">
        <v>11375</v>
      </c>
      <c r="N356" s="415">
        <v>0</v>
      </c>
      <c r="O356" s="415">
        <v>0</v>
      </c>
      <c r="P356" s="415">
        <v>3575</v>
      </c>
      <c r="Q356" s="481">
        <f t="shared" si="51"/>
        <v>0</v>
      </c>
      <c r="S356" s="399"/>
      <c r="T356" s="399"/>
      <c r="U356" s="399"/>
    </row>
    <row r="357" spans="1:21" outlineLevel="2" x14ac:dyDescent="0.3">
      <c r="A357" s="366" t="str">
        <f>IFERROR(VLOOKUP(RIGHT(E357,3)+0,[1]SchLocTable!$A$2:$B$47,2,FALSE)," ")</f>
        <v>Roosevelt</v>
      </c>
      <c r="B357" s="366" t="str">
        <f>VLOOKUP(VALUE(D357),$D$3:F$106,3,FALSE)</f>
        <v>Elementary Classroom</v>
      </c>
      <c r="C357" t="s">
        <v>314</v>
      </c>
      <c r="D357">
        <v>801</v>
      </c>
      <c r="E357" t="s">
        <v>377</v>
      </c>
      <c r="F357" t="s">
        <v>316</v>
      </c>
      <c r="G357">
        <v>12</v>
      </c>
      <c r="H357" s="502">
        <v>51000</v>
      </c>
      <c r="I357" s="415">
        <v>441436.50070000003</v>
      </c>
      <c r="J357" s="415">
        <v>1040477</v>
      </c>
      <c r="K357" s="415">
        <v>1004715.66</v>
      </c>
      <c r="L357" s="415">
        <v>1003508.31</v>
      </c>
      <c r="M357" s="415">
        <v>1022962.2</v>
      </c>
      <c r="N357" s="415">
        <v>1053336.3899999999</v>
      </c>
      <c r="O357" s="415">
        <v>1043984.43</v>
      </c>
      <c r="P357" s="415">
        <v>1064559.4099999999</v>
      </c>
      <c r="Q357" s="481">
        <f t="shared" si="51"/>
        <v>599040.49930000002</v>
      </c>
      <c r="S357" s="399"/>
      <c r="T357" s="399"/>
      <c r="U357" s="399"/>
    </row>
    <row r="358" spans="1:21" outlineLevel="2" x14ac:dyDescent="0.3">
      <c r="A358" s="366" t="str">
        <f>IFERROR(VLOOKUP(RIGHT(E358,3)+0,[1]SchLocTable!$A$2:$B$47,2,FALSE)," ")</f>
        <v>Roosevelt</v>
      </c>
      <c r="B358" s="366" t="str">
        <f>VLOOKUP(VALUE(D358),$D$3:F$106,3,FALSE)</f>
        <v>Elementary Classroom</v>
      </c>
      <c r="C358" t="s">
        <v>314</v>
      </c>
      <c r="D358">
        <v>801</v>
      </c>
      <c r="E358" t="s">
        <v>377</v>
      </c>
      <c r="F358" t="s">
        <v>321</v>
      </c>
      <c r="G358" t="s">
        <v>319</v>
      </c>
      <c r="H358" s="502">
        <v>52917</v>
      </c>
      <c r="I358" s="415">
        <v>93265.45199999999</v>
      </c>
      <c r="J358" s="415">
        <v>195335.49</v>
      </c>
      <c r="K358" s="415">
        <v>173185.16</v>
      </c>
      <c r="L358" s="415">
        <v>195765.97</v>
      </c>
      <c r="M358" s="415">
        <v>184220.12</v>
      </c>
      <c r="N358" s="415">
        <v>184495.29</v>
      </c>
      <c r="O358" s="415">
        <v>188733.18</v>
      </c>
      <c r="P358" s="415">
        <v>223156.2</v>
      </c>
      <c r="Q358" s="481">
        <f t="shared" si="51"/>
        <v>102070.038</v>
      </c>
      <c r="S358" s="399"/>
      <c r="T358" s="399"/>
      <c r="U358" s="399"/>
    </row>
    <row r="359" spans="1:21" outlineLevel="2" x14ac:dyDescent="0.3">
      <c r="A359" s="366" t="str">
        <f>IFERROR(VLOOKUP(RIGHT(E359,3)+0,[1]SchLocTable!$A$2:$B$47,2,FALSE)," ")</f>
        <v>Roosevelt</v>
      </c>
      <c r="B359" s="366" t="str">
        <f>VLOOKUP(VALUE(D359),$D$3:F$106,3,FALSE)</f>
        <v>Elementary Classroom</v>
      </c>
      <c r="C359" t="s">
        <v>314</v>
      </c>
      <c r="D359">
        <v>801</v>
      </c>
      <c r="E359" t="s">
        <v>377</v>
      </c>
      <c r="F359" t="s">
        <v>318</v>
      </c>
      <c r="G359" t="s">
        <v>319</v>
      </c>
      <c r="H359" s="502">
        <v>51140</v>
      </c>
      <c r="I359" s="415">
        <v>6500</v>
      </c>
      <c r="J359" s="415">
        <v>0</v>
      </c>
      <c r="K359" s="415">
        <v>6200</v>
      </c>
      <c r="L359" s="415">
        <v>8800</v>
      </c>
      <c r="M359" s="415">
        <v>7300</v>
      </c>
      <c r="N359" s="415">
        <v>9400</v>
      </c>
      <c r="O359" s="415">
        <v>6600</v>
      </c>
      <c r="P359" s="415">
        <v>6400</v>
      </c>
      <c r="Q359" s="481">
        <f t="shared" si="51"/>
        <v>-6500</v>
      </c>
      <c r="S359" s="399"/>
      <c r="T359" s="399"/>
      <c r="U359" s="399"/>
    </row>
    <row r="360" spans="1:21" outlineLevel="2" x14ac:dyDescent="0.3">
      <c r="A360" s="366" t="str">
        <f>IFERROR(VLOOKUP(RIGHT(E360,3)+0,[1]SchLocTable!$A$2:$B$47,2,FALSE)," ")</f>
        <v>Roosevelt</v>
      </c>
      <c r="B360" s="366" t="str">
        <f>VLOOKUP(VALUE(D360),$D$3:F$106,3,FALSE)</f>
        <v>Elementary Classroom</v>
      </c>
      <c r="C360" t="s">
        <v>314</v>
      </c>
      <c r="D360">
        <v>801</v>
      </c>
      <c r="E360" t="s">
        <v>377</v>
      </c>
      <c r="F360" t="s">
        <v>320</v>
      </c>
      <c r="G360" t="s">
        <v>319</v>
      </c>
      <c r="H360" s="502">
        <v>52360</v>
      </c>
      <c r="I360" s="415">
        <v>6400.8292601499998</v>
      </c>
      <c r="J360" s="415">
        <v>14126</v>
      </c>
      <c r="K360" s="415">
        <v>13920.5</v>
      </c>
      <c r="L360" s="415">
        <v>13364.73</v>
      </c>
      <c r="M360" s="415">
        <v>12976.18</v>
      </c>
      <c r="N360" s="415">
        <v>13507.12</v>
      </c>
      <c r="O360" s="415">
        <v>13384.51</v>
      </c>
      <c r="P360" s="415">
        <v>13532.72</v>
      </c>
      <c r="Q360" s="481">
        <f t="shared" si="51"/>
        <v>7725.1707398500002</v>
      </c>
      <c r="S360" s="399"/>
      <c r="T360" s="399"/>
      <c r="U360" s="399"/>
    </row>
    <row r="361" spans="1:21" outlineLevel="2" x14ac:dyDescent="0.3">
      <c r="A361" s="366" t="str">
        <f>IFERROR(VLOOKUP(RIGHT(E361,3)+0,[1]SchLocTable!$A$2:$B$47,2,FALSE)," ")</f>
        <v>Roosevelt</v>
      </c>
      <c r="B361" s="366" t="str">
        <f>VLOOKUP(VALUE(D361),$D$3:F$106,3,FALSE)</f>
        <v>Elementary Classroom</v>
      </c>
      <c r="C361" t="s">
        <v>314</v>
      </c>
      <c r="D361">
        <v>801</v>
      </c>
      <c r="E361" t="s">
        <v>377</v>
      </c>
      <c r="F361" t="s">
        <v>329</v>
      </c>
      <c r="G361" t="s">
        <v>319</v>
      </c>
      <c r="H361" s="502">
        <v>51154</v>
      </c>
      <c r="I361" s="415">
        <v>0</v>
      </c>
      <c r="J361" s="415">
        <v>0</v>
      </c>
      <c r="K361" s="415">
        <v>0</v>
      </c>
      <c r="L361" s="415">
        <v>325</v>
      </c>
      <c r="M361" s="415">
        <v>0</v>
      </c>
      <c r="N361" s="415">
        <v>0</v>
      </c>
      <c r="O361" s="415">
        <v>0</v>
      </c>
      <c r="P361" s="415">
        <v>0</v>
      </c>
      <c r="Q361" s="481">
        <f t="shared" si="51"/>
        <v>0</v>
      </c>
      <c r="S361" s="399"/>
      <c r="T361" s="399"/>
      <c r="U361" s="399"/>
    </row>
    <row r="362" spans="1:21" outlineLevel="2" x14ac:dyDescent="0.3">
      <c r="A362" s="366" t="str">
        <f>IFERROR(VLOOKUP(RIGHT(E362,3)+0,[1]SchLocTable!$A$2:$B$47,2,FALSE)," ")</f>
        <v>Waltersville</v>
      </c>
      <c r="B362" s="366" t="str">
        <f>VLOOKUP(VALUE(D362),$D$3:F$106,3,FALSE)</f>
        <v>Elementary Classroom</v>
      </c>
      <c r="C362" t="s">
        <v>314</v>
      </c>
      <c r="D362">
        <v>801</v>
      </c>
      <c r="E362" t="s">
        <v>378</v>
      </c>
      <c r="F362" t="s">
        <v>316</v>
      </c>
      <c r="G362">
        <v>10</v>
      </c>
      <c r="H362" s="502">
        <v>51000</v>
      </c>
      <c r="I362" s="415">
        <v>568067.80168999999</v>
      </c>
      <c r="J362" s="415">
        <v>730050.25</v>
      </c>
      <c r="K362" s="415">
        <v>736996.41</v>
      </c>
      <c r="L362" s="415">
        <v>826619.84</v>
      </c>
      <c r="M362" s="415">
        <v>1104321.1100000001</v>
      </c>
      <c r="N362" s="415">
        <v>1132596.81</v>
      </c>
      <c r="O362" s="415">
        <v>1094888.69</v>
      </c>
      <c r="P362" s="415">
        <v>1001321.98</v>
      </c>
      <c r="Q362" s="481">
        <f t="shared" si="51"/>
        <v>161982.44831000001</v>
      </c>
      <c r="S362" s="399"/>
      <c r="T362" s="399"/>
      <c r="U362" s="399"/>
    </row>
    <row r="363" spans="1:21" outlineLevel="2" x14ac:dyDescent="0.3">
      <c r="A363" s="366" t="str">
        <f>IFERROR(VLOOKUP(RIGHT(E363,3)+0,[1]SchLocTable!$A$2:$B$47,2,FALSE)," ")</f>
        <v>Waltersville</v>
      </c>
      <c r="B363" s="366" t="str">
        <f>VLOOKUP(VALUE(D363),$D$3:F$106,3,FALSE)</f>
        <v>Elementary Classroom</v>
      </c>
      <c r="C363" t="s">
        <v>314</v>
      </c>
      <c r="D363">
        <v>801</v>
      </c>
      <c r="E363" t="s">
        <v>378</v>
      </c>
      <c r="F363" t="s">
        <v>321</v>
      </c>
      <c r="G363" t="s">
        <v>319</v>
      </c>
      <c r="H363" s="502">
        <v>52917</v>
      </c>
      <c r="I363" s="415">
        <v>139082.07599999997</v>
      </c>
      <c r="J363" s="415">
        <v>117186.09</v>
      </c>
      <c r="K363" s="415">
        <v>120662.1</v>
      </c>
      <c r="L363" s="415">
        <v>161125.44</v>
      </c>
      <c r="M363" s="415">
        <v>248997.27</v>
      </c>
      <c r="N363" s="415">
        <v>248674.03</v>
      </c>
      <c r="O363" s="415">
        <v>260924.99</v>
      </c>
      <c r="P363" s="415">
        <v>234504.42</v>
      </c>
      <c r="Q363" s="481">
        <f t="shared" si="51"/>
        <v>-21895.985999999975</v>
      </c>
      <c r="S363" s="399"/>
      <c r="T363" s="399"/>
      <c r="U363" s="399"/>
    </row>
    <row r="364" spans="1:21" outlineLevel="2" x14ac:dyDescent="0.3">
      <c r="A364" s="366" t="str">
        <f>IFERROR(VLOOKUP(RIGHT(E364,3)+0,[1]SchLocTable!$A$2:$B$47,2,FALSE)," ")</f>
        <v>Waltersville</v>
      </c>
      <c r="B364" s="366" t="str">
        <f>VLOOKUP(VALUE(D364),$D$3:F$106,3,FALSE)</f>
        <v>Elementary Classroom</v>
      </c>
      <c r="C364" t="s">
        <v>314</v>
      </c>
      <c r="D364">
        <v>801</v>
      </c>
      <c r="E364" t="s">
        <v>378</v>
      </c>
      <c r="F364" t="s">
        <v>318</v>
      </c>
      <c r="G364" t="s">
        <v>319</v>
      </c>
      <c r="H364" s="502">
        <v>51140</v>
      </c>
      <c r="I364" s="415">
        <v>5900</v>
      </c>
      <c r="J364" s="415">
        <v>0</v>
      </c>
      <c r="K364" s="415">
        <v>3900</v>
      </c>
      <c r="L364" s="415">
        <v>9300</v>
      </c>
      <c r="M364" s="415">
        <v>8600</v>
      </c>
      <c r="N364" s="415">
        <v>9600</v>
      </c>
      <c r="O364" s="415">
        <v>8600</v>
      </c>
      <c r="P364" s="415">
        <v>5700</v>
      </c>
      <c r="Q364" s="481">
        <f t="shared" si="51"/>
        <v>-5900</v>
      </c>
      <c r="S364" s="399"/>
      <c r="T364" s="399"/>
      <c r="U364" s="399"/>
    </row>
    <row r="365" spans="1:21" outlineLevel="2" x14ac:dyDescent="0.3">
      <c r="A365" s="366" t="str">
        <f>IFERROR(VLOOKUP(RIGHT(E365,3)+0,[1]SchLocTable!$A$2:$B$47,2,FALSE)," ")</f>
        <v>Waltersville</v>
      </c>
      <c r="B365" s="366" t="str">
        <f>VLOOKUP(VALUE(D365),$D$3:F$106,3,FALSE)</f>
        <v>Elementary Classroom</v>
      </c>
      <c r="C365" t="s">
        <v>314</v>
      </c>
      <c r="D365">
        <v>801</v>
      </c>
      <c r="E365" t="s">
        <v>378</v>
      </c>
      <c r="F365" t="s">
        <v>320</v>
      </c>
      <c r="G365" t="s">
        <v>319</v>
      </c>
      <c r="H365" s="502">
        <v>52360</v>
      </c>
      <c r="I365" s="415">
        <v>8236.9831245050009</v>
      </c>
      <c r="J365" s="415">
        <v>10512.31</v>
      </c>
      <c r="K365" s="415">
        <v>10229.82</v>
      </c>
      <c r="L365" s="415">
        <v>11611.71</v>
      </c>
      <c r="M365" s="415">
        <v>15326.35</v>
      </c>
      <c r="N365" s="415">
        <v>14739.94</v>
      </c>
      <c r="O365" s="415">
        <v>13710.28</v>
      </c>
      <c r="P365" s="415">
        <v>12425.21</v>
      </c>
      <c r="Q365" s="481">
        <f t="shared" si="51"/>
        <v>2275.3268754949986</v>
      </c>
      <c r="S365" s="399"/>
      <c r="T365" s="399"/>
      <c r="U365" s="399"/>
    </row>
    <row r="366" spans="1:21" outlineLevel="2" x14ac:dyDescent="0.3">
      <c r="A366" s="366" t="str">
        <f>IFERROR(VLOOKUP(RIGHT(E366,3)+0,[1]SchLocTable!$A$2:$B$47,2,FALSE)," ")</f>
        <v>Waltersville</v>
      </c>
      <c r="B366" s="366" t="str">
        <f>VLOOKUP(VALUE(D366),$D$3:F$106,3,FALSE)</f>
        <v>Elementary Classroom</v>
      </c>
      <c r="C366" t="s">
        <v>314</v>
      </c>
      <c r="D366">
        <v>801</v>
      </c>
      <c r="E366" t="s">
        <v>378</v>
      </c>
      <c r="F366" t="s">
        <v>329</v>
      </c>
      <c r="G366" t="s">
        <v>319</v>
      </c>
      <c r="H366" s="502">
        <v>51154</v>
      </c>
      <c r="I366" s="415">
        <v>0</v>
      </c>
      <c r="J366" s="415">
        <v>0</v>
      </c>
      <c r="K366" s="415">
        <v>0</v>
      </c>
      <c r="L366" s="415">
        <v>11375</v>
      </c>
      <c r="M366" s="415">
        <v>0</v>
      </c>
      <c r="N366" s="415">
        <v>10075</v>
      </c>
      <c r="O366" s="415">
        <v>0</v>
      </c>
      <c r="P366" s="415">
        <v>0</v>
      </c>
      <c r="Q366" s="481">
        <f t="shared" si="51"/>
        <v>0</v>
      </c>
      <c r="S366" s="399"/>
      <c r="T366" s="399"/>
      <c r="U366" s="399"/>
    </row>
    <row r="367" spans="1:21" outlineLevel="2" x14ac:dyDescent="0.3">
      <c r="A367" s="366" t="str">
        <f>IFERROR(VLOOKUP(RIGHT(E367,3)+0,[1]SchLocTable!$A$2:$B$47,2,FALSE)," ")</f>
        <v>Claytor</v>
      </c>
      <c r="B367" s="366" t="str">
        <f>VLOOKUP(VALUE(D367),$D$3:F$106,3,FALSE)</f>
        <v>Elementary Classroom</v>
      </c>
      <c r="C367" t="s">
        <v>314</v>
      </c>
      <c r="D367">
        <v>801</v>
      </c>
      <c r="E367" t="s">
        <v>379</v>
      </c>
      <c r="F367" t="s">
        <v>316</v>
      </c>
      <c r="G367">
        <v>10</v>
      </c>
      <c r="H367" s="502">
        <v>51000</v>
      </c>
      <c r="I367" s="415">
        <v>520773.47433</v>
      </c>
      <c r="J367" s="415">
        <v>775327</v>
      </c>
      <c r="K367" s="415">
        <v>804949.25</v>
      </c>
      <c r="L367" s="415">
        <v>747072.35</v>
      </c>
      <c r="M367" s="415">
        <v>672314.48</v>
      </c>
      <c r="N367" s="415">
        <v>818766.58</v>
      </c>
      <c r="O367" s="415">
        <v>786556.45</v>
      </c>
      <c r="P367" s="415">
        <v>790340.43</v>
      </c>
      <c r="Q367" s="481">
        <f t="shared" si="51"/>
        <v>254553.52567</v>
      </c>
      <c r="S367" s="399"/>
      <c r="T367" s="399"/>
      <c r="U367" s="399"/>
    </row>
    <row r="368" spans="1:21" outlineLevel="2" x14ac:dyDescent="0.3">
      <c r="A368" s="366" t="str">
        <f>IFERROR(VLOOKUP(RIGHT(E368,3)+0,[1]SchLocTable!$A$2:$B$47,2,FALSE)," ")</f>
        <v>Claytor</v>
      </c>
      <c r="B368" s="366" t="str">
        <f>VLOOKUP(VALUE(D368),$D$3:F$106,3,FALSE)</f>
        <v>Elementary Classroom</v>
      </c>
      <c r="C368" t="s">
        <v>314</v>
      </c>
      <c r="D368">
        <v>801</v>
      </c>
      <c r="E368" t="s">
        <v>379</v>
      </c>
      <c r="F368" t="s">
        <v>321</v>
      </c>
      <c r="G368" t="s">
        <v>319</v>
      </c>
      <c r="H368" s="502">
        <v>52917</v>
      </c>
      <c r="I368" s="415">
        <v>146553.87599999999</v>
      </c>
      <c r="J368" s="415">
        <v>161239.89000000001</v>
      </c>
      <c r="K368" s="415">
        <v>142886.06</v>
      </c>
      <c r="L368" s="415">
        <v>143950.68</v>
      </c>
      <c r="M368" s="415">
        <v>102193.14</v>
      </c>
      <c r="N368" s="415">
        <v>116742.89</v>
      </c>
      <c r="O368" s="415">
        <v>126632.27</v>
      </c>
      <c r="P368" s="415">
        <v>145818.96</v>
      </c>
      <c r="Q368" s="481">
        <f t="shared" si="51"/>
        <v>14686.014000000025</v>
      </c>
      <c r="S368" s="399"/>
      <c r="T368" s="399"/>
      <c r="U368" s="399"/>
    </row>
    <row r="369" spans="1:21" outlineLevel="2" x14ac:dyDescent="0.3">
      <c r="A369" s="366" t="str">
        <f>IFERROR(VLOOKUP(RIGHT(E369,3)+0,[1]SchLocTable!$A$2:$B$47,2,FALSE)," ")</f>
        <v>Claytor</v>
      </c>
      <c r="B369" s="366" t="str">
        <f>VLOOKUP(VALUE(D369),$D$3:F$106,3,FALSE)</f>
        <v>Elementary Classroom</v>
      </c>
      <c r="C369" t="s">
        <v>314</v>
      </c>
      <c r="D369">
        <v>801</v>
      </c>
      <c r="E369" t="s">
        <v>379</v>
      </c>
      <c r="F369" t="s">
        <v>318</v>
      </c>
      <c r="G369" t="s">
        <v>319</v>
      </c>
      <c r="H369" s="502">
        <v>51140</v>
      </c>
      <c r="I369" s="415">
        <v>4500</v>
      </c>
      <c r="J369" s="415">
        <v>0</v>
      </c>
      <c r="K369" s="415">
        <v>4300</v>
      </c>
      <c r="L369" s="415">
        <v>4300</v>
      </c>
      <c r="M369" s="415">
        <v>4000</v>
      </c>
      <c r="N369" s="415">
        <v>4700</v>
      </c>
      <c r="O369" s="415">
        <v>4700</v>
      </c>
      <c r="P369" s="415">
        <v>4700</v>
      </c>
      <c r="Q369" s="481">
        <f t="shared" si="51"/>
        <v>-4500</v>
      </c>
      <c r="S369" s="399"/>
      <c r="T369" s="399"/>
      <c r="U369" s="399"/>
    </row>
    <row r="370" spans="1:21" outlineLevel="2" x14ac:dyDescent="0.3">
      <c r="A370" s="366" t="str">
        <f>IFERROR(VLOOKUP(RIGHT(E370,3)+0,[1]SchLocTable!$A$2:$B$47,2,FALSE)," ")</f>
        <v>Claytor</v>
      </c>
      <c r="B370" s="366" t="str">
        <f>VLOOKUP(VALUE(D370),$D$3:F$106,3,FALSE)</f>
        <v>Elementary Classroom</v>
      </c>
      <c r="C370" t="s">
        <v>314</v>
      </c>
      <c r="D370">
        <v>801</v>
      </c>
      <c r="E370" t="s">
        <v>379</v>
      </c>
      <c r="F370" t="s">
        <v>320</v>
      </c>
      <c r="G370" t="s">
        <v>319</v>
      </c>
      <c r="H370" s="502">
        <v>52360</v>
      </c>
      <c r="I370" s="415">
        <v>7551.2153777849999</v>
      </c>
      <c r="J370" s="415">
        <v>10503</v>
      </c>
      <c r="K370" s="415">
        <v>11092.27</v>
      </c>
      <c r="L370" s="415">
        <v>10407.709999999999</v>
      </c>
      <c r="M370" s="415">
        <v>9289</v>
      </c>
      <c r="N370" s="415">
        <v>11484.8</v>
      </c>
      <c r="O370" s="415">
        <v>10999.17</v>
      </c>
      <c r="P370" s="415">
        <v>10980.47</v>
      </c>
      <c r="Q370" s="481">
        <f t="shared" si="51"/>
        <v>2951.7846222150001</v>
      </c>
      <c r="S370" s="399"/>
      <c r="T370" s="399"/>
      <c r="U370" s="399"/>
    </row>
    <row r="371" spans="1:21" outlineLevel="2" x14ac:dyDescent="0.3">
      <c r="A371" s="366" t="str">
        <f>IFERROR(VLOOKUP(RIGHT(E371,3)+0,[1]SchLocTable!$A$2:$B$47,2,FALSE)," ")</f>
        <v>Claytor</v>
      </c>
      <c r="B371" s="366" t="str">
        <f>VLOOKUP(VALUE(D371),$D$3:F$106,3,FALSE)</f>
        <v>Elementary Classroom</v>
      </c>
      <c r="C371" t="s">
        <v>314</v>
      </c>
      <c r="D371">
        <v>801</v>
      </c>
      <c r="E371" t="s">
        <v>379</v>
      </c>
      <c r="F371" t="s">
        <v>324</v>
      </c>
      <c r="G371" t="s">
        <v>319</v>
      </c>
      <c r="H371" s="502">
        <v>52385</v>
      </c>
      <c r="I371" s="415">
        <v>0</v>
      </c>
      <c r="J371" s="415">
        <v>0</v>
      </c>
      <c r="K371" s="415">
        <v>2671.22</v>
      </c>
      <c r="L371" s="415">
        <v>2607</v>
      </c>
      <c r="M371" s="415">
        <v>2517.88</v>
      </c>
      <c r="N371" s="415">
        <v>334.8</v>
      </c>
      <c r="O371" s="415">
        <v>0</v>
      </c>
      <c r="P371" s="415">
        <v>0</v>
      </c>
      <c r="Q371" s="481">
        <f t="shared" si="51"/>
        <v>0</v>
      </c>
      <c r="S371" s="399"/>
      <c r="T371" s="399"/>
      <c r="U371" s="399"/>
    </row>
    <row r="372" spans="1:21" outlineLevel="2" x14ac:dyDescent="0.3">
      <c r="A372" s="366" t="str">
        <f>IFERROR(VLOOKUP(RIGHT(E372,3)+0,[1]SchLocTable!$A$2:$B$47,2,FALSE)," ")</f>
        <v>Claytor</v>
      </c>
      <c r="B372" s="366" t="str">
        <f>VLOOKUP(VALUE(D372),$D$3:F$106,3,FALSE)</f>
        <v>Elementary Classroom</v>
      </c>
      <c r="C372" t="s">
        <v>314</v>
      </c>
      <c r="D372">
        <v>801</v>
      </c>
      <c r="E372" t="s">
        <v>379</v>
      </c>
      <c r="F372" t="s">
        <v>329</v>
      </c>
      <c r="G372" t="s">
        <v>319</v>
      </c>
      <c r="H372" s="502">
        <v>51154</v>
      </c>
      <c r="I372" s="415">
        <v>0</v>
      </c>
      <c r="J372" s="415">
        <v>0</v>
      </c>
      <c r="K372" s="415">
        <v>0</v>
      </c>
      <c r="L372" s="415">
        <v>11375</v>
      </c>
      <c r="M372" s="415">
        <v>0</v>
      </c>
      <c r="N372" s="415">
        <v>0</v>
      </c>
      <c r="O372" s="415">
        <v>0</v>
      </c>
      <c r="P372" s="415">
        <v>0</v>
      </c>
      <c r="Q372" s="481">
        <f t="shared" si="51"/>
        <v>0</v>
      </c>
    </row>
    <row r="373" spans="1:21" outlineLevel="2" x14ac:dyDescent="0.3">
      <c r="A373" s="366" t="str">
        <f>IFERROR(VLOOKUP(RIGHT(E373,3)+0,[1]SchLocTable!$A$2:$B$47,2,FALSE)," ")</f>
        <v>Johnson</v>
      </c>
      <c r="B373" s="366" t="str">
        <f>VLOOKUP(VALUE(D373),$D$3:F$106,3,FALSE)</f>
        <v>Elementary Classroom</v>
      </c>
      <c r="C373" t="s">
        <v>314</v>
      </c>
      <c r="D373">
        <v>801</v>
      </c>
      <c r="E373" t="s">
        <v>380</v>
      </c>
      <c r="F373" t="s">
        <v>316</v>
      </c>
      <c r="G373">
        <v>17</v>
      </c>
      <c r="H373" s="502">
        <v>51000</v>
      </c>
      <c r="I373" s="415">
        <v>897621.93663999997</v>
      </c>
      <c r="J373" s="415">
        <v>1361021</v>
      </c>
      <c r="K373" s="415">
        <v>1285559.2</v>
      </c>
      <c r="L373" s="415">
        <v>1269345.74</v>
      </c>
      <c r="M373" s="415">
        <v>1196915.2</v>
      </c>
      <c r="N373" s="415">
        <v>1132992.28</v>
      </c>
      <c r="O373" s="415">
        <v>1107144.3799999999</v>
      </c>
      <c r="P373" s="415">
        <v>1185280.19</v>
      </c>
      <c r="Q373" s="481">
        <f t="shared" si="51"/>
        <v>463399.06336000003</v>
      </c>
    </row>
    <row r="374" spans="1:21" outlineLevel="2" x14ac:dyDescent="0.3">
      <c r="A374" s="366" t="str">
        <f>IFERROR(VLOOKUP(RIGHT(E374,3)+0,[1]SchLocTable!$A$2:$B$47,2,FALSE)," ")</f>
        <v>Johnson</v>
      </c>
      <c r="B374" s="366" t="str">
        <f>VLOOKUP(VALUE(D374),$D$3:F$106,3,FALSE)</f>
        <v>Elementary Classroom</v>
      </c>
      <c r="C374" t="s">
        <v>314</v>
      </c>
      <c r="D374">
        <v>801</v>
      </c>
      <c r="E374" t="s">
        <v>380</v>
      </c>
      <c r="F374" t="s">
        <v>321</v>
      </c>
      <c r="G374" t="s">
        <v>319</v>
      </c>
      <c r="H374" s="502">
        <v>52917</v>
      </c>
      <c r="I374" s="415">
        <v>277373.62799999997</v>
      </c>
      <c r="J374" s="415">
        <v>362511.37</v>
      </c>
      <c r="K374" s="415">
        <v>351620.64</v>
      </c>
      <c r="L374" s="415">
        <v>320512.13</v>
      </c>
      <c r="M374" s="415">
        <v>273836.42</v>
      </c>
      <c r="N374" s="415">
        <v>242651.06</v>
      </c>
      <c r="O374" s="415">
        <v>256279.6</v>
      </c>
      <c r="P374" s="415">
        <v>258230.13</v>
      </c>
      <c r="Q374" s="481">
        <f t="shared" si="51"/>
        <v>85137.742000000027</v>
      </c>
    </row>
    <row r="375" spans="1:21" outlineLevel="2" x14ac:dyDescent="0.3">
      <c r="A375" s="366" t="str">
        <f>IFERROR(VLOOKUP(RIGHT(E375,3)+0,[1]SchLocTable!$A$2:$B$47,2,FALSE)," ")</f>
        <v>Johnson</v>
      </c>
      <c r="B375" s="366" t="str">
        <f>VLOOKUP(VALUE(D375),$D$3:F$106,3,FALSE)</f>
        <v>Elementary Classroom</v>
      </c>
      <c r="C375" t="s">
        <v>314</v>
      </c>
      <c r="D375">
        <v>801</v>
      </c>
      <c r="E375" t="s">
        <v>380</v>
      </c>
      <c r="F375" t="s">
        <v>318</v>
      </c>
      <c r="G375" t="s">
        <v>319</v>
      </c>
      <c r="H375" s="502">
        <v>51140</v>
      </c>
      <c r="I375" s="415">
        <v>6200</v>
      </c>
      <c r="J375" s="415">
        <v>0</v>
      </c>
      <c r="K375" s="415">
        <v>6100</v>
      </c>
      <c r="L375" s="415">
        <v>8000</v>
      </c>
      <c r="M375" s="415">
        <v>5100</v>
      </c>
      <c r="N375" s="415">
        <v>4200</v>
      </c>
      <c r="O375" s="415">
        <v>4400</v>
      </c>
      <c r="P375" s="415">
        <v>4200</v>
      </c>
      <c r="Q375" s="481">
        <f t="shared" si="51"/>
        <v>-6200</v>
      </c>
    </row>
    <row r="376" spans="1:21" outlineLevel="2" x14ac:dyDescent="0.3">
      <c r="A376" s="366" t="str">
        <f>IFERROR(VLOOKUP(RIGHT(E376,3)+0,[1]SchLocTable!$A$2:$B$47,2,FALSE)," ")</f>
        <v>Johnson</v>
      </c>
      <c r="B376" s="366" t="str">
        <f>VLOOKUP(VALUE(D376),$D$3:F$106,3,FALSE)</f>
        <v>Elementary Classroom</v>
      </c>
      <c r="C376" t="s">
        <v>314</v>
      </c>
      <c r="D376">
        <v>801</v>
      </c>
      <c r="E376" t="s">
        <v>380</v>
      </c>
      <c r="F376" t="s">
        <v>320</v>
      </c>
      <c r="G376" t="s">
        <v>319</v>
      </c>
      <c r="H376" s="502">
        <v>52360</v>
      </c>
      <c r="I376" s="415">
        <v>13015.518081280001</v>
      </c>
      <c r="J376" s="415">
        <v>17732</v>
      </c>
      <c r="K376" s="415">
        <v>17230.349999999999</v>
      </c>
      <c r="L376" s="415">
        <v>17190.490000000002</v>
      </c>
      <c r="M376" s="415">
        <v>16315.76</v>
      </c>
      <c r="N376" s="415">
        <v>15423.79</v>
      </c>
      <c r="O376" s="415">
        <v>14947.82</v>
      </c>
      <c r="P376" s="415">
        <v>14948.59</v>
      </c>
      <c r="Q376" s="481">
        <f t="shared" si="51"/>
        <v>4716.4819187199992</v>
      </c>
    </row>
    <row r="377" spans="1:21" outlineLevel="2" x14ac:dyDescent="0.3">
      <c r="A377" s="366" t="str">
        <f>IFERROR(VLOOKUP(RIGHT(E377,3)+0,[1]SchLocTable!$A$2:$B$47,2,FALSE)," ")</f>
        <v>Johnson</v>
      </c>
      <c r="B377" s="366" t="str">
        <f>VLOOKUP(VALUE(D377),$D$3:F$106,3,FALSE)</f>
        <v>Elementary Classroom</v>
      </c>
      <c r="C377" t="s">
        <v>314</v>
      </c>
      <c r="D377">
        <v>801</v>
      </c>
      <c r="E377" t="s">
        <v>380</v>
      </c>
      <c r="F377" t="s">
        <v>324</v>
      </c>
      <c r="G377" t="s">
        <v>319</v>
      </c>
      <c r="H377" s="502">
        <v>52385</v>
      </c>
      <c r="I377" s="415">
        <v>0</v>
      </c>
      <c r="J377" s="415">
        <v>0</v>
      </c>
      <c r="K377" s="415">
        <v>0</v>
      </c>
      <c r="L377" s="415">
        <v>2667.45</v>
      </c>
      <c r="M377" s="415">
        <v>2678.7</v>
      </c>
      <c r="N377" s="415">
        <v>341</v>
      </c>
      <c r="O377" s="415">
        <v>0</v>
      </c>
      <c r="P377" s="415">
        <v>0</v>
      </c>
      <c r="Q377" s="481">
        <f t="shared" si="51"/>
        <v>0</v>
      </c>
    </row>
    <row r="378" spans="1:21" outlineLevel="2" x14ac:dyDescent="0.3">
      <c r="A378" s="366" t="str">
        <f>IFERROR(VLOOKUP(RIGHT(E378,3)+0,[1]SchLocTable!$A$2:$B$47,2,FALSE)," ")</f>
        <v>Winthrop</v>
      </c>
      <c r="B378" s="366" t="str">
        <f>VLOOKUP(VALUE(D378),$D$3:F$106,3,FALSE)</f>
        <v>Elementary Classroom</v>
      </c>
      <c r="C378" t="s">
        <v>314</v>
      </c>
      <c r="D378">
        <v>801</v>
      </c>
      <c r="E378" t="s">
        <v>381</v>
      </c>
      <c r="F378" t="s">
        <v>316</v>
      </c>
      <c r="G378">
        <v>15</v>
      </c>
      <c r="H378" s="502">
        <v>51000</v>
      </c>
      <c r="I378" s="415">
        <v>689752.35046999995</v>
      </c>
      <c r="J378" s="415">
        <v>1282184.45</v>
      </c>
      <c r="K378" s="415">
        <v>1454524.18</v>
      </c>
      <c r="L378" s="415">
        <v>1371890.36</v>
      </c>
      <c r="M378" s="415">
        <v>1364391.5</v>
      </c>
      <c r="N378" s="415">
        <v>1294338.51</v>
      </c>
      <c r="O378" s="415">
        <v>1315031.46</v>
      </c>
      <c r="P378" s="415">
        <v>1288495.24</v>
      </c>
      <c r="Q378" s="481">
        <f t="shared" si="51"/>
        <v>592432.09953000001</v>
      </c>
    </row>
    <row r="379" spans="1:21" outlineLevel="2" x14ac:dyDescent="0.3">
      <c r="A379" s="366" t="str">
        <f>IFERROR(VLOOKUP(RIGHT(E379,3)+0,[1]SchLocTable!$A$2:$B$47,2,FALSE)," ")</f>
        <v>Winthrop</v>
      </c>
      <c r="B379" s="366" t="str">
        <f>VLOOKUP(VALUE(D379),$D$3:F$106,3,FALSE)</f>
        <v>Elementary Classroom</v>
      </c>
      <c r="C379" t="s">
        <v>314</v>
      </c>
      <c r="D379">
        <v>801</v>
      </c>
      <c r="E379" t="s">
        <v>381</v>
      </c>
      <c r="F379" t="s">
        <v>321</v>
      </c>
      <c r="G379" t="s">
        <v>319</v>
      </c>
      <c r="H379" s="502">
        <v>52917</v>
      </c>
      <c r="I379" s="415">
        <v>177240.16799999998</v>
      </c>
      <c r="J379" s="415">
        <v>282289.14</v>
      </c>
      <c r="K379" s="415">
        <v>303303</v>
      </c>
      <c r="L379" s="415">
        <v>306911.45</v>
      </c>
      <c r="M379" s="415">
        <v>362988.81</v>
      </c>
      <c r="N379" s="415">
        <v>333027.26</v>
      </c>
      <c r="O379" s="415">
        <v>376457.87</v>
      </c>
      <c r="P379" s="415">
        <v>356632.46</v>
      </c>
      <c r="Q379" s="481">
        <f t="shared" si="51"/>
        <v>105048.97200000004</v>
      </c>
    </row>
    <row r="380" spans="1:21" outlineLevel="2" x14ac:dyDescent="0.3">
      <c r="A380" s="366" t="str">
        <f>IFERROR(VLOOKUP(RIGHT(E380,3)+0,[1]SchLocTable!$A$2:$B$47,2,FALSE)," ")</f>
        <v>Winthrop</v>
      </c>
      <c r="B380" s="366" t="str">
        <f>VLOOKUP(VALUE(D380),$D$3:F$106,3,FALSE)</f>
        <v>Elementary Classroom</v>
      </c>
      <c r="C380" t="s">
        <v>314</v>
      </c>
      <c r="D380">
        <v>801</v>
      </c>
      <c r="E380" t="s">
        <v>381</v>
      </c>
      <c r="F380" t="s">
        <v>318</v>
      </c>
      <c r="G380" t="s">
        <v>319</v>
      </c>
      <c r="H380" s="502">
        <v>51140</v>
      </c>
      <c r="I380" s="415">
        <v>6400</v>
      </c>
      <c r="J380" s="415">
        <v>0</v>
      </c>
      <c r="K380" s="415">
        <v>7100</v>
      </c>
      <c r="L380" s="415">
        <v>6200</v>
      </c>
      <c r="M380" s="415">
        <v>10700</v>
      </c>
      <c r="N380" s="415">
        <v>7200</v>
      </c>
      <c r="O380" s="415">
        <v>6900</v>
      </c>
      <c r="P380" s="415">
        <v>6900</v>
      </c>
      <c r="Q380" s="481">
        <f t="shared" si="51"/>
        <v>-6400</v>
      </c>
    </row>
    <row r="381" spans="1:21" outlineLevel="2" x14ac:dyDescent="0.3">
      <c r="A381" s="366" t="str">
        <f>IFERROR(VLOOKUP(RIGHT(E381,3)+0,[1]SchLocTable!$A$2:$B$47,2,FALSE)," ")</f>
        <v>Winthrop</v>
      </c>
      <c r="B381" s="366" t="str">
        <f>VLOOKUP(VALUE(D381),$D$3:F$106,3,FALSE)</f>
        <v>Elementary Classroom</v>
      </c>
      <c r="C381" t="s">
        <v>314</v>
      </c>
      <c r="D381">
        <v>801</v>
      </c>
      <c r="E381" t="s">
        <v>381</v>
      </c>
      <c r="F381" t="s">
        <v>320</v>
      </c>
      <c r="G381" t="s">
        <v>319</v>
      </c>
      <c r="H381" s="502">
        <v>52360</v>
      </c>
      <c r="I381" s="415">
        <v>10001.409081815</v>
      </c>
      <c r="J381" s="415">
        <v>18414.18</v>
      </c>
      <c r="K381" s="415">
        <v>19881.27</v>
      </c>
      <c r="L381" s="415">
        <v>18710.21</v>
      </c>
      <c r="M381" s="415">
        <v>18805.259999999998</v>
      </c>
      <c r="N381" s="415">
        <v>17595.21</v>
      </c>
      <c r="O381" s="415">
        <v>17737.07</v>
      </c>
      <c r="P381" s="415">
        <v>17445.46</v>
      </c>
      <c r="Q381" s="481">
        <f t="shared" si="51"/>
        <v>8412.7709181850005</v>
      </c>
    </row>
    <row r="382" spans="1:21" outlineLevel="2" x14ac:dyDescent="0.3">
      <c r="A382" s="366" t="str">
        <f>IFERROR(VLOOKUP(RIGHT(E382,3)+0,[1]SchLocTable!$A$2:$B$47,2,FALSE)," ")</f>
        <v>Winthrop</v>
      </c>
      <c r="B382" s="366" t="str">
        <f>VLOOKUP(VALUE(D382),$D$3:F$106,3,FALSE)</f>
        <v>Elementary Classroom</v>
      </c>
      <c r="C382" t="s">
        <v>314</v>
      </c>
      <c r="D382">
        <v>801</v>
      </c>
      <c r="E382" t="s">
        <v>381</v>
      </c>
      <c r="F382" t="s">
        <v>324</v>
      </c>
      <c r="G382" t="s">
        <v>319</v>
      </c>
      <c r="H382" s="502">
        <v>52385</v>
      </c>
      <c r="I382" s="415">
        <v>0</v>
      </c>
      <c r="J382" s="415">
        <v>0</v>
      </c>
      <c r="K382" s="415">
        <v>0</v>
      </c>
      <c r="L382" s="415">
        <v>5248.3</v>
      </c>
      <c r="M382" s="415">
        <v>1235.3399999999999</v>
      </c>
      <c r="N382" s="415">
        <v>0</v>
      </c>
      <c r="O382" s="415">
        <v>0</v>
      </c>
      <c r="P382" s="415">
        <v>0</v>
      </c>
      <c r="Q382" s="481">
        <f t="shared" si="51"/>
        <v>0</v>
      </c>
    </row>
    <row r="383" spans="1:21" outlineLevel="2" x14ac:dyDescent="0.3">
      <c r="A383" s="366" t="str">
        <f>IFERROR(VLOOKUP(RIGHT(E383,3)+0,[1]SchLocTable!$A$2:$B$47,2,FALSE)," ")</f>
        <v>Winthrop</v>
      </c>
      <c r="B383" s="366" t="str">
        <f>VLOOKUP(VALUE(D383),$D$3:F$106,3,FALSE)</f>
        <v>Elementary Classroom</v>
      </c>
      <c r="C383" t="s">
        <v>314</v>
      </c>
      <c r="D383">
        <v>801</v>
      </c>
      <c r="E383" t="s">
        <v>381</v>
      </c>
      <c r="F383" t="s">
        <v>329</v>
      </c>
      <c r="G383" t="s">
        <v>319</v>
      </c>
      <c r="H383" s="502">
        <v>51154</v>
      </c>
      <c r="I383" s="415">
        <v>0</v>
      </c>
      <c r="J383" s="415">
        <v>0</v>
      </c>
      <c r="K383" s="415">
        <v>0</v>
      </c>
      <c r="L383" s="415">
        <v>0</v>
      </c>
      <c r="M383" s="415">
        <v>22750</v>
      </c>
      <c r="N383" s="415">
        <v>0</v>
      </c>
      <c r="O383" s="415">
        <v>0</v>
      </c>
      <c r="P383" s="415">
        <v>0</v>
      </c>
      <c r="Q383" s="481">
        <f t="shared" ref="Q383:Q446" si="52">J383-I383</f>
        <v>0</v>
      </c>
    </row>
    <row r="384" spans="1:21" outlineLevel="2" x14ac:dyDescent="0.3">
      <c r="A384" s="366" t="str">
        <f>IFERROR(VLOOKUP(RIGHT(E384,3)+0,[1]SchLocTable!$A$2:$B$47,2,FALSE)," ")</f>
        <v>Discovery</v>
      </c>
      <c r="B384" s="366" t="str">
        <f>VLOOKUP(VALUE(D384),$D$3:F$106,3,FALSE)</f>
        <v>Elementary Classroom</v>
      </c>
      <c r="C384" t="s">
        <v>314</v>
      </c>
      <c r="D384">
        <v>801</v>
      </c>
      <c r="E384" t="s">
        <v>382</v>
      </c>
      <c r="F384" t="s">
        <v>318</v>
      </c>
      <c r="G384" t="s">
        <v>319</v>
      </c>
      <c r="H384" s="502">
        <v>51140</v>
      </c>
      <c r="I384" s="415">
        <v>0</v>
      </c>
      <c r="J384" s="415">
        <v>0</v>
      </c>
      <c r="K384" s="415">
        <v>0</v>
      </c>
      <c r="L384" s="415">
        <v>5000</v>
      </c>
      <c r="M384" s="415">
        <v>0</v>
      </c>
      <c r="N384" s="415">
        <v>0</v>
      </c>
      <c r="O384" s="415">
        <v>0</v>
      </c>
      <c r="P384" s="415">
        <v>0</v>
      </c>
      <c r="Q384" s="481">
        <f t="shared" si="52"/>
        <v>0</v>
      </c>
    </row>
    <row r="385" spans="1:17" outlineLevel="2" x14ac:dyDescent="0.3">
      <c r="A385" s="366" t="str">
        <f>IFERROR(VLOOKUP(RIGHT(E385,3)+0,[1]SchLocTable!$A$2:$B$47,2,FALSE)," ")</f>
        <v>Discovery</v>
      </c>
      <c r="B385" s="366" t="str">
        <f>VLOOKUP(VALUE(D385),$D$3:F$106,3,FALSE)</f>
        <v>Elementary Classroom</v>
      </c>
      <c r="C385" t="s">
        <v>314</v>
      </c>
      <c r="D385">
        <v>801</v>
      </c>
      <c r="E385" t="s">
        <v>382</v>
      </c>
      <c r="F385" t="s">
        <v>320</v>
      </c>
      <c r="G385" t="s">
        <v>319</v>
      </c>
      <c r="H385" s="502">
        <v>52360</v>
      </c>
      <c r="I385" s="415">
        <v>0</v>
      </c>
      <c r="J385" s="415">
        <v>0</v>
      </c>
      <c r="K385" s="415">
        <v>0</v>
      </c>
      <c r="L385" s="415">
        <v>72.5</v>
      </c>
      <c r="M385" s="415">
        <v>0</v>
      </c>
      <c r="N385" s="415">
        <v>0</v>
      </c>
      <c r="O385" s="415">
        <v>0</v>
      </c>
      <c r="P385" s="415">
        <v>0</v>
      </c>
      <c r="Q385" s="481">
        <f t="shared" si="52"/>
        <v>0</v>
      </c>
    </row>
    <row r="386" spans="1:17" outlineLevel="2" x14ac:dyDescent="0.3">
      <c r="A386" s="366" t="str">
        <f>IFERROR(VLOOKUP(RIGHT(E386,3)+0,[1]SchLocTable!$A$2:$B$47,2,FALSE)," ")</f>
        <v>Cross</v>
      </c>
      <c r="B386" s="366" t="str">
        <f>VLOOKUP(VALUE(D386),$D$3:F$106,3,FALSE)</f>
        <v>Elementary Classroom</v>
      </c>
      <c r="C386" t="s">
        <v>314</v>
      </c>
      <c r="D386">
        <v>801</v>
      </c>
      <c r="E386" t="s">
        <v>383</v>
      </c>
      <c r="F386" t="s">
        <v>316</v>
      </c>
      <c r="G386">
        <v>8</v>
      </c>
      <c r="H386" s="502">
        <v>51000</v>
      </c>
      <c r="I386" s="415">
        <v>315862.01475999999</v>
      </c>
      <c r="J386" s="415">
        <v>419830</v>
      </c>
      <c r="K386" s="415">
        <v>486191.6</v>
      </c>
      <c r="L386" s="415">
        <v>616905.03</v>
      </c>
      <c r="M386" s="415">
        <v>416184.27</v>
      </c>
      <c r="N386" s="415">
        <v>514843.99</v>
      </c>
      <c r="O386" s="415">
        <v>575929.14</v>
      </c>
      <c r="P386" s="415">
        <v>652678.19999999995</v>
      </c>
      <c r="Q386" s="481">
        <f t="shared" si="52"/>
        <v>103967.98524000001</v>
      </c>
    </row>
    <row r="387" spans="1:17" outlineLevel="2" x14ac:dyDescent="0.3">
      <c r="A387" s="366" t="str">
        <f>IFERROR(VLOOKUP(RIGHT(E387,3)+0,[1]SchLocTable!$A$2:$B$47,2,FALSE)," ")</f>
        <v>Cross</v>
      </c>
      <c r="B387" s="366" t="str">
        <f>VLOOKUP(VALUE(D387),$D$3:F$106,3,FALSE)</f>
        <v>Elementary Classroom</v>
      </c>
      <c r="C387" t="s">
        <v>314</v>
      </c>
      <c r="D387">
        <v>801</v>
      </c>
      <c r="E387" t="s">
        <v>383</v>
      </c>
      <c r="F387" t="s">
        <v>321</v>
      </c>
      <c r="G387" t="s">
        <v>319</v>
      </c>
      <c r="H387" s="502">
        <v>52917</v>
      </c>
      <c r="I387" s="415">
        <v>94800.744000000006</v>
      </c>
      <c r="J387" s="415">
        <v>33652</v>
      </c>
      <c r="K387" s="415">
        <v>39801.9</v>
      </c>
      <c r="L387" s="415">
        <v>95995.96</v>
      </c>
      <c r="M387" s="415">
        <v>65830.77</v>
      </c>
      <c r="N387" s="415">
        <v>69200.5</v>
      </c>
      <c r="O387" s="415">
        <v>105112.91</v>
      </c>
      <c r="P387" s="415">
        <v>135253.03</v>
      </c>
      <c r="Q387" s="481">
        <f t="shared" si="52"/>
        <v>-61148.744000000006</v>
      </c>
    </row>
    <row r="388" spans="1:17" outlineLevel="2" x14ac:dyDescent="0.3">
      <c r="A388" s="366" t="str">
        <f>IFERROR(VLOOKUP(RIGHT(E388,3)+0,[1]SchLocTable!$A$2:$B$47,2,FALSE)," ")</f>
        <v>Cross</v>
      </c>
      <c r="B388" s="366" t="str">
        <f>VLOOKUP(VALUE(D388),$D$3:F$106,3,FALSE)</f>
        <v>Elementary Classroom</v>
      </c>
      <c r="C388" t="s">
        <v>314</v>
      </c>
      <c r="D388">
        <v>801</v>
      </c>
      <c r="E388" t="s">
        <v>383</v>
      </c>
      <c r="F388" t="s">
        <v>318</v>
      </c>
      <c r="G388" t="s">
        <v>319</v>
      </c>
      <c r="H388" s="502">
        <v>51140</v>
      </c>
      <c r="I388" s="415">
        <v>0</v>
      </c>
      <c r="J388" s="415">
        <v>0</v>
      </c>
      <c r="K388" s="415">
        <v>0</v>
      </c>
      <c r="L388" s="415">
        <v>3200</v>
      </c>
      <c r="M388" s="415">
        <v>2100</v>
      </c>
      <c r="N388" s="415">
        <v>3000</v>
      </c>
      <c r="O388" s="415">
        <v>3200</v>
      </c>
      <c r="P388" s="415">
        <v>3100</v>
      </c>
      <c r="Q388" s="481">
        <f t="shared" si="52"/>
        <v>0</v>
      </c>
    </row>
    <row r="389" spans="1:17" outlineLevel="2" x14ac:dyDescent="0.3">
      <c r="A389" s="366" t="str">
        <f>IFERROR(VLOOKUP(RIGHT(E389,3)+0,[1]SchLocTable!$A$2:$B$47,2,FALSE)," ")</f>
        <v>Cross</v>
      </c>
      <c r="B389" s="366" t="str">
        <f>VLOOKUP(VALUE(D389),$D$3:F$106,3,FALSE)</f>
        <v>Elementary Classroom</v>
      </c>
      <c r="C389" t="s">
        <v>314</v>
      </c>
      <c r="D389">
        <v>801</v>
      </c>
      <c r="E389" t="s">
        <v>383</v>
      </c>
      <c r="F389" t="s">
        <v>320</v>
      </c>
      <c r="G389" t="s">
        <v>319</v>
      </c>
      <c r="H389" s="502">
        <v>52360</v>
      </c>
      <c r="I389" s="415">
        <v>4579.9992140200002</v>
      </c>
      <c r="J389" s="415">
        <v>5942</v>
      </c>
      <c r="K389" s="415">
        <v>6830.39</v>
      </c>
      <c r="L389" s="415">
        <v>8664.09</v>
      </c>
      <c r="M389" s="415">
        <v>6024.39</v>
      </c>
      <c r="N389" s="415">
        <v>7782.48</v>
      </c>
      <c r="O389" s="415">
        <v>8581.1</v>
      </c>
      <c r="P389" s="415">
        <v>9003.5</v>
      </c>
      <c r="Q389" s="481">
        <f t="shared" si="52"/>
        <v>1362.0007859799998</v>
      </c>
    </row>
    <row r="390" spans="1:17" outlineLevel="2" x14ac:dyDescent="0.3">
      <c r="A390" s="366" t="str">
        <f>IFERROR(VLOOKUP(RIGHT(E390,3)+0,[1]SchLocTable!$A$2:$B$47,2,FALSE)," ")</f>
        <v>Cross</v>
      </c>
      <c r="B390" s="366" t="str">
        <f>VLOOKUP(VALUE(D390),$D$3:F$106,3,FALSE)</f>
        <v>Elementary Classroom</v>
      </c>
      <c r="C390" t="s">
        <v>314</v>
      </c>
      <c r="D390">
        <v>801</v>
      </c>
      <c r="E390" t="s">
        <v>383</v>
      </c>
      <c r="F390" t="s">
        <v>324</v>
      </c>
      <c r="G390" t="s">
        <v>319</v>
      </c>
      <c r="H390" s="502">
        <v>52385</v>
      </c>
      <c r="I390" s="415">
        <v>0</v>
      </c>
      <c r="J390" s="415">
        <v>0</v>
      </c>
      <c r="K390" s="415">
        <v>2782.25</v>
      </c>
      <c r="L390" s="415">
        <v>2797.75</v>
      </c>
      <c r="M390" s="415">
        <v>5518.45</v>
      </c>
      <c r="N390" s="415">
        <v>1277.44</v>
      </c>
      <c r="O390" s="415">
        <v>0</v>
      </c>
      <c r="P390" s="415">
        <v>0</v>
      </c>
      <c r="Q390" s="481">
        <f t="shared" si="52"/>
        <v>0</v>
      </c>
    </row>
    <row r="391" spans="1:17" outlineLevel="2" x14ac:dyDescent="0.3">
      <c r="A391" s="366" t="str">
        <f>IFERROR(VLOOKUP(RIGHT(E391,3)+0,[1]SchLocTable!$A$2:$B$47,2,FALSE)," ")</f>
        <v>Cross</v>
      </c>
      <c r="B391" s="366" t="str">
        <f>VLOOKUP(VALUE(D391),$D$3:F$106,3,FALSE)</f>
        <v>Elementary Classroom</v>
      </c>
      <c r="C391" t="s">
        <v>314</v>
      </c>
      <c r="D391">
        <v>801</v>
      </c>
      <c r="E391" t="s">
        <v>383</v>
      </c>
      <c r="F391" t="s">
        <v>329</v>
      </c>
      <c r="G391" t="s">
        <v>319</v>
      </c>
      <c r="H391" s="502">
        <v>51154</v>
      </c>
      <c r="I391" s="415">
        <v>0</v>
      </c>
      <c r="J391" s="415">
        <v>0</v>
      </c>
      <c r="K391" s="415">
        <v>0</v>
      </c>
      <c r="L391" s="415">
        <v>2600</v>
      </c>
      <c r="M391" s="415">
        <v>0</v>
      </c>
      <c r="N391" s="415">
        <v>0</v>
      </c>
      <c r="O391" s="415">
        <v>0</v>
      </c>
      <c r="P391" s="415">
        <v>0</v>
      </c>
      <c r="Q391" s="481">
        <f t="shared" si="52"/>
        <v>0</v>
      </c>
    </row>
    <row r="392" spans="1:17" outlineLevel="2" x14ac:dyDescent="0.3">
      <c r="A392" s="366" t="str">
        <f>IFERROR(VLOOKUP(RIGHT(E392,3)+0,[1]SchLocTable!$A$2:$B$47,2,FALSE)," ")</f>
        <v>Blackham</v>
      </c>
      <c r="B392" s="366" t="str">
        <f>VLOOKUP(VALUE(D392),$D$3:F$106,3,FALSE)</f>
        <v>Elementary Classroom</v>
      </c>
      <c r="C392" t="s">
        <v>314</v>
      </c>
      <c r="D392">
        <v>801</v>
      </c>
      <c r="E392" t="s">
        <v>384</v>
      </c>
      <c r="F392" t="s">
        <v>316</v>
      </c>
      <c r="G392">
        <v>23</v>
      </c>
      <c r="H392" s="502">
        <v>51000</v>
      </c>
      <c r="I392" s="415">
        <v>1080431.36622</v>
      </c>
      <c r="J392" s="415">
        <v>1761164.6</v>
      </c>
      <c r="K392" s="415">
        <v>1644762.69</v>
      </c>
      <c r="L392" s="415">
        <v>1667683.94</v>
      </c>
      <c r="M392" s="415">
        <v>1470786.95</v>
      </c>
      <c r="N392" s="415">
        <v>1635415.12</v>
      </c>
      <c r="O392" s="415">
        <v>1510655.54</v>
      </c>
      <c r="P392" s="415">
        <v>1627985.28</v>
      </c>
      <c r="Q392" s="481">
        <f t="shared" si="52"/>
        <v>680733.23378000013</v>
      </c>
    </row>
    <row r="393" spans="1:17" outlineLevel="2" x14ac:dyDescent="0.3">
      <c r="A393" s="366" t="str">
        <f>IFERROR(VLOOKUP(RIGHT(E393,3)+0,[1]SchLocTable!$A$2:$B$47,2,FALSE)," ")</f>
        <v>Blackham</v>
      </c>
      <c r="B393" s="366" t="str">
        <f>VLOOKUP(VALUE(D393),$D$3:F$106,3,FALSE)</f>
        <v>Elementary Classroom</v>
      </c>
      <c r="C393" t="s">
        <v>314</v>
      </c>
      <c r="D393">
        <v>801</v>
      </c>
      <c r="E393" t="s">
        <v>384</v>
      </c>
      <c r="F393" t="s">
        <v>321</v>
      </c>
      <c r="G393" t="s">
        <v>319</v>
      </c>
      <c r="H393" s="502">
        <v>52917</v>
      </c>
      <c r="I393" s="415">
        <v>255971.62799999997</v>
      </c>
      <c r="J393" s="415">
        <v>339808.14</v>
      </c>
      <c r="K393" s="415">
        <v>273717.84000000003</v>
      </c>
      <c r="L393" s="415">
        <v>303502.21999999997</v>
      </c>
      <c r="M393" s="415">
        <v>283643.90999999997</v>
      </c>
      <c r="N393" s="415">
        <v>346418.94</v>
      </c>
      <c r="O393" s="415">
        <v>311209.78000000003</v>
      </c>
      <c r="P393" s="415">
        <v>345921.61</v>
      </c>
      <c r="Q393" s="481">
        <f t="shared" si="52"/>
        <v>83836.512000000046</v>
      </c>
    </row>
    <row r="394" spans="1:17" outlineLevel="2" x14ac:dyDescent="0.3">
      <c r="A394" s="366" t="str">
        <f>IFERROR(VLOOKUP(RIGHT(E394,3)+0,[1]SchLocTable!$A$2:$B$47,2,FALSE)," ")</f>
        <v>Blackham</v>
      </c>
      <c r="B394" s="366" t="str">
        <f>VLOOKUP(VALUE(D394),$D$3:F$106,3,FALSE)</f>
        <v>Elementary Classroom</v>
      </c>
      <c r="C394" t="s">
        <v>314</v>
      </c>
      <c r="D394">
        <v>801</v>
      </c>
      <c r="E394" t="s">
        <v>384</v>
      </c>
      <c r="F394" t="s">
        <v>318</v>
      </c>
      <c r="G394" t="s">
        <v>319</v>
      </c>
      <c r="H394" s="502">
        <v>51140</v>
      </c>
      <c r="I394" s="415">
        <v>7000</v>
      </c>
      <c r="J394" s="415">
        <v>0</v>
      </c>
      <c r="K394" s="415">
        <v>6100</v>
      </c>
      <c r="L394" s="415">
        <v>9600</v>
      </c>
      <c r="M394" s="415">
        <v>8900</v>
      </c>
      <c r="N394" s="415">
        <v>9800</v>
      </c>
      <c r="O394" s="415">
        <v>8700</v>
      </c>
      <c r="P394" s="415">
        <v>8500</v>
      </c>
      <c r="Q394" s="481">
        <f t="shared" si="52"/>
        <v>-7000</v>
      </c>
    </row>
    <row r="395" spans="1:17" outlineLevel="2" x14ac:dyDescent="0.3">
      <c r="A395" s="366" t="str">
        <f>IFERROR(VLOOKUP(RIGHT(E395,3)+0,[1]SchLocTable!$A$2:$B$47,2,FALSE)," ")</f>
        <v>Blackham</v>
      </c>
      <c r="B395" s="366" t="str">
        <f>VLOOKUP(VALUE(D395),$D$3:F$106,3,FALSE)</f>
        <v>Elementary Classroom</v>
      </c>
      <c r="C395" t="s">
        <v>314</v>
      </c>
      <c r="D395">
        <v>801</v>
      </c>
      <c r="E395" t="s">
        <v>384</v>
      </c>
      <c r="F395" t="s">
        <v>320</v>
      </c>
      <c r="G395" t="s">
        <v>319</v>
      </c>
      <c r="H395" s="502">
        <v>52360</v>
      </c>
      <c r="I395" s="415">
        <v>15666.254810189999</v>
      </c>
      <c r="J395" s="415">
        <v>25316.14</v>
      </c>
      <c r="K395" s="415">
        <v>22748.22</v>
      </c>
      <c r="L395" s="415">
        <v>23151.87</v>
      </c>
      <c r="M395" s="415">
        <v>20328.47</v>
      </c>
      <c r="N395" s="415">
        <v>22788.06</v>
      </c>
      <c r="O395" s="415">
        <v>21014.19</v>
      </c>
      <c r="P395" s="415">
        <v>22556.639999999999</v>
      </c>
      <c r="Q395" s="481">
        <f t="shared" si="52"/>
        <v>9649.8851898100002</v>
      </c>
    </row>
    <row r="396" spans="1:17" outlineLevel="2" x14ac:dyDescent="0.3">
      <c r="A396" s="366" t="str">
        <f>IFERROR(VLOOKUP(RIGHT(E396,3)+0,[1]SchLocTable!$A$2:$B$47,2,FALSE)," ")</f>
        <v>Blackham</v>
      </c>
      <c r="B396" s="366" t="str">
        <f>VLOOKUP(VALUE(D396),$D$3:F$106,3,FALSE)</f>
        <v>Elementary Classroom</v>
      </c>
      <c r="C396" t="s">
        <v>314</v>
      </c>
      <c r="D396">
        <v>801</v>
      </c>
      <c r="E396" t="s">
        <v>384</v>
      </c>
      <c r="F396" t="s">
        <v>324</v>
      </c>
      <c r="G396" t="s">
        <v>319</v>
      </c>
      <c r="H396" s="502">
        <v>52385</v>
      </c>
      <c r="I396" s="415">
        <v>0</v>
      </c>
      <c r="J396" s="415">
        <v>0</v>
      </c>
      <c r="K396" s="415">
        <v>0</v>
      </c>
      <c r="L396" s="415">
        <v>0</v>
      </c>
      <c r="M396" s="415">
        <v>0</v>
      </c>
      <c r="N396" s="415">
        <v>2681.5</v>
      </c>
      <c r="O396" s="415">
        <v>0</v>
      </c>
      <c r="P396" s="415">
        <v>0</v>
      </c>
      <c r="Q396" s="481">
        <f t="shared" si="52"/>
        <v>0</v>
      </c>
    </row>
    <row r="397" spans="1:17" outlineLevel="2" x14ac:dyDescent="0.3">
      <c r="A397" s="366" t="str">
        <f>IFERROR(VLOOKUP(RIGHT(E397,3)+0,[1]SchLocTable!$A$2:$B$47,2,FALSE)," ")</f>
        <v>Blackham</v>
      </c>
      <c r="B397" s="366" t="str">
        <f>VLOOKUP(VALUE(D397),$D$3:F$106,3,FALSE)</f>
        <v>Elementary Classroom</v>
      </c>
      <c r="C397" t="s">
        <v>314</v>
      </c>
      <c r="D397">
        <v>801</v>
      </c>
      <c r="E397" t="s">
        <v>384</v>
      </c>
      <c r="F397" t="s">
        <v>329</v>
      </c>
      <c r="G397" t="s">
        <v>319</v>
      </c>
      <c r="H397" s="502">
        <v>51154</v>
      </c>
      <c r="I397" s="415">
        <v>0</v>
      </c>
      <c r="J397" s="415">
        <v>0</v>
      </c>
      <c r="K397" s="415">
        <v>0</v>
      </c>
      <c r="L397" s="415">
        <v>0</v>
      </c>
      <c r="M397" s="415">
        <v>11375</v>
      </c>
      <c r="N397" s="415">
        <v>11375</v>
      </c>
      <c r="O397" s="415">
        <v>11375</v>
      </c>
      <c r="P397" s="415">
        <v>8450</v>
      </c>
      <c r="Q397" s="481">
        <f t="shared" si="52"/>
        <v>0</v>
      </c>
    </row>
    <row r="398" spans="1:17" outlineLevel="2" x14ac:dyDescent="0.3">
      <c r="A398" s="366" t="str">
        <f>IFERROR(VLOOKUP(RIGHT(E398,3)+0,[1]SchLocTable!$A$2:$B$47,2,FALSE)," ")</f>
        <v>Dunbar</v>
      </c>
      <c r="B398" s="366" t="str">
        <f>VLOOKUP(VALUE(D398),$D$3:F$106,3,FALSE)</f>
        <v>Elementary Classroom</v>
      </c>
      <c r="C398" t="s">
        <v>314</v>
      </c>
      <c r="D398">
        <v>801</v>
      </c>
      <c r="E398" t="s">
        <v>385</v>
      </c>
      <c r="F398" t="s">
        <v>316</v>
      </c>
      <c r="G398">
        <v>5</v>
      </c>
      <c r="H398" s="502">
        <v>51000</v>
      </c>
      <c r="I398" s="415">
        <v>141343.73499999999</v>
      </c>
      <c r="J398" s="415">
        <v>263839.15999999997</v>
      </c>
      <c r="K398" s="415">
        <v>332402.90000000002</v>
      </c>
      <c r="L398" s="415">
        <v>517334.5</v>
      </c>
      <c r="M398" s="415">
        <v>414243.76</v>
      </c>
      <c r="N398" s="415">
        <v>349905.9</v>
      </c>
      <c r="O398" s="415">
        <v>384184.86</v>
      </c>
      <c r="P398" s="415">
        <v>478697.78</v>
      </c>
      <c r="Q398" s="481">
        <f t="shared" si="52"/>
        <v>122495.42499999999</v>
      </c>
    </row>
    <row r="399" spans="1:17" outlineLevel="2" x14ac:dyDescent="0.3">
      <c r="A399" s="366" t="str">
        <f>IFERROR(VLOOKUP(RIGHT(E399,3)+0,[1]SchLocTable!$A$2:$B$47,2,FALSE)," ")</f>
        <v>Dunbar</v>
      </c>
      <c r="B399" s="366" t="str">
        <f>VLOOKUP(VALUE(D399),$D$3:F$106,3,FALSE)</f>
        <v>Elementary Classroom</v>
      </c>
      <c r="C399" t="s">
        <v>314</v>
      </c>
      <c r="D399">
        <v>801</v>
      </c>
      <c r="E399" t="s">
        <v>385</v>
      </c>
      <c r="F399" t="s">
        <v>321</v>
      </c>
      <c r="G399" t="s">
        <v>319</v>
      </c>
      <c r="H399" s="502">
        <v>52917</v>
      </c>
      <c r="I399" s="415">
        <v>1027.404</v>
      </c>
      <c r="J399" s="415">
        <v>64463.49</v>
      </c>
      <c r="K399" s="415">
        <v>72325.98</v>
      </c>
      <c r="L399" s="415">
        <v>156321.09</v>
      </c>
      <c r="M399" s="415">
        <v>124221.31</v>
      </c>
      <c r="N399" s="415">
        <v>65594.84</v>
      </c>
      <c r="O399" s="415">
        <v>81687.62</v>
      </c>
      <c r="P399" s="415">
        <v>115346.3</v>
      </c>
      <c r="Q399" s="481">
        <f t="shared" si="52"/>
        <v>63436.085999999996</v>
      </c>
    </row>
    <row r="400" spans="1:17" outlineLevel="2" x14ac:dyDescent="0.3">
      <c r="A400" s="366" t="str">
        <f>IFERROR(VLOOKUP(RIGHT(E400,3)+0,[1]SchLocTable!$A$2:$B$47,2,FALSE)," ")</f>
        <v>Dunbar</v>
      </c>
      <c r="B400" s="366" t="str">
        <f>VLOOKUP(VALUE(D400),$D$3:F$106,3,FALSE)</f>
        <v>Elementary Classroom</v>
      </c>
      <c r="C400" t="s">
        <v>314</v>
      </c>
      <c r="D400">
        <v>801</v>
      </c>
      <c r="E400" t="s">
        <v>385</v>
      </c>
      <c r="F400" t="s">
        <v>318</v>
      </c>
      <c r="G400" t="s">
        <v>319</v>
      </c>
      <c r="H400" s="502">
        <v>51140</v>
      </c>
      <c r="I400" s="415">
        <v>0</v>
      </c>
      <c r="J400" s="415">
        <v>0</v>
      </c>
      <c r="K400" s="415">
        <v>0</v>
      </c>
      <c r="L400" s="415">
        <v>2000</v>
      </c>
      <c r="M400" s="415">
        <v>1100</v>
      </c>
      <c r="N400" s="415">
        <v>0</v>
      </c>
      <c r="O400" s="415">
        <v>0</v>
      </c>
      <c r="P400" s="415">
        <v>0</v>
      </c>
      <c r="Q400" s="481">
        <f t="shared" si="52"/>
        <v>0</v>
      </c>
    </row>
    <row r="401" spans="1:17" outlineLevel="2" x14ac:dyDescent="0.3">
      <c r="A401" s="366" t="str">
        <f>IFERROR(VLOOKUP(RIGHT(E401,3)+0,[1]SchLocTable!$A$2:$B$47,2,FALSE)," ")</f>
        <v>Dunbar</v>
      </c>
      <c r="B401" s="366" t="str">
        <f>VLOOKUP(VALUE(D401),$D$3:F$106,3,FALSE)</f>
        <v>Elementary Classroom</v>
      </c>
      <c r="C401" t="s">
        <v>314</v>
      </c>
      <c r="D401">
        <v>801</v>
      </c>
      <c r="E401" t="s">
        <v>385</v>
      </c>
      <c r="F401" t="s">
        <v>320</v>
      </c>
      <c r="G401" t="s">
        <v>319</v>
      </c>
      <c r="H401" s="502">
        <v>52360</v>
      </c>
      <c r="I401" s="415">
        <v>2049.4841575</v>
      </c>
      <c r="J401" s="415">
        <v>3780.66</v>
      </c>
      <c r="K401" s="415">
        <v>4479.97</v>
      </c>
      <c r="L401" s="415">
        <v>6824.52</v>
      </c>
      <c r="M401" s="415">
        <v>5625.11</v>
      </c>
      <c r="N401" s="415">
        <v>4816.46</v>
      </c>
      <c r="O401" s="415">
        <v>5259.68</v>
      </c>
      <c r="P401" s="415">
        <v>6480.58</v>
      </c>
      <c r="Q401" s="481">
        <f t="shared" si="52"/>
        <v>1731.1758424999998</v>
      </c>
    </row>
    <row r="402" spans="1:17" outlineLevel="2" x14ac:dyDescent="0.3">
      <c r="A402" s="366" t="str">
        <f>IFERROR(VLOOKUP(RIGHT(E402,3)+0,[1]SchLocTable!$A$2:$B$47,2,FALSE)," ")</f>
        <v>Dunbar</v>
      </c>
      <c r="B402" s="366" t="str">
        <f>VLOOKUP(VALUE(D402),$D$3:F$106,3,FALSE)</f>
        <v>Elementary Classroom</v>
      </c>
      <c r="C402" t="s">
        <v>314</v>
      </c>
      <c r="D402">
        <v>801</v>
      </c>
      <c r="E402" t="s">
        <v>385</v>
      </c>
      <c r="F402" t="s">
        <v>324</v>
      </c>
      <c r="G402" t="s">
        <v>319</v>
      </c>
      <c r="H402" s="502">
        <v>52385</v>
      </c>
      <c r="I402" s="415">
        <v>0</v>
      </c>
      <c r="J402" s="415">
        <v>0</v>
      </c>
      <c r="K402" s="415">
        <v>0</v>
      </c>
      <c r="L402" s="415">
        <v>415.53</v>
      </c>
      <c r="M402" s="415">
        <v>0</v>
      </c>
      <c r="N402" s="415">
        <v>77.5</v>
      </c>
      <c r="O402" s="415">
        <v>0</v>
      </c>
      <c r="P402" s="415">
        <v>197.91</v>
      </c>
      <c r="Q402" s="481">
        <f t="shared" si="52"/>
        <v>0</v>
      </c>
    </row>
    <row r="403" spans="1:17" outlineLevel="2" x14ac:dyDescent="0.3">
      <c r="A403" s="366" t="str">
        <f>IFERROR(VLOOKUP(RIGHT(E403,3)+0,[1]SchLocTable!$A$2:$B$47,2,FALSE)," ")</f>
        <v>Curiale</v>
      </c>
      <c r="B403" s="366" t="str">
        <f>VLOOKUP(VALUE(D403),$D$3:F$106,3,FALSE)</f>
        <v>Elementary Classroom</v>
      </c>
      <c r="C403" t="s">
        <v>314</v>
      </c>
      <c r="D403">
        <v>801</v>
      </c>
      <c r="E403" t="s">
        <v>386</v>
      </c>
      <c r="F403" t="s">
        <v>316</v>
      </c>
      <c r="G403">
        <v>14</v>
      </c>
      <c r="H403" s="502">
        <v>51000</v>
      </c>
      <c r="I403" s="415">
        <v>815333.91568000009</v>
      </c>
      <c r="J403" s="415">
        <v>996889.35</v>
      </c>
      <c r="K403" s="415">
        <v>1022533.2</v>
      </c>
      <c r="L403" s="415">
        <v>912339.51</v>
      </c>
      <c r="M403" s="415">
        <v>1058234.51</v>
      </c>
      <c r="N403" s="415">
        <v>1018010.18</v>
      </c>
      <c r="O403" s="415">
        <v>896578.96</v>
      </c>
      <c r="P403" s="415">
        <v>915101.32</v>
      </c>
      <c r="Q403" s="481">
        <f t="shared" si="52"/>
        <v>181555.43431999988</v>
      </c>
    </row>
    <row r="404" spans="1:17" outlineLevel="2" x14ac:dyDescent="0.3">
      <c r="A404" s="366" t="str">
        <f>IFERROR(VLOOKUP(RIGHT(E404,3)+0,[1]SchLocTable!$A$2:$B$47,2,FALSE)," ")</f>
        <v>Curiale</v>
      </c>
      <c r="B404" s="366" t="str">
        <f>VLOOKUP(VALUE(D404),$D$3:F$106,3,FALSE)</f>
        <v>Elementary Classroom</v>
      </c>
      <c r="C404" t="s">
        <v>314</v>
      </c>
      <c r="D404">
        <v>801</v>
      </c>
      <c r="E404" t="s">
        <v>386</v>
      </c>
      <c r="F404" t="s">
        <v>321</v>
      </c>
      <c r="G404" t="s">
        <v>319</v>
      </c>
      <c r="H404" s="502">
        <v>52917</v>
      </c>
      <c r="I404" s="415">
        <v>200953.476</v>
      </c>
      <c r="J404" s="415">
        <v>218963.85</v>
      </c>
      <c r="K404" s="415">
        <v>230339.52</v>
      </c>
      <c r="L404" s="415">
        <v>231505.71</v>
      </c>
      <c r="M404" s="415">
        <v>293798.84999999998</v>
      </c>
      <c r="N404" s="415">
        <v>260181.96</v>
      </c>
      <c r="O404" s="415">
        <v>218524.87</v>
      </c>
      <c r="P404" s="415">
        <v>214766.22</v>
      </c>
      <c r="Q404" s="481">
        <f t="shared" si="52"/>
        <v>18010.374000000011</v>
      </c>
    </row>
    <row r="405" spans="1:17" outlineLevel="2" x14ac:dyDescent="0.3">
      <c r="A405" s="366" t="str">
        <f>IFERROR(VLOOKUP(RIGHT(E405,3)+0,[1]SchLocTable!$A$2:$B$47,2,FALSE)," ")</f>
        <v>Curiale</v>
      </c>
      <c r="B405" s="366" t="str">
        <f>VLOOKUP(VALUE(D405),$D$3:F$106,3,FALSE)</f>
        <v>Elementary Classroom</v>
      </c>
      <c r="C405" t="s">
        <v>314</v>
      </c>
      <c r="D405">
        <v>801</v>
      </c>
      <c r="E405" t="s">
        <v>386</v>
      </c>
      <c r="F405" t="s">
        <v>318</v>
      </c>
      <c r="G405" t="s">
        <v>319</v>
      </c>
      <c r="H405" s="502">
        <v>51140</v>
      </c>
      <c r="I405" s="415">
        <v>3300</v>
      </c>
      <c r="J405" s="415">
        <v>0</v>
      </c>
      <c r="K405" s="415">
        <v>5900</v>
      </c>
      <c r="L405" s="415">
        <v>5500</v>
      </c>
      <c r="M405" s="415">
        <v>6800</v>
      </c>
      <c r="N405" s="415">
        <v>5800</v>
      </c>
      <c r="O405" s="415">
        <v>4600</v>
      </c>
      <c r="P405" s="415">
        <v>3700</v>
      </c>
      <c r="Q405" s="481">
        <f t="shared" si="52"/>
        <v>-3300</v>
      </c>
    </row>
    <row r="406" spans="1:17" outlineLevel="2" x14ac:dyDescent="0.3">
      <c r="A406" s="366" t="str">
        <f>IFERROR(VLOOKUP(RIGHT(E406,3)+0,[1]SchLocTable!$A$2:$B$47,2,FALSE)," ")</f>
        <v>Curiale</v>
      </c>
      <c r="B406" s="366" t="str">
        <f>VLOOKUP(VALUE(D406),$D$3:F$106,3,FALSE)</f>
        <v>Elementary Classroom</v>
      </c>
      <c r="C406" t="s">
        <v>314</v>
      </c>
      <c r="D406">
        <v>801</v>
      </c>
      <c r="E406" t="s">
        <v>386</v>
      </c>
      <c r="F406" t="s">
        <v>320</v>
      </c>
      <c r="G406" t="s">
        <v>319</v>
      </c>
      <c r="H406" s="502">
        <v>52360</v>
      </c>
      <c r="I406" s="415">
        <v>11822.341777360001</v>
      </c>
      <c r="J406" s="415">
        <v>13072</v>
      </c>
      <c r="K406" s="415">
        <v>12510.18</v>
      </c>
      <c r="L406" s="415">
        <v>10935.53</v>
      </c>
      <c r="M406" s="415">
        <v>12872.81</v>
      </c>
      <c r="N406" s="415">
        <v>12359.72</v>
      </c>
      <c r="O406" s="415">
        <v>9740.9500000000007</v>
      </c>
      <c r="P406" s="415">
        <v>10049.99</v>
      </c>
      <c r="Q406" s="481">
        <f t="shared" si="52"/>
        <v>1249.6582226399987</v>
      </c>
    </row>
    <row r="407" spans="1:17" outlineLevel="2" x14ac:dyDescent="0.3">
      <c r="A407" s="366" t="str">
        <f>IFERROR(VLOOKUP(RIGHT(E407,3)+0,[1]SchLocTable!$A$2:$B$47,2,FALSE)," ")</f>
        <v>Curiale</v>
      </c>
      <c r="B407" s="366" t="str">
        <f>VLOOKUP(VALUE(D407),$D$3:F$106,3,FALSE)</f>
        <v>Elementary Classroom</v>
      </c>
      <c r="C407" t="s">
        <v>314</v>
      </c>
      <c r="D407">
        <v>801</v>
      </c>
      <c r="E407" t="s">
        <v>386</v>
      </c>
      <c r="F407" t="s">
        <v>324</v>
      </c>
      <c r="G407" t="s">
        <v>319</v>
      </c>
      <c r="H407" s="502">
        <v>52385</v>
      </c>
      <c r="I407" s="415">
        <v>0</v>
      </c>
      <c r="J407" s="415">
        <v>0</v>
      </c>
      <c r="K407" s="415">
        <v>0</v>
      </c>
      <c r="L407" s="415">
        <v>992</v>
      </c>
      <c r="M407" s="415">
        <v>0</v>
      </c>
      <c r="N407" s="415">
        <v>0</v>
      </c>
      <c r="O407" s="415">
        <v>0</v>
      </c>
      <c r="P407" s="415">
        <v>0</v>
      </c>
      <c r="Q407" s="481">
        <f t="shared" si="52"/>
        <v>0</v>
      </c>
    </row>
    <row r="408" spans="1:17" outlineLevel="2" x14ac:dyDescent="0.3">
      <c r="A408" s="366" t="str">
        <f>IFERROR(VLOOKUP(RIGHT(E408,3)+0,[1]SchLocTable!$A$2:$B$47,2,FALSE)," ")</f>
        <v>Curiale</v>
      </c>
      <c r="B408" s="366" t="str">
        <f>VLOOKUP(VALUE(D408),$D$3:F$106,3,FALSE)</f>
        <v>Elementary Classroom</v>
      </c>
      <c r="C408" t="s">
        <v>314</v>
      </c>
      <c r="D408">
        <v>801</v>
      </c>
      <c r="E408" t="s">
        <v>386</v>
      </c>
      <c r="F408" t="s">
        <v>329</v>
      </c>
      <c r="G408" t="s">
        <v>319</v>
      </c>
      <c r="H408" s="502">
        <v>51154</v>
      </c>
      <c r="I408" s="415">
        <v>0</v>
      </c>
      <c r="J408" s="415">
        <v>0</v>
      </c>
      <c r="K408" s="415">
        <v>11375</v>
      </c>
      <c r="L408" s="415">
        <v>0</v>
      </c>
      <c r="M408" s="415">
        <v>0</v>
      </c>
      <c r="N408" s="415">
        <v>11375</v>
      </c>
      <c r="O408" s="415">
        <v>0</v>
      </c>
      <c r="P408" s="415">
        <v>0</v>
      </c>
      <c r="Q408" s="481">
        <f t="shared" si="52"/>
        <v>0</v>
      </c>
    </row>
    <row r="409" spans="1:17" outlineLevel="2" x14ac:dyDescent="0.3">
      <c r="A409" s="366" t="str">
        <f>IFERROR(VLOOKUP(RIGHT(E409,3)+0,[1]SchLocTable!$A$2:$B$47,2,FALSE)," ")</f>
        <v>High Horizons Magnet</v>
      </c>
      <c r="B409" s="366" t="str">
        <f>VLOOKUP(VALUE(D409),$D$3:F$106,3,FALSE)</f>
        <v>Elementary Classroom</v>
      </c>
      <c r="C409" t="s">
        <v>314</v>
      </c>
      <c r="D409">
        <v>801</v>
      </c>
      <c r="E409" t="s">
        <v>387</v>
      </c>
      <c r="F409" t="s">
        <v>316</v>
      </c>
      <c r="G409">
        <v>7</v>
      </c>
      <c r="H409" s="502">
        <v>51000</v>
      </c>
      <c r="I409" s="415">
        <v>277920.99582000001</v>
      </c>
      <c r="J409" s="415">
        <v>667746.62</v>
      </c>
      <c r="K409" s="415">
        <v>702567.64</v>
      </c>
      <c r="L409" s="415">
        <v>838923.78</v>
      </c>
      <c r="M409" s="415">
        <v>745540.24</v>
      </c>
      <c r="N409" s="415">
        <v>822736.45</v>
      </c>
      <c r="O409" s="415">
        <v>803573.94</v>
      </c>
      <c r="P409" s="415">
        <v>745558.66</v>
      </c>
      <c r="Q409" s="481">
        <f t="shared" si="52"/>
        <v>389825.62417999998</v>
      </c>
    </row>
    <row r="410" spans="1:17" outlineLevel="2" x14ac:dyDescent="0.3">
      <c r="A410" s="366" t="str">
        <f>IFERROR(VLOOKUP(RIGHT(E410,3)+0,[1]SchLocTable!$A$2:$B$47,2,FALSE)," ")</f>
        <v>High Horizons Magnet</v>
      </c>
      <c r="B410" s="366" t="str">
        <f>VLOOKUP(VALUE(D410),$D$3:F$106,3,FALSE)</f>
        <v>Elementary Classroom</v>
      </c>
      <c r="C410" t="s">
        <v>314</v>
      </c>
      <c r="D410">
        <v>801</v>
      </c>
      <c r="E410" t="s">
        <v>387</v>
      </c>
      <c r="F410" t="s">
        <v>321</v>
      </c>
      <c r="G410" t="s">
        <v>319</v>
      </c>
      <c r="H410" s="502">
        <v>52917</v>
      </c>
      <c r="I410" s="415">
        <v>61975.619999999995</v>
      </c>
      <c r="J410" s="415">
        <v>180938.94</v>
      </c>
      <c r="K410" s="415">
        <v>199506.72</v>
      </c>
      <c r="L410" s="415">
        <v>242775.58</v>
      </c>
      <c r="M410" s="415">
        <v>201503.45</v>
      </c>
      <c r="N410" s="415">
        <v>211442.14</v>
      </c>
      <c r="O410" s="415">
        <v>237055.13</v>
      </c>
      <c r="P410" s="415">
        <v>205793.4</v>
      </c>
      <c r="Q410" s="481">
        <f t="shared" si="52"/>
        <v>118963.32</v>
      </c>
    </row>
    <row r="411" spans="1:17" outlineLevel="2" x14ac:dyDescent="0.3">
      <c r="A411" s="366" t="str">
        <f>IFERROR(VLOOKUP(RIGHT(E411,3)+0,[1]SchLocTable!$A$2:$B$47,2,FALSE)," ")</f>
        <v>High Horizons Magnet</v>
      </c>
      <c r="B411" s="366" t="str">
        <f>VLOOKUP(VALUE(D411),$D$3:F$106,3,FALSE)</f>
        <v>Elementary Classroom</v>
      </c>
      <c r="C411" t="s">
        <v>314</v>
      </c>
      <c r="D411">
        <v>801</v>
      </c>
      <c r="E411" t="s">
        <v>387</v>
      </c>
      <c r="F411" t="s">
        <v>318</v>
      </c>
      <c r="G411" t="s">
        <v>319</v>
      </c>
      <c r="H411" s="502">
        <v>51140</v>
      </c>
      <c r="I411" s="415">
        <v>5200</v>
      </c>
      <c r="J411" s="415">
        <v>0</v>
      </c>
      <c r="K411" s="415">
        <v>5200</v>
      </c>
      <c r="L411" s="415">
        <v>6100</v>
      </c>
      <c r="M411" s="415">
        <v>6100</v>
      </c>
      <c r="N411" s="415">
        <v>3300</v>
      </c>
      <c r="O411" s="415">
        <v>6400</v>
      </c>
      <c r="P411" s="415">
        <v>4200</v>
      </c>
      <c r="Q411" s="481">
        <f t="shared" si="52"/>
        <v>-5200</v>
      </c>
    </row>
    <row r="412" spans="1:17" outlineLevel="2" x14ac:dyDescent="0.3">
      <c r="A412" s="366" t="str">
        <f>IFERROR(VLOOKUP(RIGHT(E412,3)+0,[1]SchLocTable!$A$2:$B$47,2,FALSE)," ")</f>
        <v>High Horizons Magnet</v>
      </c>
      <c r="B412" s="366" t="str">
        <f>VLOOKUP(VALUE(D412),$D$3:F$106,3,FALSE)</f>
        <v>Elementary Classroom</v>
      </c>
      <c r="C412" t="s">
        <v>314</v>
      </c>
      <c r="D412">
        <v>801</v>
      </c>
      <c r="E412" t="s">
        <v>387</v>
      </c>
      <c r="F412" t="s">
        <v>320</v>
      </c>
      <c r="G412" t="s">
        <v>319</v>
      </c>
      <c r="H412" s="502">
        <v>52360</v>
      </c>
      <c r="I412" s="415">
        <v>4029.8544393900002</v>
      </c>
      <c r="J412" s="415">
        <v>9568.74</v>
      </c>
      <c r="K412" s="415">
        <v>9410.2900000000009</v>
      </c>
      <c r="L412" s="415">
        <v>11232.04</v>
      </c>
      <c r="M412" s="415">
        <v>9726.35</v>
      </c>
      <c r="N412" s="415">
        <v>11151.94</v>
      </c>
      <c r="O412" s="415">
        <v>9630.6299999999992</v>
      </c>
      <c r="P412" s="415">
        <v>8927.4699999999993</v>
      </c>
      <c r="Q412" s="481">
        <f t="shared" si="52"/>
        <v>5538.8855606099996</v>
      </c>
    </row>
    <row r="413" spans="1:17" outlineLevel="2" x14ac:dyDescent="0.3">
      <c r="A413" s="366" t="str">
        <f>IFERROR(VLOOKUP(RIGHT(E413,3)+0,[1]SchLocTable!$A$2:$B$47,2,FALSE)," ")</f>
        <v>Multicultural Magnet</v>
      </c>
      <c r="B413" s="366" t="str">
        <f>VLOOKUP(VALUE(D413),$D$3:F$106,3,FALSE)</f>
        <v>Elementary Classroom</v>
      </c>
      <c r="C413" t="s">
        <v>314</v>
      </c>
      <c r="D413">
        <v>801</v>
      </c>
      <c r="E413" t="s">
        <v>388</v>
      </c>
      <c r="F413" t="s">
        <v>316</v>
      </c>
      <c r="G413">
        <v>7</v>
      </c>
      <c r="H413" s="502">
        <v>51000</v>
      </c>
      <c r="I413" s="415">
        <v>516344.73150999995</v>
      </c>
      <c r="J413" s="415">
        <v>500577.11</v>
      </c>
      <c r="K413" s="415">
        <v>611714.72</v>
      </c>
      <c r="L413" s="415">
        <v>659187.66</v>
      </c>
      <c r="M413" s="415">
        <v>510897.74</v>
      </c>
      <c r="N413" s="415">
        <v>324491.94</v>
      </c>
      <c r="O413" s="415">
        <v>414291.7</v>
      </c>
      <c r="P413" s="415">
        <v>409167.2</v>
      </c>
      <c r="Q413" s="481">
        <f t="shared" si="52"/>
        <v>-15767.621509999968</v>
      </c>
    </row>
    <row r="414" spans="1:17" outlineLevel="2" x14ac:dyDescent="0.3">
      <c r="A414" s="366" t="str">
        <f>IFERROR(VLOOKUP(RIGHT(E414,3)+0,[1]SchLocTable!$A$2:$B$47,2,FALSE)," ")</f>
        <v>Multicultural Magnet</v>
      </c>
      <c r="B414" s="366" t="str">
        <f>VLOOKUP(VALUE(D414),$D$3:F$106,3,FALSE)</f>
        <v>Elementary Classroom</v>
      </c>
      <c r="C414" t="s">
        <v>314</v>
      </c>
      <c r="D414">
        <v>801</v>
      </c>
      <c r="E414" t="s">
        <v>388</v>
      </c>
      <c r="F414" t="s">
        <v>321</v>
      </c>
      <c r="G414" t="s">
        <v>319</v>
      </c>
      <c r="H414" s="502">
        <v>52917</v>
      </c>
      <c r="I414" s="415">
        <v>171995.90400000001</v>
      </c>
      <c r="J414" s="415">
        <v>147700.14000000001</v>
      </c>
      <c r="K414" s="415">
        <v>165500.28</v>
      </c>
      <c r="L414" s="415">
        <v>144933.39000000001</v>
      </c>
      <c r="M414" s="415">
        <v>115392.27</v>
      </c>
      <c r="N414" s="415">
        <v>80627.95</v>
      </c>
      <c r="O414" s="415">
        <v>92346.62</v>
      </c>
      <c r="P414" s="415">
        <v>86202.06</v>
      </c>
      <c r="Q414" s="481">
        <f t="shared" si="52"/>
        <v>-24295.763999999996</v>
      </c>
    </row>
    <row r="415" spans="1:17" outlineLevel="2" x14ac:dyDescent="0.3">
      <c r="A415" s="366" t="str">
        <f>IFERROR(VLOOKUP(RIGHT(E415,3)+0,[1]SchLocTable!$A$2:$B$47,2,FALSE)," ")</f>
        <v>Multicultural Magnet</v>
      </c>
      <c r="B415" s="366" t="str">
        <f>VLOOKUP(VALUE(D415),$D$3:F$106,3,FALSE)</f>
        <v>Elementary Classroom</v>
      </c>
      <c r="C415" t="s">
        <v>314</v>
      </c>
      <c r="D415">
        <v>801</v>
      </c>
      <c r="E415" t="s">
        <v>388</v>
      </c>
      <c r="F415" t="s">
        <v>318</v>
      </c>
      <c r="G415" t="s">
        <v>319</v>
      </c>
      <c r="H415" s="502">
        <v>51140</v>
      </c>
      <c r="I415" s="415">
        <v>3100</v>
      </c>
      <c r="J415" s="415">
        <v>0</v>
      </c>
      <c r="K415" s="415">
        <v>3000</v>
      </c>
      <c r="L415" s="415">
        <v>6800</v>
      </c>
      <c r="M415" s="415">
        <v>5400</v>
      </c>
      <c r="N415" s="415">
        <v>3200</v>
      </c>
      <c r="O415" s="415">
        <v>3000</v>
      </c>
      <c r="P415" s="415">
        <v>2000</v>
      </c>
      <c r="Q415" s="481">
        <f t="shared" si="52"/>
        <v>-3100</v>
      </c>
    </row>
    <row r="416" spans="1:17" outlineLevel="2" x14ac:dyDescent="0.3">
      <c r="A416" s="366" t="str">
        <f>IFERROR(VLOOKUP(RIGHT(E416,3)+0,[1]SchLocTable!$A$2:$B$47,2,FALSE)," ")</f>
        <v>Multicultural Magnet</v>
      </c>
      <c r="B416" s="366" t="str">
        <f>VLOOKUP(VALUE(D416),$D$3:F$106,3,FALSE)</f>
        <v>Elementary Classroom</v>
      </c>
      <c r="C416" t="s">
        <v>314</v>
      </c>
      <c r="D416">
        <v>801</v>
      </c>
      <c r="E416" t="s">
        <v>388</v>
      </c>
      <c r="F416" t="s">
        <v>320</v>
      </c>
      <c r="G416" t="s">
        <v>319</v>
      </c>
      <c r="H416" s="502">
        <v>52360</v>
      </c>
      <c r="I416" s="415">
        <v>7486.9986068950002</v>
      </c>
      <c r="J416" s="415">
        <v>7162.05</v>
      </c>
      <c r="K416" s="415">
        <v>8185.93</v>
      </c>
      <c r="L416" s="415">
        <v>9205.26</v>
      </c>
      <c r="M416" s="415">
        <v>7429.87</v>
      </c>
      <c r="N416" s="415">
        <v>4355.07</v>
      </c>
      <c r="O416" s="415">
        <v>5699.82</v>
      </c>
      <c r="P416" s="415">
        <v>5638.7</v>
      </c>
      <c r="Q416" s="481">
        <f t="shared" si="52"/>
        <v>-324.94860689500001</v>
      </c>
    </row>
    <row r="417" spans="1:17" outlineLevel="2" x14ac:dyDescent="0.3">
      <c r="A417" s="366" t="str">
        <f>IFERROR(VLOOKUP(RIGHT(E417,3)+0,[1]SchLocTable!$A$2:$B$47,2,FALSE)," ")</f>
        <v>Multicultural Magnet</v>
      </c>
      <c r="B417" s="366" t="str">
        <f>VLOOKUP(VALUE(D417),$D$3:F$106,3,FALSE)</f>
        <v>Elementary Classroom</v>
      </c>
      <c r="C417" t="s">
        <v>314</v>
      </c>
      <c r="D417">
        <v>801</v>
      </c>
      <c r="E417" t="s">
        <v>388</v>
      </c>
      <c r="F417" t="s">
        <v>329</v>
      </c>
      <c r="G417" t="s">
        <v>319</v>
      </c>
      <c r="H417" s="502">
        <v>51154</v>
      </c>
      <c r="I417" s="415">
        <v>0</v>
      </c>
      <c r="J417" s="415">
        <v>0</v>
      </c>
      <c r="K417" s="415">
        <v>0</v>
      </c>
      <c r="L417" s="415">
        <v>11375</v>
      </c>
      <c r="M417" s="415">
        <v>0</v>
      </c>
      <c r="N417" s="415">
        <v>0</v>
      </c>
      <c r="O417" s="415">
        <v>0</v>
      </c>
      <c r="P417" s="415">
        <v>0</v>
      </c>
      <c r="Q417" s="481">
        <f t="shared" si="52"/>
        <v>0</v>
      </c>
    </row>
    <row r="418" spans="1:17" outlineLevel="2" x14ac:dyDescent="0.3">
      <c r="A418" s="366" t="str">
        <f>IFERROR(VLOOKUP(RIGHT(E418,3)+0,[1]SchLocTable!$A$2:$B$47,2,FALSE)," ")</f>
        <v>Harding HS</v>
      </c>
      <c r="B418" s="366" t="str">
        <f>VLOOKUP(VALUE(D418),$D$3:F$106,3,FALSE)</f>
        <v>Elementary Classroom</v>
      </c>
      <c r="C418" t="s">
        <v>314</v>
      </c>
      <c r="D418">
        <v>801</v>
      </c>
      <c r="E418" t="s">
        <v>1321</v>
      </c>
      <c r="F418" t="s">
        <v>316</v>
      </c>
      <c r="G418" t="s">
        <v>319</v>
      </c>
      <c r="H418" s="502">
        <v>51000</v>
      </c>
      <c r="I418" s="415">
        <v>80000</v>
      </c>
      <c r="J418" s="415">
        <v>0</v>
      </c>
      <c r="K418" s="415"/>
      <c r="L418" s="415">
        <v>0</v>
      </c>
      <c r="M418" s="415">
        <v>0</v>
      </c>
      <c r="N418" s="415">
        <v>0</v>
      </c>
      <c r="O418" s="415">
        <v>0</v>
      </c>
      <c r="P418" s="415">
        <v>0</v>
      </c>
      <c r="Q418" s="481">
        <f t="shared" si="52"/>
        <v>-80000</v>
      </c>
    </row>
    <row r="419" spans="1:17" outlineLevel="2" x14ac:dyDescent="0.3">
      <c r="A419" s="366" t="str">
        <f>IFERROR(VLOOKUP(RIGHT(E419,3)+0,[1]SchLocTable!$A$2:$B$47,2,FALSE)," ")</f>
        <v>Harding HS</v>
      </c>
      <c r="B419" s="366" t="str">
        <f>VLOOKUP(VALUE(D419),$D$3:F$106,3,FALSE)</f>
        <v>Elementary Classroom</v>
      </c>
      <c r="C419" t="s">
        <v>314</v>
      </c>
      <c r="D419">
        <v>801</v>
      </c>
      <c r="E419" t="s">
        <v>1321</v>
      </c>
      <c r="F419" t="s">
        <v>321</v>
      </c>
      <c r="G419" t="s">
        <v>319</v>
      </c>
      <c r="H419" s="502">
        <v>52917</v>
      </c>
      <c r="I419" s="415">
        <v>32400</v>
      </c>
      <c r="J419" s="415">
        <v>0</v>
      </c>
      <c r="K419" s="415"/>
      <c r="L419" s="415">
        <v>0</v>
      </c>
      <c r="M419" s="415">
        <v>0</v>
      </c>
      <c r="N419" s="415">
        <v>0</v>
      </c>
      <c r="O419" s="415">
        <v>0</v>
      </c>
      <c r="P419" s="415">
        <v>0</v>
      </c>
      <c r="Q419" s="481">
        <f t="shared" si="52"/>
        <v>-32400</v>
      </c>
    </row>
    <row r="420" spans="1:17" outlineLevel="2" x14ac:dyDescent="0.3">
      <c r="A420" s="366" t="str">
        <f>IFERROR(VLOOKUP(RIGHT(E420,3)+0,[1]SchLocTable!$A$2:$B$47,2,FALSE)," ")</f>
        <v>Harding HS</v>
      </c>
      <c r="B420" s="366" t="str">
        <f>VLOOKUP(VALUE(D420),$D$3:F$106,3,FALSE)</f>
        <v>Elementary Classroom</v>
      </c>
      <c r="C420" t="s">
        <v>314</v>
      </c>
      <c r="D420">
        <v>801</v>
      </c>
      <c r="E420" t="s">
        <v>1321</v>
      </c>
      <c r="F420" t="s">
        <v>320</v>
      </c>
      <c r="G420" t="s">
        <v>319</v>
      </c>
      <c r="H420" s="502">
        <v>52360</v>
      </c>
      <c r="I420" s="415">
        <v>1160</v>
      </c>
      <c r="J420" s="415">
        <v>0</v>
      </c>
      <c r="K420" s="415"/>
      <c r="L420" s="415">
        <v>0</v>
      </c>
      <c r="M420" s="415">
        <v>0</v>
      </c>
      <c r="N420" s="415">
        <v>0</v>
      </c>
      <c r="O420" s="415">
        <v>0</v>
      </c>
      <c r="P420" s="415">
        <v>0</v>
      </c>
      <c r="Q420" s="481">
        <f t="shared" si="52"/>
        <v>-1160</v>
      </c>
    </row>
    <row r="421" spans="1:17" outlineLevel="2" x14ac:dyDescent="0.3">
      <c r="A421" s="366" t="str">
        <f>IFERROR(VLOOKUP(RIGHT(E421,3)+0,[1]SchLocTable!$A$2:$B$47,2,FALSE)," ")</f>
        <v>Harding HS</v>
      </c>
      <c r="B421" s="366" t="str">
        <f>VLOOKUP(VALUE(D421),$D$3:F$106,3,FALSE)</f>
        <v>Elementary Classroom</v>
      </c>
      <c r="C421" t="s">
        <v>314</v>
      </c>
      <c r="D421">
        <v>801</v>
      </c>
      <c r="E421" t="s">
        <v>1321</v>
      </c>
      <c r="F421" t="s">
        <v>392</v>
      </c>
      <c r="G421" t="s">
        <v>319</v>
      </c>
      <c r="H421" s="502">
        <v>52504</v>
      </c>
      <c r="I421" s="415">
        <v>0</v>
      </c>
      <c r="J421" s="415">
        <v>0</v>
      </c>
      <c r="K421" s="415"/>
      <c r="L421" s="415">
        <v>0</v>
      </c>
      <c r="M421" s="415">
        <v>0</v>
      </c>
      <c r="N421" s="415">
        <v>0</v>
      </c>
      <c r="O421" s="415">
        <v>0</v>
      </c>
      <c r="P421" s="415">
        <v>0</v>
      </c>
      <c r="Q421" s="481">
        <f t="shared" si="52"/>
        <v>0</v>
      </c>
    </row>
    <row r="422" spans="1:17" outlineLevel="2" x14ac:dyDescent="0.3">
      <c r="A422" s="366" t="str">
        <f>IFERROR(VLOOKUP(RIGHT(E422,3)+0,[1]SchLocTable!$A$2:$B$47,2,FALSE)," ")</f>
        <v xml:space="preserve"> </v>
      </c>
      <c r="B422" s="366" t="str">
        <f>VLOOKUP(VALUE(D422),$D$3:F$106,3,FALSE)</f>
        <v>Substitutes</v>
      </c>
      <c r="C422" t="s">
        <v>314</v>
      </c>
      <c r="D422">
        <v>802</v>
      </c>
      <c r="E422" t="s">
        <v>389</v>
      </c>
      <c r="F422" t="s">
        <v>390</v>
      </c>
      <c r="G422" t="s">
        <v>319</v>
      </c>
      <c r="H422" s="502">
        <v>56115</v>
      </c>
      <c r="I422" s="415">
        <v>4797663.8600000003</v>
      </c>
      <c r="J422" s="415">
        <v>4483798</v>
      </c>
      <c r="K422" s="415">
        <v>4004491.25</v>
      </c>
      <c r="L422" s="415">
        <v>2316684.6800000002</v>
      </c>
      <c r="M422" s="415">
        <v>1228489.4099999999</v>
      </c>
      <c r="N422" s="415">
        <v>1435471.43</v>
      </c>
      <c r="O422" s="415">
        <v>429004.08</v>
      </c>
      <c r="P422" s="415">
        <v>1678701.04</v>
      </c>
      <c r="Q422" s="481">
        <f t="shared" si="52"/>
        <v>-313865.86000000034</v>
      </c>
    </row>
    <row r="423" spans="1:17" outlineLevel="2" x14ac:dyDescent="0.3">
      <c r="A423" s="366" t="str">
        <f>IFERROR(VLOOKUP(RIGHT(E423,3)+0,[1]SchLocTable!$A$2:$B$47,2,FALSE)," ")</f>
        <v xml:space="preserve"> </v>
      </c>
      <c r="B423" s="366" t="str">
        <f>VLOOKUP(VALUE(D423),$D$3:F$106,3,FALSE)</f>
        <v>Paraprofessionals</v>
      </c>
      <c r="C423" t="s">
        <v>314</v>
      </c>
      <c r="D423">
        <v>803</v>
      </c>
      <c r="E423" t="s">
        <v>1306</v>
      </c>
      <c r="F423" t="s">
        <v>316</v>
      </c>
      <c r="G423">
        <v>3</v>
      </c>
      <c r="H423" s="502">
        <v>51000</v>
      </c>
      <c r="I423" s="415">
        <v>316880.84344600001</v>
      </c>
      <c r="J423" s="415">
        <v>0</v>
      </c>
      <c r="K423" s="415">
        <v>0</v>
      </c>
      <c r="L423" s="415">
        <v>0</v>
      </c>
      <c r="M423" s="415">
        <v>0</v>
      </c>
      <c r="N423" s="415">
        <v>0</v>
      </c>
      <c r="O423" s="415">
        <v>0</v>
      </c>
      <c r="P423" s="415">
        <v>0</v>
      </c>
      <c r="Q423" s="481">
        <f t="shared" si="52"/>
        <v>-316880.84344600001</v>
      </c>
    </row>
    <row r="424" spans="1:17" outlineLevel="2" x14ac:dyDescent="0.3">
      <c r="A424" s="366" t="str">
        <f>IFERROR(VLOOKUP(RIGHT(E424,3)+0,[1]SchLocTable!$A$2:$B$47,2,FALSE)," ")</f>
        <v xml:space="preserve"> </v>
      </c>
      <c r="B424" s="366" t="str">
        <f>VLOOKUP(VALUE(D424),$D$3:F$106,3,FALSE)</f>
        <v>Paraprofessionals</v>
      </c>
      <c r="C424" t="s">
        <v>314</v>
      </c>
      <c r="D424">
        <v>803</v>
      </c>
      <c r="E424" t="s">
        <v>1306</v>
      </c>
      <c r="F424" t="s">
        <v>360</v>
      </c>
      <c r="G424" t="s">
        <v>319</v>
      </c>
      <c r="H424" s="502">
        <v>52920</v>
      </c>
      <c r="I424" s="415">
        <v>166.68</v>
      </c>
      <c r="J424" s="415">
        <v>0</v>
      </c>
      <c r="K424" s="415">
        <v>0</v>
      </c>
      <c r="L424" s="415">
        <v>0</v>
      </c>
      <c r="M424" s="415">
        <v>0</v>
      </c>
      <c r="N424" s="415">
        <v>0</v>
      </c>
      <c r="O424" s="415">
        <v>0</v>
      </c>
      <c r="P424" s="415">
        <v>0</v>
      </c>
      <c r="Q424" s="481">
        <f t="shared" si="52"/>
        <v>-166.68</v>
      </c>
    </row>
    <row r="425" spans="1:17" outlineLevel="2" x14ac:dyDescent="0.3">
      <c r="A425" s="366" t="str">
        <f>IFERROR(VLOOKUP(RIGHT(E425,3)+0,[1]SchLocTable!$A$2:$B$47,2,FALSE)," ")</f>
        <v xml:space="preserve"> </v>
      </c>
      <c r="B425" s="366" t="str">
        <f>VLOOKUP(VALUE(D425),$D$3:F$106,3,FALSE)</f>
        <v>Paraprofessionals</v>
      </c>
      <c r="C425" t="s">
        <v>314</v>
      </c>
      <c r="D425">
        <v>803</v>
      </c>
      <c r="E425" t="s">
        <v>1306</v>
      </c>
      <c r="F425" t="s">
        <v>321</v>
      </c>
      <c r="G425" t="s">
        <v>319</v>
      </c>
      <c r="H425" s="502">
        <v>52917</v>
      </c>
      <c r="I425" s="415">
        <v>143424.408</v>
      </c>
      <c r="J425" s="415">
        <v>0</v>
      </c>
      <c r="K425" s="415">
        <v>0</v>
      </c>
      <c r="L425" s="415">
        <v>0</v>
      </c>
      <c r="M425" s="415">
        <v>0</v>
      </c>
      <c r="N425" s="415">
        <v>0</v>
      </c>
      <c r="O425" s="415">
        <v>0</v>
      </c>
      <c r="P425" s="415">
        <v>0</v>
      </c>
      <c r="Q425" s="481">
        <f t="shared" si="52"/>
        <v>-143424.408</v>
      </c>
    </row>
    <row r="426" spans="1:17" outlineLevel="2" x14ac:dyDescent="0.3">
      <c r="A426" s="366" t="str">
        <f>IFERROR(VLOOKUP(RIGHT(E426,3)+0,[1]SchLocTable!$A$2:$B$47,2,FALSE)," ")</f>
        <v xml:space="preserve"> </v>
      </c>
      <c r="B426" s="366" t="str">
        <f>VLOOKUP(VALUE(D426),$D$3:F$106,3,FALSE)</f>
        <v>Paraprofessionals</v>
      </c>
      <c r="C426" t="s">
        <v>314</v>
      </c>
      <c r="D426">
        <v>803</v>
      </c>
      <c r="E426" t="s">
        <v>1306</v>
      </c>
      <c r="F426" t="s">
        <v>320</v>
      </c>
      <c r="G426" t="s">
        <v>319</v>
      </c>
      <c r="H426" s="502">
        <v>52360</v>
      </c>
      <c r="I426" s="415">
        <v>4597.1890899669997</v>
      </c>
      <c r="J426" s="415">
        <v>0</v>
      </c>
      <c r="K426" s="415">
        <v>0</v>
      </c>
      <c r="L426" s="415">
        <v>0</v>
      </c>
      <c r="M426" s="415">
        <v>0</v>
      </c>
      <c r="N426" s="415">
        <v>0</v>
      </c>
      <c r="O426" s="415">
        <v>0</v>
      </c>
      <c r="P426" s="415">
        <v>0</v>
      </c>
      <c r="Q426" s="481">
        <f t="shared" si="52"/>
        <v>-4597.1890899669997</v>
      </c>
    </row>
    <row r="427" spans="1:17" outlineLevel="2" x14ac:dyDescent="0.3">
      <c r="A427" s="366" t="str">
        <f>IFERROR(VLOOKUP(RIGHT(E427,3)+0,[1]SchLocTable!$A$2:$B$47,2,FALSE)," ")</f>
        <v xml:space="preserve"> </v>
      </c>
      <c r="B427" s="366" t="str">
        <f>VLOOKUP(VALUE(D427),$D$3:F$106,3,FALSE)</f>
        <v>Paraprofessionals</v>
      </c>
      <c r="C427" t="s">
        <v>314</v>
      </c>
      <c r="D427">
        <v>803</v>
      </c>
      <c r="E427" t="s">
        <v>1306</v>
      </c>
      <c r="F427" t="s">
        <v>392</v>
      </c>
      <c r="G427" t="s">
        <v>319</v>
      </c>
      <c r="H427" s="502">
        <v>52504</v>
      </c>
      <c r="I427" s="415">
        <v>65882.475372078799</v>
      </c>
      <c r="J427" s="415">
        <v>0</v>
      </c>
      <c r="K427" s="415">
        <v>0</v>
      </c>
      <c r="L427" s="415">
        <v>0</v>
      </c>
      <c r="M427" s="415">
        <v>0</v>
      </c>
      <c r="N427" s="415">
        <v>0</v>
      </c>
      <c r="O427" s="415">
        <v>0</v>
      </c>
      <c r="P427" s="415">
        <v>0</v>
      </c>
      <c r="Q427" s="481">
        <f t="shared" si="52"/>
        <v>-65882.475372078799</v>
      </c>
    </row>
    <row r="428" spans="1:17" outlineLevel="2" x14ac:dyDescent="0.3">
      <c r="A428" s="366" t="str">
        <f>IFERROR(VLOOKUP(RIGHT(E428,3)+0,[1]SchLocTable!$A$2:$B$47,2,FALSE)," ")</f>
        <v xml:space="preserve"> </v>
      </c>
      <c r="B428" s="366" t="str">
        <f>VLOOKUP(VALUE(D428),$D$3:F$106,3,FALSE)</f>
        <v>Paraprofessionals</v>
      </c>
      <c r="C428" t="s">
        <v>314</v>
      </c>
      <c r="D428">
        <v>803</v>
      </c>
      <c r="E428" t="s">
        <v>1306</v>
      </c>
      <c r="F428" t="s">
        <v>324</v>
      </c>
      <c r="G428" t="s">
        <v>319</v>
      </c>
      <c r="H428" s="502">
        <v>52385</v>
      </c>
      <c r="I428" s="415">
        <v>2607.15</v>
      </c>
      <c r="J428" s="415">
        <v>0</v>
      </c>
      <c r="K428" s="415">
        <v>0</v>
      </c>
      <c r="L428" s="415">
        <v>0</v>
      </c>
      <c r="M428" s="415">
        <v>0</v>
      </c>
      <c r="N428" s="415">
        <v>0</v>
      </c>
      <c r="O428" s="415">
        <v>0</v>
      </c>
      <c r="P428" s="415">
        <v>0</v>
      </c>
      <c r="Q428" s="481">
        <f t="shared" si="52"/>
        <v>-2607.15</v>
      </c>
    </row>
    <row r="429" spans="1:17" outlineLevel="2" x14ac:dyDescent="0.3">
      <c r="A429" s="366" t="str">
        <f>IFERROR(VLOOKUP(RIGHT(E429,3)+0,[1]SchLocTable!$A$2:$B$47,2,FALSE)," ")</f>
        <v>Barnum</v>
      </c>
      <c r="B429" s="366" t="str">
        <f>VLOOKUP(VALUE(D429),$D$3:F$106,3,FALSE)</f>
        <v>Paraprofessionals</v>
      </c>
      <c r="C429" t="s">
        <v>314</v>
      </c>
      <c r="D429">
        <v>803</v>
      </c>
      <c r="E429" t="s">
        <v>1299</v>
      </c>
      <c r="F429" t="s">
        <v>316</v>
      </c>
      <c r="G429">
        <v>1</v>
      </c>
      <c r="H429" s="502">
        <v>51000</v>
      </c>
      <c r="I429" s="415">
        <v>43977.398399999998</v>
      </c>
      <c r="J429" s="415">
        <v>0</v>
      </c>
      <c r="K429" s="415">
        <v>0</v>
      </c>
      <c r="L429" s="415">
        <v>0</v>
      </c>
      <c r="M429" s="415">
        <v>0</v>
      </c>
      <c r="N429" s="415">
        <v>0</v>
      </c>
      <c r="O429" s="415">
        <v>0</v>
      </c>
      <c r="P429" s="415">
        <v>0</v>
      </c>
      <c r="Q429" s="481">
        <f t="shared" si="52"/>
        <v>-43977.398399999998</v>
      </c>
    </row>
    <row r="430" spans="1:17" outlineLevel="2" x14ac:dyDescent="0.3">
      <c r="A430" s="366" t="str">
        <f>IFERROR(VLOOKUP(RIGHT(E430,3)+0,[1]SchLocTable!$A$2:$B$47,2,FALSE)," ")</f>
        <v>Barnum</v>
      </c>
      <c r="B430" s="366" t="str">
        <f>VLOOKUP(VALUE(D430),$D$3:F$106,3,FALSE)</f>
        <v>Paraprofessionals</v>
      </c>
      <c r="C430" t="s">
        <v>314</v>
      </c>
      <c r="D430">
        <v>803</v>
      </c>
      <c r="E430" t="s">
        <v>1299</v>
      </c>
      <c r="F430" t="s">
        <v>321</v>
      </c>
      <c r="G430" t="s">
        <v>319</v>
      </c>
      <c r="H430" s="502">
        <v>52917</v>
      </c>
      <c r="I430" s="415">
        <v>72850.751999999993</v>
      </c>
      <c r="J430" s="415">
        <v>0</v>
      </c>
      <c r="K430" s="415">
        <v>0</v>
      </c>
      <c r="L430" s="415">
        <v>0</v>
      </c>
      <c r="M430" s="415">
        <v>0</v>
      </c>
      <c r="N430" s="415">
        <v>0</v>
      </c>
      <c r="O430" s="415">
        <v>0</v>
      </c>
      <c r="P430" s="415">
        <v>0</v>
      </c>
      <c r="Q430" s="481">
        <f t="shared" si="52"/>
        <v>-72850.751999999993</v>
      </c>
    </row>
    <row r="431" spans="1:17" outlineLevel="2" x14ac:dyDescent="0.3">
      <c r="A431" s="366" t="str">
        <f>IFERROR(VLOOKUP(RIGHT(E431,3)+0,[1]SchLocTable!$A$2:$B$47,2,FALSE)," ")</f>
        <v>Barnum</v>
      </c>
      <c r="B431" s="366" t="str">
        <f>VLOOKUP(VALUE(D431),$D$3:F$106,3,FALSE)</f>
        <v>Paraprofessionals</v>
      </c>
      <c r="C431" t="s">
        <v>314</v>
      </c>
      <c r="D431">
        <v>803</v>
      </c>
      <c r="E431" t="s">
        <v>1299</v>
      </c>
      <c r="F431" t="s">
        <v>320</v>
      </c>
      <c r="G431" t="s">
        <v>319</v>
      </c>
      <c r="H431" s="502">
        <v>52360</v>
      </c>
      <c r="I431" s="415">
        <v>637.67227679999996</v>
      </c>
      <c r="J431" s="415">
        <v>0</v>
      </c>
      <c r="K431" s="415">
        <v>0</v>
      </c>
      <c r="L431" s="415">
        <v>0</v>
      </c>
      <c r="M431" s="415">
        <v>0</v>
      </c>
      <c r="N431" s="415">
        <v>0</v>
      </c>
      <c r="O431" s="415">
        <v>0</v>
      </c>
      <c r="P431" s="415">
        <v>0</v>
      </c>
      <c r="Q431" s="481">
        <f t="shared" si="52"/>
        <v>-637.67227679999996</v>
      </c>
    </row>
    <row r="432" spans="1:17" outlineLevel="2" x14ac:dyDescent="0.3">
      <c r="A432" s="366" t="str">
        <f>IFERROR(VLOOKUP(RIGHT(E432,3)+0,[1]SchLocTable!$A$2:$B$47,2,FALSE)," ")</f>
        <v>Barnum</v>
      </c>
      <c r="B432" s="366" t="str">
        <f>VLOOKUP(VALUE(D432),$D$3:F$106,3,FALSE)</f>
        <v>Paraprofessionals</v>
      </c>
      <c r="C432" t="s">
        <v>314</v>
      </c>
      <c r="D432">
        <v>803</v>
      </c>
      <c r="E432" t="s">
        <v>1299</v>
      </c>
      <c r="F432" t="s">
        <v>392</v>
      </c>
      <c r="G432" t="s">
        <v>319</v>
      </c>
      <c r="H432" s="502">
        <v>52504</v>
      </c>
      <c r="I432" s="415">
        <v>9138.5033875200006</v>
      </c>
      <c r="J432" s="415">
        <v>0</v>
      </c>
      <c r="K432" s="415">
        <v>0</v>
      </c>
      <c r="L432" s="415">
        <v>0</v>
      </c>
      <c r="M432" s="415">
        <v>0</v>
      </c>
      <c r="N432" s="415">
        <v>0</v>
      </c>
      <c r="O432" s="415">
        <v>0</v>
      </c>
      <c r="P432" s="415">
        <v>0</v>
      </c>
      <c r="Q432" s="481">
        <f t="shared" si="52"/>
        <v>-9138.5033875200006</v>
      </c>
    </row>
    <row r="433" spans="1:17" outlineLevel="2" x14ac:dyDescent="0.3">
      <c r="A433" s="366" t="str">
        <f>IFERROR(VLOOKUP(RIGHT(E433,3)+0,[1]SchLocTable!$A$2:$B$47,2,FALSE)," ")</f>
        <v>Beardsley</v>
      </c>
      <c r="B433" s="366" t="str">
        <f>VLOOKUP(VALUE(D433),$D$3:F$106,3,FALSE)</f>
        <v>Paraprofessionals</v>
      </c>
      <c r="C433" t="s">
        <v>314</v>
      </c>
      <c r="D433">
        <v>803</v>
      </c>
      <c r="E433" t="s">
        <v>391</v>
      </c>
      <c r="F433" t="s">
        <v>318</v>
      </c>
      <c r="G433" t="s">
        <v>319</v>
      </c>
      <c r="H433" s="502">
        <v>51140</v>
      </c>
      <c r="I433" s="415">
        <v>0</v>
      </c>
      <c r="J433" s="415">
        <v>0</v>
      </c>
      <c r="K433" s="415">
        <v>0</v>
      </c>
      <c r="L433" s="415">
        <v>2660</v>
      </c>
      <c r="M433" s="415">
        <v>0</v>
      </c>
      <c r="N433" s="415">
        <v>0</v>
      </c>
      <c r="O433" s="415">
        <v>0</v>
      </c>
      <c r="P433" s="415">
        <v>0</v>
      </c>
      <c r="Q433" s="481">
        <f t="shared" si="52"/>
        <v>0</v>
      </c>
    </row>
    <row r="434" spans="1:17" outlineLevel="2" x14ac:dyDescent="0.3">
      <c r="A434" s="366" t="str">
        <f>IFERROR(VLOOKUP(RIGHT(E434,3)+0,[1]SchLocTable!$A$2:$B$47,2,FALSE)," ")</f>
        <v>Beardsley</v>
      </c>
      <c r="B434" s="366" t="str">
        <f>VLOOKUP(VALUE(D434),$D$3:F$106,3,FALSE)</f>
        <v>Paraprofessionals</v>
      </c>
      <c r="C434" t="s">
        <v>314</v>
      </c>
      <c r="D434">
        <v>803</v>
      </c>
      <c r="E434" t="s">
        <v>391</v>
      </c>
      <c r="F434" t="s">
        <v>320</v>
      </c>
      <c r="G434" t="s">
        <v>319</v>
      </c>
      <c r="H434" s="502">
        <v>52360</v>
      </c>
      <c r="I434" s="415">
        <v>0</v>
      </c>
      <c r="J434" s="415">
        <v>0</v>
      </c>
      <c r="K434" s="415">
        <v>0</v>
      </c>
      <c r="L434" s="415">
        <v>37.14</v>
      </c>
      <c r="M434" s="415">
        <v>0</v>
      </c>
      <c r="N434" s="415">
        <v>0</v>
      </c>
      <c r="O434" s="415">
        <v>0</v>
      </c>
      <c r="P434" s="415">
        <v>0</v>
      </c>
      <c r="Q434" s="481">
        <f t="shared" si="52"/>
        <v>0</v>
      </c>
    </row>
    <row r="435" spans="1:17" outlineLevel="2" x14ac:dyDescent="0.3">
      <c r="A435" s="366" t="str">
        <f>IFERROR(VLOOKUP(RIGHT(E435,3)+0,[1]SchLocTable!$A$2:$B$47,2,FALSE)," ")</f>
        <v>Beardsley</v>
      </c>
      <c r="B435" s="366" t="str">
        <f>VLOOKUP(VALUE(D435),$D$3:F$106,3,FALSE)</f>
        <v>Paraprofessionals</v>
      </c>
      <c r="C435" t="s">
        <v>314</v>
      </c>
      <c r="D435">
        <v>803</v>
      </c>
      <c r="E435" t="s">
        <v>391</v>
      </c>
      <c r="F435" t="s">
        <v>392</v>
      </c>
      <c r="G435" t="s">
        <v>319</v>
      </c>
      <c r="H435" s="502">
        <v>52504</v>
      </c>
      <c r="I435" s="415">
        <v>0</v>
      </c>
      <c r="J435" s="415">
        <v>0</v>
      </c>
      <c r="K435" s="415">
        <v>0</v>
      </c>
      <c r="L435" s="415">
        <v>542.38</v>
      </c>
      <c r="M435" s="415">
        <v>0</v>
      </c>
      <c r="N435" s="415">
        <v>0</v>
      </c>
      <c r="O435" s="415">
        <v>0</v>
      </c>
      <c r="P435" s="415">
        <v>0</v>
      </c>
      <c r="Q435" s="481">
        <f t="shared" si="52"/>
        <v>0</v>
      </c>
    </row>
    <row r="436" spans="1:17" outlineLevel="2" x14ac:dyDescent="0.3">
      <c r="A436" s="366" t="str">
        <f>IFERROR(VLOOKUP(RIGHT(E436,3)+0,[1]SchLocTable!$A$2:$B$47,2,FALSE)," ")</f>
        <v>Black Rock</v>
      </c>
      <c r="B436" s="366" t="str">
        <f>VLOOKUP(VALUE(D436),$D$3:F$106,3,FALSE)</f>
        <v>Paraprofessionals</v>
      </c>
      <c r="C436" t="s">
        <v>314</v>
      </c>
      <c r="D436">
        <v>803</v>
      </c>
      <c r="E436" t="s">
        <v>393</v>
      </c>
      <c r="F436" t="s">
        <v>318</v>
      </c>
      <c r="G436" t="s">
        <v>319</v>
      </c>
      <c r="H436" s="502">
        <v>51140</v>
      </c>
      <c r="I436" s="415">
        <v>0</v>
      </c>
      <c r="J436" s="415">
        <v>0</v>
      </c>
      <c r="K436" s="415">
        <v>0</v>
      </c>
      <c r="L436" s="415">
        <v>1610</v>
      </c>
      <c r="M436" s="415">
        <v>0</v>
      </c>
      <c r="N436" s="415">
        <v>0</v>
      </c>
      <c r="O436" s="415">
        <v>0</v>
      </c>
      <c r="P436" s="415">
        <v>0</v>
      </c>
      <c r="Q436" s="481">
        <f t="shared" si="52"/>
        <v>0</v>
      </c>
    </row>
    <row r="437" spans="1:17" outlineLevel="2" x14ac:dyDescent="0.3">
      <c r="A437" s="366" t="str">
        <f>IFERROR(VLOOKUP(RIGHT(E437,3)+0,[1]SchLocTable!$A$2:$B$47,2,FALSE)," ")</f>
        <v>Black Rock</v>
      </c>
      <c r="B437" s="366" t="str">
        <f>VLOOKUP(VALUE(D437),$D$3:F$106,3,FALSE)</f>
        <v>Paraprofessionals</v>
      </c>
      <c r="C437" t="s">
        <v>314</v>
      </c>
      <c r="D437">
        <v>803</v>
      </c>
      <c r="E437" t="s">
        <v>393</v>
      </c>
      <c r="F437" t="s">
        <v>320</v>
      </c>
      <c r="G437" t="s">
        <v>319</v>
      </c>
      <c r="H437" s="502">
        <v>52360</v>
      </c>
      <c r="I437" s="415">
        <v>0</v>
      </c>
      <c r="J437" s="415">
        <v>0</v>
      </c>
      <c r="K437" s="415">
        <v>0</v>
      </c>
      <c r="L437" s="415">
        <v>22.55</v>
      </c>
      <c r="M437" s="415">
        <v>0</v>
      </c>
      <c r="N437" s="415">
        <v>0</v>
      </c>
      <c r="O437" s="415">
        <v>0</v>
      </c>
      <c r="P437" s="415">
        <v>0</v>
      </c>
      <c r="Q437" s="481">
        <f t="shared" si="52"/>
        <v>0</v>
      </c>
    </row>
    <row r="438" spans="1:17" outlineLevel="2" x14ac:dyDescent="0.3">
      <c r="A438" s="366" t="str">
        <f>IFERROR(VLOOKUP(RIGHT(E438,3)+0,[1]SchLocTable!$A$2:$B$47,2,FALSE)," ")</f>
        <v>Black Rock</v>
      </c>
      <c r="B438" s="366" t="str">
        <f>VLOOKUP(VALUE(D438),$D$3:F$106,3,FALSE)</f>
        <v>Paraprofessionals</v>
      </c>
      <c r="C438" t="s">
        <v>314</v>
      </c>
      <c r="D438">
        <v>803</v>
      </c>
      <c r="E438" t="s">
        <v>393</v>
      </c>
      <c r="F438" t="s">
        <v>392</v>
      </c>
      <c r="G438" t="s">
        <v>319</v>
      </c>
      <c r="H438" s="502">
        <v>52504</v>
      </c>
      <c r="I438" s="415">
        <v>0</v>
      </c>
      <c r="J438" s="415">
        <v>0</v>
      </c>
      <c r="K438" s="415">
        <v>0</v>
      </c>
      <c r="L438" s="415">
        <v>328.28</v>
      </c>
      <c r="M438" s="415">
        <v>0</v>
      </c>
      <c r="N438" s="415">
        <v>0</v>
      </c>
      <c r="O438" s="415">
        <v>0</v>
      </c>
      <c r="P438" s="415">
        <v>0</v>
      </c>
      <c r="Q438" s="481">
        <f t="shared" si="52"/>
        <v>0</v>
      </c>
    </row>
    <row r="439" spans="1:17" outlineLevel="2" x14ac:dyDescent="0.3">
      <c r="A439" s="366" t="str">
        <f>IFERROR(VLOOKUP(RIGHT(E439,3)+0,[1]SchLocTable!$A$2:$B$47,2,FALSE)," ")</f>
        <v>Bryant</v>
      </c>
      <c r="B439" s="366" t="str">
        <f>VLOOKUP(VALUE(D439),$D$3:F$106,3,FALSE)</f>
        <v>Paraprofessionals</v>
      </c>
      <c r="C439" t="s">
        <v>314</v>
      </c>
      <c r="D439">
        <v>803</v>
      </c>
      <c r="E439" t="s">
        <v>394</v>
      </c>
      <c r="F439" t="s">
        <v>318</v>
      </c>
      <c r="G439" t="s">
        <v>319</v>
      </c>
      <c r="H439" s="502">
        <v>51140</v>
      </c>
      <c r="I439" s="415">
        <v>0</v>
      </c>
      <c r="J439" s="415">
        <v>0</v>
      </c>
      <c r="K439" s="415">
        <v>0</v>
      </c>
      <c r="L439" s="415">
        <v>1540</v>
      </c>
      <c r="M439" s="415">
        <v>0</v>
      </c>
      <c r="N439" s="415">
        <v>0</v>
      </c>
      <c r="O439" s="415">
        <v>0</v>
      </c>
      <c r="P439" s="415">
        <v>0</v>
      </c>
      <c r="Q439" s="481">
        <f t="shared" si="52"/>
        <v>0</v>
      </c>
    </row>
    <row r="440" spans="1:17" outlineLevel="2" x14ac:dyDescent="0.3">
      <c r="A440" s="366" t="str">
        <f>IFERROR(VLOOKUP(RIGHT(E440,3)+0,[1]SchLocTable!$A$2:$B$47,2,FALSE)," ")</f>
        <v>Marin</v>
      </c>
      <c r="B440" s="366" t="str">
        <f>VLOOKUP(VALUE(D440),$D$3:F$106,3,FALSE)</f>
        <v>Paraprofessionals</v>
      </c>
      <c r="C440" t="s">
        <v>314</v>
      </c>
      <c r="D440">
        <v>803</v>
      </c>
      <c r="E440" t="s">
        <v>395</v>
      </c>
      <c r="F440" t="s">
        <v>318</v>
      </c>
      <c r="G440" t="s">
        <v>319</v>
      </c>
      <c r="H440" s="502">
        <v>51140</v>
      </c>
      <c r="I440" s="415">
        <v>0</v>
      </c>
      <c r="J440" s="415">
        <v>0</v>
      </c>
      <c r="K440" s="415">
        <v>0</v>
      </c>
      <c r="L440" s="415">
        <v>2450</v>
      </c>
      <c r="M440" s="415">
        <v>0</v>
      </c>
      <c r="N440" s="415">
        <v>0</v>
      </c>
      <c r="O440" s="415">
        <v>0</v>
      </c>
      <c r="P440" s="415">
        <v>0</v>
      </c>
      <c r="Q440" s="481">
        <f t="shared" si="52"/>
        <v>0</v>
      </c>
    </row>
    <row r="441" spans="1:17" outlineLevel="2" x14ac:dyDescent="0.3">
      <c r="A441" s="366" t="str">
        <f>IFERROR(VLOOKUP(RIGHT(E441,3)+0,[1]SchLocTable!$A$2:$B$47,2,FALSE)," ")</f>
        <v>Marin</v>
      </c>
      <c r="B441" s="366" t="str">
        <f>VLOOKUP(VALUE(D441),$D$3:F$106,3,FALSE)</f>
        <v>Paraprofessionals</v>
      </c>
      <c r="C441" t="s">
        <v>314</v>
      </c>
      <c r="D441">
        <v>803</v>
      </c>
      <c r="E441" t="s">
        <v>395</v>
      </c>
      <c r="F441" t="s">
        <v>320</v>
      </c>
      <c r="G441" t="s">
        <v>319</v>
      </c>
      <c r="H441" s="502">
        <v>52360</v>
      </c>
      <c r="I441" s="415">
        <v>0</v>
      </c>
      <c r="J441" s="415">
        <v>0</v>
      </c>
      <c r="K441" s="415">
        <v>0</v>
      </c>
      <c r="L441" s="415">
        <v>34.67</v>
      </c>
      <c r="M441" s="415">
        <v>0</v>
      </c>
      <c r="N441" s="415">
        <v>0</v>
      </c>
      <c r="O441" s="415">
        <v>0</v>
      </c>
      <c r="P441" s="415">
        <v>0</v>
      </c>
      <c r="Q441" s="481">
        <f t="shared" si="52"/>
        <v>0</v>
      </c>
    </row>
    <row r="442" spans="1:17" outlineLevel="2" x14ac:dyDescent="0.3">
      <c r="A442" s="366" t="str">
        <f>IFERROR(VLOOKUP(RIGHT(E442,3)+0,[1]SchLocTable!$A$2:$B$47,2,FALSE)," ")</f>
        <v>Marin</v>
      </c>
      <c r="B442" s="366" t="str">
        <f>VLOOKUP(VALUE(D442),$D$3:F$106,3,FALSE)</f>
        <v>Paraprofessionals</v>
      </c>
      <c r="C442" t="s">
        <v>314</v>
      </c>
      <c r="D442">
        <v>803</v>
      </c>
      <c r="E442" t="s">
        <v>395</v>
      </c>
      <c r="F442" t="s">
        <v>392</v>
      </c>
      <c r="G442" t="s">
        <v>319</v>
      </c>
      <c r="H442" s="502">
        <v>52504</v>
      </c>
      <c r="I442" s="415">
        <v>0</v>
      </c>
      <c r="J442" s="415">
        <v>0</v>
      </c>
      <c r="K442" s="415">
        <v>0</v>
      </c>
      <c r="L442" s="415">
        <v>499.56</v>
      </c>
      <c r="M442" s="415">
        <v>0</v>
      </c>
      <c r="N442" s="415">
        <v>0</v>
      </c>
      <c r="O442" s="415">
        <v>0</v>
      </c>
      <c r="P442" s="415">
        <v>0</v>
      </c>
      <c r="Q442" s="481">
        <f t="shared" si="52"/>
        <v>0</v>
      </c>
    </row>
    <row r="443" spans="1:17" outlineLevel="1" x14ac:dyDescent="0.3">
      <c r="A443" s="366" t="str">
        <f>IFERROR(VLOOKUP(RIGHT(E443,3)+0,[1]SchLocTable!$A$2:$B$47,2,FALSE)," ")</f>
        <v>Hooker</v>
      </c>
      <c r="B443" s="366" t="str">
        <f>VLOOKUP(VALUE(D443),$D$3:F$106,3,FALSE)</f>
        <v>Paraprofessionals</v>
      </c>
      <c r="C443" t="s">
        <v>314</v>
      </c>
      <c r="D443">
        <v>803</v>
      </c>
      <c r="E443" t="s">
        <v>396</v>
      </c>
      <c r="F443" t="s">
        <v>318</v>
      </c>
      <c r="G443" t="s">
        <v>319</v>
      </c>
      <c r="H443" s="502">
        <v>51140</v>
      </c>
      <c r="I443" s="415">
        <v>0</v>
      </c>
      <c r="J443" s="415">
        <v>0</v>
      </c>
      <c r="K443" s="415">
        <v>0</v>
      </c>
      <c r="L443" s="415">
        <v>980</v>
      </c>
      <c r="M443" s="415">
        <v>0</v>
      </c>
      <c r="N443" s="415">
        <v>0</v>
      </c>
      <c r="O443" s="415">
        <v>0</v>
      </c>
      <c r="P443" s="415">
        <v>0</v>
      </c>
      <c r="Q443" s="481">
        <f t="shared" si="52"/>
        <v>0</v>
      </c>
    </row>
    <row r="444" spans="1:17" outlineLevel="2" x14ac:dyDescent="0.3">
      <c r="A444" s="366" t="str">
        <f>IFERROR(VLOOKUP(RIGHT(E444,3)+0,[1]SchLocTable!$A$2:$B$47,2,FALSE)," ")</f>
        <v>Hooker</v>
      </c>
      <c r="B444" s="366" t="str">
        <f>VLOOKUP(VALUE(D444),$D$3:F$106,3,FALSE)</f>
        <v>Paraprofessionals</v>
      </c>
      <c r="C444" t="s">
        <v>314</v>
      </c>
      <c r="D444">
        <v>803</v>
      </c>
      <c r="E444" t="s">
        <v>396</v>
      </c>
      <c r="F444" t="s">
        <v>320</v>
      </c>
      <c r="G444" t="s">
        <v>319</v>
      </c>
      <c r="H444" s="502">
        <v>52360</v>
      </c>
      <c r="I444" s="415">
        <v>0</v>
      </c>
      <c r="J444" s="415">
        <v>0</v>
      </c>
      <c r="K444" s="415">
        <v>0</v>
      </c>
      <c r="L444" s="415">
        <v>14.21</v>
      </c>
      <c r="M444" s="415">
        <v>0</v>
      </c>
      <c r="N444" s="415">
        <v>0</v>
      </c>
      <c r="O444" s="415">
        <v>0</v>
      </c>
      <c r="P444" s="415">
        <v>0</v>
      </c>
      <c r="Q444" s="481">
        <f t="shared" si="52"/>
        <v>0</v>
      </c>
    </row>
    <row r="445" spans="1:17" outlineLevel="2" x14ac:dyDescent="0.3">
      <c r="A445" s="366" t="str">
        <f>IFERROR(VLOOKUP(RIGHT(E445,3)+0,[1]SchLocTable!$A$2:$B$47,2,FALSE)," ")</f>
        <v>Hooker</v>
      </c>
      <c r="B445" s="366" t="str">
        <f>VLOOKUP(VALUE(D445),$D$3:F$106,3,FALSE)</f>
        <v>Paraprofessionals</v>
      </c>
      <c r="C445" t="s">
        <v>314</v>
      </c>
      <c r="D445">
        <v>803</v>
      </c>
      <c r="E445" t="s">
        <v>396</v>
      </c>
      <c r="F445" t="s">
        <v>392</v>
      </c>
      <c r="G445" t="s">
        <v>319</v>
      </c>
      <c r="H445" s="502">
        <v>52504</v>
      </c>
      <c r="I445" s="415">
        <v>0</v>
      </c>
      <c r="J445" s="415">
        <v>0</v>
      </c>
      <c r="K445" s="415">
        <v>0</v>
      </c>
      <c r="L445" s="415">
        <v>199.82</v>
      </c>
      <c r="M445" s="415">
        <v>0</v>
      </c>
      <c r="N445" s="415">
        <v>0</v>
      </c>
      <c r="O445" s="415">
        <v>0</v>
      </c>
      <c r="P445" s="415">
        <v>0</v>
      </c>
      <c r="Q445" s="481">
        <f t="shared" si="52"/>
        <v>0</v>
      </c>
    </row>
    <row r="446" spans="1:17" outlineLevel="1" x14ac:dyDescent="0.3">
      <c r="A446" s="366" t="str">
        <f>IFERROR(VLOOKUP(RIGHT(E446,3)+0,[1]SchLocTable!$A$2:$B$47,2,FALSE)," ")</f>
        <v>Batalla</v>
      </c>
      <c r="B446" s="366" t="str">
        <f>VLOOKUP(VALUE(D446),$D$3:F$106,3,FALSE)</f>
        <v>Paraprofessionals</v>
      </c>
      <c r="C446" t="s">
        <v>314</v>
      </c>
      <c r="D446">
        <v>803</v>
      </c>
      <c r="E446" t="s">
        <v>397</v>
      </c>
      <c r="F446" t="s">
        <v>318</v>
      </c>
      <c r="G446" t="s">
        <v>319</v>
      </c>
      <c r="H446" s="502">
        <v>51140</v>
      </c>
      <c r="I446" s="415">
        <v>0</v>
      </c>
      <c r="J446" s="415">
        <v>0</v>
      </c>
      <c r="K446" s="415">
        <v>0</v>
      </c>
      <c r="L446" s="415">
        <v>6300</v>
      </c>
      <c r="M446" s="415">
        <v>0</v>
      </c>
      <c r="N446" s="415">
        <v>0</v>
      </c>
      <c r="O446" s="415">
        <v>0</v>
      </c>
      <c r="P446" s="415">
        <v>0</v>
      </c>
      <c r="Q446" s="481">
        <f t="shared" si="52"/>
        <v>0</v>
      </c>
    </row>
    <row r="447" spans="1:17" outlineLevel="2" x14ac:dyDescent="0.3">
      <c r="A447" s="366" t="str">
        <f>IFERROR(VLOOKUP(RIGHT(E447,3)+0,[1]SchLocTable!$A$2:$B$47,2,FALSE)," ")</f>
        <v>Batalla</v>
      </c>
      <c r="B447" s="366" t="str">
        <f>VLOOKUP(VALUE(D447),$D$3:F$106,3,FALSE)</f>
        <v>Paraprofessionals</v>
      </c>
      <c r="C447" t="s">
        <v>314</v>
      </c>
      <c r="D447">
        <v>803</v>
      </c>
      <c r="E447" t="s">
        <v>397</v>
      </c>
      <c r="F447" t="s">
        <v>320</v>
      </c>
      <c r="G447" t="s">
        <v>319</v>
      </c>
      <c r="H447" s="502">
        <v>52360</v>
      </c>
      <c r="I447" s="415">
        <v>0</v>
      </c>
      <c r="J447" s="415">
        <v>0</v>
      </c>
      <c r="K447" s="415">
        <v>0</v>
      </c>
      <c r="L447" s="415">
        <v>91.35</v>
      </c>
      <c r="M447" s="415">
        <v>0</v>
      </c>
      <c r="N447" s="415">
        <v>0</v>
      </c>
      <c r="O447" s="415">
        <v>0</v>
      </c>
      <c r="P447" s="415">
        <v>0</v>
      </c>
      <c r="Q447" s="481">
        <f t="shared" ref="Q447:Q510" si="53">J447-I447</f>
        <v>0</v>
      </c>
    </row>
    <row r="448" spans="1:17" outlineLevel="2" x14ac:dyDescent="0.3">
      <c r="A448" s="366" t="str">
        <f>IFERROR(VLOOKUP(RIGHT(E448,3)+0,[1]SchLocTable!$A$2:$B$47,2,FALSE)," ")</f>
        <v>Batalla</v>
      </c>
      <c r="B448" s="366" t="str">
        <f>VLOOKUP(VALUE(D448),$D$3:F$106,3,FALSE)</f>
        <v>Paraprofessionals</v>
      </c>
      <c r="C448" t="s">
        <v>314</v>
      </c>
      <c r="D448">
        <v>803</v>
      </c>
      <c r="E448" t="s">
        <v>397</v>
      </c>
      <c r="F448" t="s">
        <v>392</v>
      </c>
      <c r="G448" t="s">
        <v>319</v>
      </c>
      <c r="H448" s="502">
        <v>52504</v>
      </c>
      <c r="I448" s="415">
        <v>0</v>
      </c>
      <c r="J448" s="415">
        <v>0</v>
      </c>
      <c r="K448" s="415">
        <v>0</v>
      </c>
      <c r="L448" s="415">
        <v>1284.58</v>
      </c>
      <c r="M448" s="415">
        <v>0</v>
      </c>
      <c r="N448" s="415">
        <v>0</v>
      </c>
      <c r="O448" s="415">
        <v>0</v>
      </c>
      <c r="P448" s="415">
        <v>0</v>
      </c>
      <c r="Q448" s="481">
        <f t="shared" si="53"/>
        <v>0</v>
      </c>
    </row>
    <row r="449" spans="1:17" outlineLevel="2" x14ac:dyDescent="0.3">
      <c r="A449" s="366" t="str">
        <f>IFERROR(VLOOKUP(RIGHT(E449,3)+0,[1]SchLocTable!$A$2:$B$47,2,FALSE)," ")</f>
        <v>Park City Magnet</v>
      </c>
      <c r="B449" s="366" t="str">
        <f>VLOOKUP(VALUE(D449),$D$3:F$106,3,FALSE)</f>
        <v>Paraprofessionals</v>
      </c>
      <c r="C449" t="s">
        <v>314</v>
      </c>
      <c r="D449">
        <v>803</v>
      </c>
      <c r="E449" t="s">
        <v>398</v>
      </c>
      <c r="F449" t="s">
        <v>318</v>
      </c>
      <c r="G449" t="s">
        <v>319</v>
      </c>
      <c r="H449" s="502">
        <v>51140</v>
      </c>
      <c r="I449" s="415">
        <v>0</v>
      </c>
      <c r="J449" s="415">
        <v>0</v>
      </c>
      <c r="K449" s="415">
        <v>0</v>
      </c>
      <c r="L449" s="415">
        <v>1260</v>
      </c>
      <c r="M449" s="415">
        <v>0</v>
      </c>
      <c r="N449" s="415">
        <v>0</v>
      </c>
      <c r="O449" s="415">
        <v>0</v>
      </c>
      <c r="P449" s="415">
        <v>0</v>
      </c>
      <c r="Q449" s="481">
        <f t="shared" si="53"/>
        <v>0</v>
      </c>
    </row>
    <row r="450" spans="1:17" outlineLevel="2" x14ac:dyDescent="0.3">
      <c r="A450" s="366" t="str">
        <f>IFERROR(VLOOKUP(RIGHT(E450,3)+0,[1]SchLocTable!$A$2:$B$47,2,FALSE)," ")</f>
        <v>Park City Magnet</v>
      </c>
      <c r="B450" s="366" t="str">
        <f>VLOOKUP(VALUE(D450),$D$3:F$106,3,FALSE)</f>
        <v>Paraprofessionals</v>
      </c>
      <c r="C450" t="s">
        <v>314</v>
      </c>
      <c r="D450">
        <v>803</v>
      </c>
      <c r="E450" t="s">
        <v>398</v>
      </c>
      <c r="F450" t="s">
        <v>320</v>
      </c>
      <c r="G450" t="s">
        <v>319</v>
      </c>
      <c r="H450" s="502">
        <v>52360</v>
      </c>
      <c r="I450" s="415">
        <v>0</v>
      </c>
      <c r="J450" s="415">
        <v>0</v>
      </c>
      <c r="K450" s="415">
        <v>0</v>
      </c>
      <c r="L450" s="415">
        <v>18.27</v>
      </c>
      <c r="M450" s="415">
        <v>0</v>
      </c>
      <c r="N450" s="415">
        <v>0</v>
      </c>
      <c r="O450" s="415">
        <v>0</v>
      </c>
      <c r="P450" s="415">
        <v>0</v>
      </c>
      <c r="Q450" s="481">
        <f t="shared" si="53"/>
        <v>0</v>
      </c>
    </row>
    <row r="451" spans="1:17" outlineLevel="2" x14ac:dyDescent="0.3">
      <c r="A451" s="366" t="str">
        <f>IFERROR(VLOOKUP(RIGHT(E451,3)+0,[1]SchLocTable!$A$2:$B$47,2,FALSE)," ")</f>
        <v>Park City Magnet</v>
      </c>
      <c r="B451" s="366" t="str">
        <f>VLOOKUP(VALUE(D451),$D$3:F$106,3,FALSE)</f>
        <v>Paraprofessionals</v>
      </c>
      <c r="C451" t="s">
        <v>314</v>
      </c>
      <c r="D451">
        <v>803</v>
      </c>
      <c r="E451" t="s">
        <v>398</v>
      </c>
      <c r="F451" t="s">
        <v>392</v>
      </c>
      <c r="G451" t="s">
        <v>319</v>
      </c>
      <c r="H451" s="502">
        <v>52504</v>
      </c>
      <c r="I451" s="415">
        <v>0</v>
      </c>
      <c r="J451" s="415">
        <v>0</v>
      </c>
      <c r="K451" s="415">
        <v>0</v>
      </c>
      <c r="L451" s="415">
        <v>256.92</v>
      </c>
      <c r="M451" s="415">
        <v>0</v>
      </c>
      <c r="N451" s="415">
        <v>0</v>
      </c>
      <c r="O451" s="415">
        <v>0</v>
      </c>
      <c r="P451" s="415">
        <v>0</v>
      </c>
      <c r="Q451" s="481">
        <f t="shared" si="53"/>
        <v>0</v>
      </c>
    </row>
    <row r="452" spans="1:17" outlineLevel="2" x14ac:dyDescent="0.3">
      <c r="A452" s="366" t="str">
        <f>IFERROR(VLOOKUP(RIGHT(E452,3)+0,[1]SchLocTable!$A$2:$B$47,2,FALSE)," ")</f>
        <v>Madison</v>
      </c>
      <c r="B452" s="366" t="str">
        <f>VLOOKUP(VALUE(D452),$D$3:F$106,3,FALSE)</f>
        <v>Paraprofessionals</v>
      </c>
      <c r="C452" t="s">
        <v>314</v>
      </c>
      <c r="D452">
        <v>803</v>
      </c>
      <c r="E452" t="s">
        <v>399</v>
      </c>
      <c r="F452" t="s">
        <v>316</v>
      </c>
      <c r="G452">
        <v>1</v>
      </c>
      <c r="H452" s="502">
        <v>51000</v>
      </c>
      <c r="I452" s="415">
        <v>39426.458526000002</v>
      </c>
      <c r="J452" s="415">
        <v>0</v>
      </c>
      <c r="K452" s="415">
        <v>0</v>
      </c>
      <c r="L452" s="415">
        <v>0</v>
      </c>
      <c r="M452" s="415">
        <v>0</v>
      </c>
      <c r="N452" s="415">
        <v>0</v>
      </c>
      <c r="O452" s="415">
        <v>0</v>
      </c>
      <c r="P452" s="415">
        <v>0</v>
      </c>
      <c r="Q452" s="481">
        <f t="shared" si="53"/>
        <v>-39426.458526000002</v>
      </c>
    </row>
    <row r="453" spans="1:17" outlineLevel="2" x14ac:dyDescent="0.3">
      <c r="A453" s="366" t="str">
        <f>IFERROR(VLOOKUP(RIGHT(E453,3)+0,[1]SchLocTable!$A$2:$B$47,2,FALSE)," ")</f>
        <v>Madison</v>
      </c>
      <c r="B453" s="366" t="str">
        <f>VLOOKUP(VALUE(D453),$D$3:F$106,3,FALSE)</f>
        <v>Paraprofessionals</v>
      </c>
      <c r="C453" t="s">
        <v>314</v>
      </c>
      <c r="D453">
        <v>803</v>
      </c>
      <c r="E453" t="s">
        <v>399</v>
      </c>
      <c r="F453" t="s">
        <v>321</v>
      </c>
      <c r="G453" t="s">
        <v>319</v>
      </c>
      <c r="H453" s="502">
        <v>52917</v>
      </c>
      <c r="I453" s="415">
        <v>15360.407999999999</v>
      </c>
      <c r="J453" s="415">
        <v>0</v>
      </c>
      <c r="K453" s="415">
        <v>0</v>
      </c>
      <c r="L453" s="415">
        <v>0</v>
      </c>
      <c r="M453" s="415">
        <v>0</v>
      </c>
      <c r="N453" s="415">
        <v>0</v>
      </c>
      <c r="O453" s="415">
        <v>0</v>
      </c>
      <c r="P453" s="415">
        <v>0</v>
      </c>
      <c r="Q453" s="481">
        <f t="shared" si="53"/>
        <v>-15360.407999999999</v>
      </c>
    </row>
    <row r="454" spans="1:17" outlineLevel="2" x14ac:dyDescent="0.3">
      <c r="A454" s="366" t="str">
        <f>IFERROR(VLOOKUP(RIGHT(E454,3)+0,[1]SchLocTable!$A$2:$B$47,2,FALSE)," ")</f>
        <v>Madison</v>
      </c>
      <c r="B454" s="366" t="str">
        <f>VLOOKUP(VALUE(D454),$D$3:F$106,3,FALSE)</f>
        <v>Paraprofessionals</v>
      </c>
      <c r="C454" t="s">
        <v>314</v>
      </c>
      <c r="D454">
        <v>803</v>
      </c>
      <c r="E454" t="s">
        <v>399</v>
      </c>
      <c r="F454" t="s">
        <v>318</v>
      </c>
      <c r="G454" t="s">
        <v>319</v>
      </c>
      <c r="H454" s="502">
        <v>51140</v>
      </c>
      <c r="I454" s="415">
        <v>0</v>
      </c>
      <c r="J454" s="415">
        <v>0</v>
      </c>
      <c r="K454" s="415">
        <v>0</v>
      </c>
      <c r="L454" s="415">
        <v>1800</v>
      </c>
      <c r="M454" s="415">
        <v>0</v>
      </c>
      <c r="N454" s="415">
        <v>0</v>
      </c>
      <c r="O454" s="415">
        <v>0</v>
      </c>
      <c r="P454" s="415">
        <v>0</v>
      </c>
      <c r="Q454" s="481">
        <f t="shared" si="53"/>
        <v>0</v>
      </c>
    </row>
    <row r="455" spans="1:17" outlineLevel="2" x14ac:dyDescent="0.3">
      <c r="A455" s="366" t="str">
        <f>IFERROR(VLOOKUP(RIGHT(E455,3)+0,[1]SchLocTable!$A$2:$B$47,2,FALSE)," ")</f>
        <v>Madison</v>
      </c>
      <c r="B455" s="366" t="str">
        <f>VLOOKUP(VALUE(D455),$D$3:F$106,3,FALSE)</f>
        <v>Paraprofessionals</v>
      </c>
      <c r="C455" t="s">
        <v>314</v>
      </c>
      <c r="D455">
        <v>803</v>
      </c>
      <c r="E455" t="s">
        <v>399</v>
      </c>
      <c r="F455" t="s">
        <v>392</v>
      </c>
      <c r="G455" t="s">
        <v>319</v>
      </c>
      <c r="H455" s="502">
        <v>52504</v>
      </c>
      <c r="I455" s="415">
        <v>8192.8180817028006</v>
      </c>
      <c r="J455" s="415">
        <v>0</v>
      </c>
      <c r="K455" s="415">
        <v>0</v>
      </c>
      <c r="L455" s="415">
        <v>367.02</v>
      </c>
      <c r="M455" s="415">
        <v>0</v>
      </c>
      <c r="N455" s="415">
        <v>0</v>
      </c>
      <c r="O455" s="415">
        <v>0</v>
      </c>
      <c r="P455" s="415">
        <v>0</v>
      </c>
      <c r="Q455" s="481">
        <f t="shared" si="53"/>
        <v>-8192.8180817028006</v>
      </c>
    </row>
    <row r="456" spans="1:17" outlineLevel="2" x14ac:dyDescent="0.3">
      <c r="A456" s="366" t="str">
        <f>IFERROR(VLOOKUP(RIGHT(E456,3)+0,[1]SchLocTable!$A$2:$B$47,2,FALSE)," ")</f>
        <v>Tisdale</v>
      </c>
      <c r="B456" s="366" t="str">
        <f>VLOOKUP(VALUE(D456),$D$3:F$106,3,FALSE)</f>
        <v>Paraprofessionals</v>
      </c>
      <c r="C456" t="s">
        <v>314</v>
      </c>
      <c r="D456">
        <v>803</v>
      </c>
      <c r="E456" t="s">
        <v>400</v>
      </c>
      <c r="F456" t="s">
        <v>318</v>
      </c>
      <c r="G456" t="s">
        <v>319</v>
      </c>
      <c r="H456" s="502">
        <v>51140</v>
      </c>
      <c r="I456" s="415">
        <v>0</v>
      </c>
      <c r="J456" s="415">
        <v>0</v>
      </c>
      <c r="K456" s="415">
        <v>0</v>
      </c>
      <c r="L456" s="415">
        <v>1800</v>
      </c>
      <c r="M456" s="415">
        <v>0</v>
      </c>
      <c r="N456" s="415">
        <v>0</v>
      </c>
      <c r="O456" s="415">
        <v>0</v>
      </c>
      <c r="P456" s="415">
        <v>0</v>
      </c>
      <c r="Q456" s="481">
        <f t="shared" si="53"/>
        <v>0</v>
      </c>
    </row>
    <row r="457" spans="1:17" outlineLevel="2" x14ac:dyDescent="0.3">
      <c r="A457" s="366" t="str">
        <f>IFERROR(VLOOKUP(RIGHT(E457,3)+0,[1]SchLocTable!$A$2:$B$47,2,FALSE)," ")</f>
        <v>Tisdale</v>
      </c>
      <c r="B457" s="366" t="str">
        <f>VLOOKUP(VALUE(D457),$D$3:F$106,3,FALSE)</f>
        <v>Paraprofessionals</v>
      </c>
      <c r="C457" t="s">
        <v>314</v>
      </c>
      <c r="D457">
        <v>803</v>
      </c>
      <c r="E457" t="s">
        <v>400</v>
      </c>
      <c r="F457" t="s">
        <v>320</v>
      </c>
      <c r="G457" t="s">
        <v>319</v>
      </c>
      <c r="H457" s="502">
        <v>52360</v>
      </c>
      <c r="I457" s="415">
        <v>0</v>
      </c>
      <c r="J457" s="415">
        <v>0</v>
      </c>
      <c r="K457" s="415">
        <v>0</v>
      </c>
      <c r="L457" s="415">
        <v>26.1</v>
      </c>
      <c r="M457" s="415">
        <v>0</v>
      </c>
      <c r="N457" s="415">
        <v>0</v>
      </c>
      <c r="O457" s="415">
        <v>0</v>
      </c>
      <c r="P457" s="415">
        <v>0</v>
      </c>
      <c r="Q457" s="481">
        <f t="shared" si="53"/>
        <v>0</v>
      </c>
    </row>
    <row r="458" spans="1:17" outlineLevel="2" x14ac:dyDescent="0.3">
      <c r="A458" s="366" t="str">
        <f>IFERROR(VLOOKUP(RIGHT(E458,3)+0,[1]SchLocTable!$A$2:$B$47,2,FALSE)," ")</f>
        <v>Tisdale</v>
      </c>
      <c r="B458" s="366" t="str">
        <f>VLOOKUP(VALUE(D458),$D$3:F$106,3,FALSE)</f>
        <v>Paraprofessionals</v>
      </c>
      <c r="C458" t="s">
        <v>314</v>
      </c>
      <c r="D458">
        <v>803</v>
      </c>
      <c r="E458" t="s">
        <v>400</v>
      </c>
      <c r="F458" t="s">
        <v>392</v>
      </c>
      <c r="G458" t="s">
        <v>319</v>
      </c>
      <c r="H458" s="502">
        <v>52504</v>
      </c>
      <c r="I458" s="415">
        <v>0</v>
      </c>
      <c r="J458" s="415">
        <v>0</v>
      </c>
      <c r="K458" s="415">
        <v>0</v>
      </c>
      <c r="L458" s="415">
        <v>367.02</v>
      </c>
      <c r="M458" s="415">
        <v>0</v>
      </c>
      <c r="N458" s="415">
        <v>0</v>
      </c>
      <c r="O458" s="415">
        <v>0</v>
      </c>
      <c r="P458" s="415">
        <v>0</v>
      </c>
      <c r="Q458" s="481">
        <f t="shared" si="53"/>
        <v>0</v>
      </c>
    </row>
    <row r="459" spans="1:17" outlineLevel="2" x14ac:dyDescent="0.3">
      <c r="A459" s="366" t="str">
        <f>IFERROR(VLOOKUP(RIGHT(E459,3)+0,[1]SchLocTable!$A$2:$B$47,2,FALSE)," ")</f>
        <v>Read</v>
      </c>
      <c r="B459" s="366" t="str">
        <f>VLOOKUP(VALUE(D459),$D$3:F$106,3,FALSE)</f>
        <v>Paraprofessionals</v>
      </c>
      <c r="C459" t="s">
        <v>314</v>
      </c>
      <c r="D459">
        <v>803</v>
      </c>
      <c r="E459" t="s">
        <v>401</v>
      </c>
      <c r="F459" t="s">
        <v>318</v>
      </c>
      <c r="G459" t="s">
        <v>319</v>
      </c>
      <c r="H459" s="502">
        <v>51140</v>
      </c>
      <c r="I459" s="415">
        <v>0</v>
      </c>
      <c r="J459" s="415">
        <v>0</v>
      </c>
      <c r="K459" s="415">
        <v>0</v>
      </c>
      <c r="L459" s="415">
        <v>980</v>
      </c>
      <c r="M459" s="415">
        <v>0</v>
      </c>
      <c r="N459" s="415">
        <v>0</v>
      </c>
      <c r="O459" s="415">
        <v>0</v>
      </c>
      <c r="P459" s="415">
        <v>0</v>
      </c>
      <c r="Q459" s="481">
        <f t="shared" si="53"/>
        <v>0</v>
      </c>
    </row>
    <row r="460" spans="1:17" outlineLevel="2" x14ac:dyDescent="0.3">
      <c r="A460" s="366" t="str">
        <f>IFERROR(VLOOKUP(RIGHT(E460,3)+0,[1]SchLocTable!$A$2:$B$47,2,FALSE)," ")</f>
        <v>Read</v>
      </c>
      <c r="B460" s="366" t="str">
        <f>VLOOKUP(VALUE(D460),$D$3:F$106,3,FALSE)</f>
        <v>Paraprofessionals</v>
      </c>
      <c r="C460" t="s">
        <v>314</v>
      </c>
      <c r="D460">
        <v>803</v>
      </c>
      <c r="E460" t="s">
        <v>401</v>
      </c>
      <c r="F460" t="s">
        <v>320</v>
      </c>
      <c r="G460" t="s">
        <v>319</v>
      </c>
      <c r="H460" s="502">
        <v>52360</v>
      </c>
      <c r="I460" s="415">
        <v>0</v>
      </c>
      <c r="J460" s="415">
        <v>0</v>
      </c>
      <c r="K460" s="415">
        <v>0</v>
      </c>
      <c r="L460" s="415">
        <v>13.71</v>
      </c>
      <c r="M460" s="415">
        <v>0</v>
      </c>
      <c r="N460" s="415">
        <v>0</v>
      </c>
      <c r="O460" s="415">
        <v>0</v>
      </c>
      <c r="P460" s="415">
        <v>0</v>
      </c>
      <c r="Q460" s="481">
        <f t="shared" si="53"/>
        <v>0</v>
      </c>
    </row>
    <row r="461" spans="1:17" outlineLevel="2" x14ac:dyDescent="0.3">
      <c r="A461" s="366" t="str">
        <f>IFERROR(VLOOKUP(RIGHT(E461,3)+0,[1]SchLocTable!$A$2:$B$47,2,FALSE)," ")</f>
        <v>Read</v>
      </c>
      <c r="B461" s="366" t="str">
        <f>VLOOKUP(VALUE(D461),$D$3:F$106,3,FALSE)</f>
        <v>Paraprofessionals</v>
      </c>
      <c r="C461" t="s">
        <v>314</v>
      </c>
      <c r="D461">
        <v>803</v>
      </c>
      <c r="E461" t="s">
        <v>401</v>
      </c>
      <c r="F461" t="s">
        <v>392</v>
      </c>
      <c r="G461" t="s">
        <v>319</v>
      </c>
      <c r="H461" s="502">
        <v>52504</v>
      </c>
      <c r="I461" s="415">
        <v>0</v>
      </c>
      <c r="J461" s="415">
        <v>0</v>
      </c>
      <c r="K461" s="415">
        <v>0</v>
      </c>
      <c r="L461" s="415">
        <v>199.82</v>
      </c>
      <c r="M461" s="415">
        <v>0</v>
      </c>
      <c r="N461" s="415">
        <v>0</v>
      </c>
      <c r="O461" s="415">
        <v>0</v>
      </c>
      <c r="P461" s="415">
        <v>0</v>
      </c>
      <c r="Q461" s="481">
        <f t="shared" si="53"/>
        <v>0</v>
      </c>
    </row>
    <row r="462" spans="1:17" outlineLevel="2" x14ac:dyDescent="0.3">
      <c r="A462" s="366" t="str">
        <f>IFERROR(VLOOKUP(RIGHT(E462,3)+0,[1]SchLocTable!$A$2:$B$47,2,FALSE)," ")</f>
        <v>Roosevelt</v>
      </c>
      <c r="B462" s="366" t="str">
        <f>VLOOKUP(VALUE(D462),$D$3:F$106,3,FALSE)</f>
        <v>Paraprofessionals</v>
      </c>
      <c r="C462" t="s">
        <v>314</v>
      </c>
      <c r="D462">
        <v>803</v>
      </c>
      <c r="E462" t="s">
        <v>402</v>
      </c>
      <c r="F462" t="s">
        <v>318</v>
      </c>
      <c r="G462" t="s">
        <v>319</v>
      </c>
      <c r="H462" s="502">
        <v>51140</v>
      </c>
      <c r="I462" s="415">
        <v>0</v>
      </c>
      <c r="J462" s="415">
        <v>0</v>
      </c>
      <c r="K462" s="415">
        <v>0</v>
      </c>
      <c r="L462" s="415">
        <v>2230</v>
      </c>
      <c r="M462" s="415">
        <v>0</v>
      </c>
      <c r="N462" s="415">
        <v>0</v>
      </c>
      <c r="O462" s="415">
        <v>0</v>
      </c>
      <c r="P462" s="415">
        <v>0</v>
      </c>
      <c r="Q462" s="481">
        <f t="shared" si="53"/>
        <v>0</v>
      </c>
    </row>
    <row r="463" spans="1:17" outlineLevel="2" x14ac:dyDescent="0.3">
      <c r="A463" s="366" t="str">
        <f>IFERROR(VLOOKUP(RIGHT(E463,3)+0,[1]SchLocTable!$A$2:$B$47,2,FALSE)," ")</f>
        <v>Roosevelt</v>
      </c>
      <c r="B463" s="366" t="str">
        <f>VLOOKUP(VALUE(D463),$D$3:F$106,3,FALSE)</f>
        <v>Paraprofessionals</v>
      </c>
      <c r="C463" t="s">
        <v>314</v>
      </c>
      <c r="D463">
        <v>803</v>
      </c>
      <c r="E463" t="s">
        <v>402</v>
      </c>
      <c r="F463" t="s">
        <v>320</v>
      </c>
      <c r="G463" t="s">
        <v>319</v>
      </c>
      <c r="H463" s="502">
        <v>52360</v>
      </c>
      <c r="I463" s="415">
        <v>0</v>
      </c>
      <c r="J463" s="415">
        <v>0</v>
      </c>
      <c r="K463" s="415">
        <v>0</v>
      </c>
      <c r="L463" s="415">
        <v>32.340000000000003</v>
      </c>
      <c r="M463" s="415">
        <v>0</v>
      </c>
      <c r="N463" s="415">
        <v>0</v>
      </c>
      <c r="O463" s="415">
        <v>0</v>
      </c>
      <c r="P463" s="415">
        <v>0</v>
      </c>
      <c r="Q463" s="481">
        <f t="shared" si="53"/>
        <v>0</v>
      </c>
    </row>
    <row r="464" spans="1:17" outlineLevel="2" x14ac:dyDescent="0.3">
      <c r="A464" s="366" t="str">
        <f>IFERROR(VLOOKUP(RIGHT(E464,3)+0,[1]SchLocTable!$A$2:$B$47,2,FALSE)," ")</f>
        <v>Roosevelt</v>
      </c>
      <c r="B464" s="366" t="str">
        <f>VLOOKUP(VALUE(D464),$D$3:F$106,3,FALSE)</f>
        <v>Paraprofessionals</v>
      </c>
      <c r="C464" t="s">
        <v>314</v>
      </c>
      <c r="D464">
        <v>803</v>
      </c>
      <c r="E464" t="s">
        <v>402</v>
      </c>
      <c r="F464" t="s">
        <v>392</v>
      </c>
      <c r="G464" t="s">
        <v>319</v>
      </c>
      <c r="H464" s="502">
        <v>52504</v>
      </c>
      <c r="I464" s="415">
        <v>0</v>
      </c>
      <c r="J464" s="415">
        <v>0</v>
      </c>
      <c r="K464" s="415">
        <v>0</v>
      </c>
      <c r="L464" s="415">
        <v>454.7</v>
      </c>
      <c r="M464" s="415">
        <v>0</v>
      </c>
      <c r="N464" s="415">
        <v>0</v>
      </c>
      <c r="O464" s="415">
        <v>0</v>
      </c>
      <c r="P464" s="415">
        <v>0</v>
      </c>
      <c r="Q464" s="481">
        <f t="shared" si="53"/>
        <v>0</v>
      </c>
    </row>
    <row r="465" spans="1:17" outlineLevel="2" x14ac:dyDescent="0.3">
      <c r="A465" s="366" t="str">
        <f>IFERROR(VLOOKUP(RIGHT(E465,3)+0,[1]SchLocTable!$A$2:$B$47,2,FALSE)," ")</f>
        <v>Waltersville</v>
      </c>
      <c r="B465" s="366" t="str">
        <f>VLOOKUP(VALUE(D465),$D$3:F$106,3,FALSE)</f>
        <v>Paraprofessionals</v>
      </c>
      <c r="C465" t="s">
        <v>314</v>
      </c>
      <c r="D465">
        <v>803</v>
      </c>
      <c r="E465" t="s">
        <v>403</v>
      </c>
      <c r="F465" t="s">
        <v>318</v>
      </c>
      <c r="G465" t="s">
        <v>319</v>
      </c>
      <c r="H465" s="502">
        <v>51140</v>
      </c>
      <c r="I465" s="415">
        <v>0</v>
      </c>
      <c r="J465" s="415">
        <v>0</v>
      </c>
      <c r="K465" s="415">
        <v>0</v>
      </c>
      <c r="L465" s="415">
        <v>1120</v>
      </c>
      <c r="M465" s="415">
        <v>0</v>
      </c>
      <c r="N465" s="415">
        <v>0</v>
      </c>
      <c r="O465" s="415">
        <v>0</v>
      </c>
      <c r="P465" s="415">
        <v>0</v>
      </c>
      <c r="Q465" s="481">
        <f t="shared" si="53"/>
        <v>0</v>
      </c>
    </row>
    <row r="466" spans="1:17" outlineLevel="2" x14ac:dyDescent="0.3">
      <c r="A466" s="366" t="str">
        <f>IFERROR(VLOOKUP(RIGHT(E466,3)+0,[1]SchLocTable!$A$2:$B$47,2,FALSE)," ")</f>
        <v>Waltersville</v>
      </c>
      <c r="B466" s="366" t="str">
        <f>VLOOKUP(VALUE(D466),$D$3:F$106,3,FALSE)</f>
        <v>Paraprofessionals</v>
      </c>
      <c r="C466" t="s">
        <v>314</v>
      </c>
      <c r="D466">
        <v>803</v>
      </c>
      <c r="E466" t="s">
        <v>403</v>
      </c>
      <c r="F466" t="s">
        <v>320</v>
      </c>
      <c r="G466" t="s">
        <v>319</v>
      </c>
      <c r="H466" s="502">
        <v>52360</v>
      </c>
      <c r="I466" s="415">
        <v>0</v>
      </c>
      <c r="J466" s="415">
        <v>0</v>
      </c>
      <c r="K466" s="415">
        <v>0</v>
      </c>
      <c r="L466" s="415">
        <v>16.239999999999998</v>
      </c>
      <c r="M466" s="415">
        <v>0</v>
      </c>
      <c r="N466" s="415">
        <v>0</v>
      </c>
      <c r="O466" s="415">
        <v>0</v>
      </c>
      <c r="P466" s="415">
        <v>0</v>
      </c>
      <c r="Q466" s="481">
        <f t="shared" si="53"/>
        <v>0</v>
      </c>
    </row>
    <row r="467" spans="1:17" outlineLevel="2" x14ac:dyDescent="0.3">
      <c r="A467" s="366" t="str">
        <f>IFERROR(VLOOKUP(RIGHT(E467,3)+0,[1]SchLocTable!$A$2:$B$47,2,FALSE)," ")</f>
        <v>Waltersville</v>
      </c>
      <c r="B467" s="366" t="str">
        <f>VLOOKUP(VALUE(D467),$D$3:F$106,3,FALSE)</f>
        <v>Paraprofessionals</v>
      </c>
      <c r="C467" t="s">
        <v>314</v>
      </c>
      <c r="D467">
        <v>803</v>
      </c>
      <c r="E467" t="s">
        <v>403</v>
      </c>
      <c r="F467" t="s">
        <v>392</v>
      </c>
      <c r="G467" t="s">
        <v>319</v>
      </c>
      <c r="H467" s="502">
        <v>52504</v>
      </c>
      <c r="I467" s="415">
        <v>0</v>
      </c>
      <c r="J467" s="415">
        <v>0</v>
      </c>
      <c r="K467" s="415">
        <v>0</v>
      </c>
      <c r="L467" s="415">
        <v>228.37</v>
      </c>
      <c r="M467" s="415">
        <v>0</v>
      </c>
      <c r="N467" s="415">
        <v>0</v>
      </c>
      <c r="O467" s="415">
        <v>0</v>
      </c>
      <c r="P467" s="415">
        <v>0</v>
      </c>
      <c r="Q467" s="481">
        <f t="shared" si="53"/>
        <v>0</v>
      </c>
    </row>
    <row r="468" spans="1:17" outlineLevel="2" x14ac:dyDescent="0.3">
      <c r="A468" s="366" t="str">
        <f>IFERROR(VLOOKUP(RIGHT(E468,3)+0,[1]SchLocTable!$A$2:$B$47,2,FALSE)," ")</f>
        <v>Claytor</v>
      </c>
      <c r="B468" s="366" t="str">
        <f>VLOOKUP(VALUE(D468),$D$3:F$106,3,FALSE)</f>
        <v>Paraprofessionals</v>
      </c>
      <c r="C468" t="s">
        <v>314</v>
      </c>
      <c r="D468">
        <v>803</v>
      </c>
      <c r="E468" t="s">
        <v>1322</v>
      </c>
      <c r="F468" t="s">
        <v>316</v>
      </c>
      <c r="G468" t="s">
        <v>319</v>
      </c>
      <c r="H468" s="502">
        <v>51000</v>
      </c>
      <c r="I468" s="415">
        <v>80000</v>
      </c>
      <c r="J468" s="415">
        <v>0</v>
      </c>
      <c r="K468" s="415"/>
      <c r="L468" s="415">
        <v>0</v>
      </c>
      <c r="M468" s="415">
        <v>0</v>
      </c>
      <c r="N468" s="415">
        <v>0</v>
      </c>
      <c r="O468" s="415">
        <v>0</v>
      </c>
      <c r="P468" s="415">
        <v>0</v>
      </c>
      <c r="Q468" s="481">
        <f t="shared" si="53"/>
        <v>-80000</v>
      </c>
    </row>
    <row r="469" spans="1:17" outlineLevel="2" x14ac:dyDescent="0.3">
      <c r="A469" s="366" t="str">
        <f>IFERROR(VLOOKUP(RIGHT(E469,3)+0,[1]SchLocTable!$A$2:$B$47,2,FALSE)," ")</f>
        <v>Claytor</v>
      </c>
      <c r="B469" s="366" t="str">
        <f>VLOOKUP(VALUE(D469),$D$3:F$106,3,FALSE)</f>
        <v>Paraprofessionals</v>
      </c>
      <c r="C469" t="s">
        <v>314</v>
      </c>
      <c r="D469">
        <v>803</v>
      </c>
      <c r="E469" t="s">
        <v>1322</v>
      </c>
      <c r="F469" t="s">
        <v>321</v>
      </c>
      <c r="G469" t="s">
        <v>319</v>
      </c>
      <c r="H469" s="502">
        <v>52917</v>
      </c>
      <c r="I469" s="415">
        <v>32400</v>
      </c>
      <c r="J469" s="415">
        <v>0</v>
      </c>
      <c r="K469" s="415"/>
      <c r="L469" s="415">
        <v>0</v>
      </c>
      <c r="M469" s="415">
        <v>0</v>
      </c>
      <c r="N469" s="415">
        <v>0</v>
      </c>
      <c r="O469" s="415">
        <v>0</v>
      </c>
      <c r="P469" s="415">
        <v>0</v>
      </c>
      <c r="Q469" s="481">
        <f t="shared" si="53"/>
        <v>-32400</v>
      </c>
    </row>
    <row r="470" spans="1:17" outlineLevel="2" x14ac:dyDescent="0.3">
      <c r="A470" s="366" t="str">
        <f>IFERROR(VLOOKUP(RIGHT(E470,3)+0,[1]SchLocTable!$A$2:$B$47,2,FALSE)," ")</f>
        <v>Claytor</v>
      </c>
      <c r="B470" s="366" t="str">
        <f>VLOOKUP(VALUE(D470),$D$3:F$106,3,FALSE)</f>
        <v>Paraprofessionals</v>
      </c>
      <c r="C470" t="s">
        <v>314</v>
      </c>
      <c r="D470">
        <v>803</v>
      </c>
      <c r="E470" t="s">
        <v>1322</v>
      </c>
      <c r="F470" t="s">
        <v>320</v>
      </c>
      <c r="G470" t="s">
        <v>319</v>
      </c>
      <c r="H470" s="502">
        <v>52360</v>
      </c>
      <c r="I470" s="415">
        <v>1160</v>
      </c>
      <c r="J470" s="415">
        <v>0</v>
      </c>
      <c r="K470" s="415"/>
      <c r="L470" s="415">
        <v>0</v>
      </c>
      <c r="M470" s="415">
        <v>0</v>
      </c>
      <c r="N470" s="415">
        <v>0</v>
      </c>
      <c r="O470" s="415">
        <v>0</v>
      </c>
      <c r="P470" s="415">
        <v>0</v>
      </c>
      <c r="Q470" s="481">
        <f t="shared" si="53"/>
        <v>-1160</v>
      </c>
    </row>
    <row r="471" spans="1:17" outlineLevel="2" x14ac:dyDescent="0.3">
      <c r="A471" s="366" t="str">
        <f>IFERROR(VLOOKUP(RIGHT(E471,3)+0,[1]SchLocTable!$A$2:$B$47,2,FALSE)," ")</f>
        <v>Claytor</v>
      </c>
      <c r="B471" s="366" t="str">
        <f>VLOOKUP(VALUE(D471),$D$3:F$106,3,FALSE)</f>
        <v>Paraprofessionals</v>
      </c>
      <c r="C471" t="s">
        <v>314</v>
      </c>
      <c r="D471">
        <v>803</v>
      </c>
      <c r="E471" t="s">
        <v>1322</v>
      </c>
      <c r="F471" t="s">
        <v>392</v>
      </c>
      <c r="G471" t="s">
        <v>319</v>
      </c>
      <c r="H471" s="502">
        <v>52504</v>
      </c>
      <c r="I471" s="415">
        <v>16592</v>
      </c>
      <c r="J471" s="415">
        <v>0</v>
      </c>
      <c r="K471" s="415"/>
      <c r="L471" s="415">
        <v>0</v>
      </c>
      <c r="M471" s="415">
        <v>0</v>
      </c>
      <c r="N471" s="415">
        <v>0</v>
      </c>
      <c r="O471" s="415">
        <v>0</v>
      </c>
      <c r="P471" s="415">
        <v>0</v>
      </c>
      <c r="Q471" s="481">
        <f t="shared" si="53"/>
        <v>-16592</v>
      </c>
    </row>
    <row r="472" spans="1:17" outlineLevel="2" x14ac:dyDescent="0.3">
      <c r="A472" s="366" t="str">
        <f>IFERROR(VLOOKUP(RIGHT(E472,3)+0,[1]SchLocTable!$A$2:$B$47,2,FALSE)," ")</f>
        <v>Johnson</v>
      </c>
      <c r="B472" s="366" t="str">
        <f>VLOOKUP(VALUE(D472),$D$3:F$106,3,FALSE)</f>
        <v>Paraprofessionals</v>
      </c>
      <c r="C472" t="s">
        <v>314</v>
      </c>
      <c r="D472">
        <v>803</v>
      </c>
      <c r="E472" t="s">
        <v>404</v>
      </c>
      <c r="F472" t="s">
        <v>316</v>
      </c>
      <c r="G472" t="s">
        <v>319</v>
      </c>
      <c r="H472" s="502">
        <v>51000</v>
      </c>
      <c r="I472" s="415">
        <v>0</v>
      </c>
      <c r="J472" s="415">
        <v>0</v>
      </c>
      <c r="K472" s="415">
        <v>0</v>
      </c>
      <c r="L472" s="415">
        <v>0</v>
      </c>
      <c r="M472" s="415">
        <v>0</v>
      </c>
      <c r="N472" s="415">
        <v>0</v>
      </c>
      <c r="O472" s="415">
        <v>0</v>
      </c>
      <c r="P472" s="415">
        <v>0</v>
      </c>
      <c r="Q472" s="481">
        <f t="shared" si="53"/>
        <v>0</v>
      </c>
    </row>
    <row r="473" spans="1:17" outlineLevel="2" x14ac:dyDescent="0.3">
      <c r="A473" s="366" t="str">
        <f>IFERROR(VLOOKUP(RIGHT(E473,3)+0,[1]SchLocTable!$A$2:$B$47,2,FALSE)," ")</f>
        <v>Johnson</v>
      </c>
      <c r="B473" s="366" t="str">
        <f>VLOOKUP(VALUE(D473),$D$3:F$106,3,FALSE)</f>
        <v>Paraprofessionals</v>
      </c>
      <c r="C473" t="s">
        <v>314</v>
      </c>
      <c r="D473">
        <v>803</v>
      </c>
      <c r="E473" t="s">
        <v>404</v>
      </c>
      <c r="F473" t="s">
        <v>321</v>
      </c>
      <c r="G473" t="s">
        <v>319</v>
      </c>
      <c r="H473" s="502">
        <v>52917</v>
      </c>
      <c r="I473" s="415">
        <v>0</v>
      </c>
      <c r="J473" s="415">
        <v>0</v>
      </c>
      <c r="K473" s="415">
        <v>0</v>
      </c>
      <c r="L473" s="415">
        <v>0</v>
      </c>
      <c r="M473" s="415">
        <v>0</v>
      </c>
      <c r="N473" s="415">
        <v>0</v>
      </c>
      <c r="O473" s="415">
        <v>0</v>
      </c>
      <c r="P473" s="415">
        <v>0</v>
      </c>
      <c r="Q473" s="481">
        <f t="shared" si="53"/>
        <v>0</v>
      </c>
    </row>
    <row r="474" spans="1:17" outlineLevel="2" x14ac:dyDescent="0.3">
      <c r="A474" s="366" t="str">
        <f>IFERROR(VLOOKUP(RIGHT(E474,3)+0,[1]SchLocTable!$A$2:$B$47,2,FALSE)," ")</f>
        <v>Johnson</v>
      </c>
      <c r="B474" s="366" t="str">
        <f>VLOOKUP(VALUE(D474),$D$3:F$106,3,FALSE)</f>
        <v>Paraprofessionals</v>
      </c>
      <c r="C474" t="s">
        <v>314</v>
      </c>
      <c r="D474">
        <v>803</v>
      </c>
      <c r="E474" t="s">
        <v>404</v>
      </c>
      <c r="F474" t="s">
        <v>318</v>
      </c>
      <c r="G474" t="s">
        <v>319</v>
      </c>
      <c r="H474" s="502">
        <v>51140</v>
      </c>
      <c r="I474" s="415">
        <v>0</v>
      </c>
      <c r="J474" s="415">
        <v>0</v>
      </c>
      <c r="K474" s="415">
        <v>0</v>
      </c>
      <c r="L474" s="415">
        <v>2380</v>
      </c>
      <c r="M474" s="415">
        <v>0</v>
      </c>
      <c r="N474" s="415">
        <v>0</v>
      </c>
      <c r="O474" s="415">
        <v>0</v>
      </c>
      <c r="P474" s="415">
        <v>0</v>
      </c>
      <c r="Q474" s="481">
        <f t="shared" si="53"/>
        <v>0</v>
      </c>
    </row>
    <row r="475" spans="1:17" outlineLevel="2" x14ac:dyDescent="0.3">
      <c r="A475" s="366" t="str">
        <f>IFERROR(VLOOKUP(RIGHT(E475,3)+0,[1]SchLocTable!$A$2:$B$47,2,FALSE)," ")</f>
        <v>Johnson</v>
      </c>
      <c r="B475" s="366" t="str">
        <f>VLOOKUP(VALUE(D475),$D$3:F$106,3,FALSE)</f>
        <v>Paraprofessionals</v>
      </c>
      <c r="C475" t="s">
        <v>314</v>
      </c>
      <c r="D475">
        <v>803</v>
      </c>
      <c r="E475" t="s">
        <v>404</v>
      </c>
      <c r="F475" t="s">
        <v>320</v>
      </c>
      <c r="G475" t="s">
        <v>319</v>
      </c>
      <c r="H475" s="502">
        <v>52360</v>
      </c>
      <c r="I475" s="415">
        <v>0</v>
      </c>
      <c r="J475" s="415">
        <v>0</v>
      </c>
      <c r="K475" s="415">
        <v>0</v>
      </c>
      <c r="L475" s="415">
        <v>34.51</v>
      </c>
      <c r="M475" s="415">
        <v>0</v>
      </c>
      <c r="N475" s="415">
        <v>0</v>
      </c>
      <c r="O475" s="415">
        <v>0</v>
      </c>
      <c r="P475" s="415">
        <v>0</v>
      </c>
      <c r="Q475" s="481">
        <f t="shared" si="53"/>
        <v>0</v>
      </c>
    </row>
    <row r="476" spans="1:17" outlineLevel="2" x14ac:dyDescent="0.3">
      <c r="A476" s="366" t="str">
        <f>IFERROR(VLOOKUP(RIGHT(E476,3)+0,[1]SchLocTable!$A$2:$B$47,2,FALSE)," ")</f>
        <v>Johnson</v>
      </c>
      <c r="B476" s="366" t="str">
        <f>VLOOKUP(VALUE(D476),$D$3:F$106,3,FALSE)</f>
        <v>Paraprofessionals</v>
      </c>
      <c r="C476" t="s">
        <v>314</v>
      </c>
      <c r="D476">
        <v>803</v>
      </c>
      <c r="E476" t="s">
        <v>404</v>
      </c>
      <c r="F476" t="s">
        <v>392</v>
      </c>
      <c r="G476" t="s">
        <v>319</v>
      </c>
      <c r="H476" s="502">
        <v>52504</v>
      </c>
      <c r="I476" s="415">
        <v>0</v>
      </c>
      <c r="J476" s="415">
        <v>0</v>
      </c>
      <c r="K476" s="415">
        <v>0</v>
      </c>
      <c r="L476" s="415">
        <v>485.28</v>
      </c>
      <c r="M476" s="415">
        <v>0</v>
      </c>
      <c r="N476" s="415">
        <v>0</v>
      </c>
      <c r="O476" s="415">
        <v>0</v>
      </c>
      <c r="P476" s="415">
        <v>0</v>
      </c>
      <c r="Q476" s="481">
        <f t="shared" si="53"/>
        <v>0</v>
      </c>
    </row>
    <row r="477" spans="1:17" outlineLevel="2" x14ac:dyDescent="0.3">
      <c r="A477" s="366" t="str">
        <f>IFERROR(VLOOKUP(RIGHT(E477,3)+0,[1]SchLocTable!$A$2:$B$47,2,FALSE)," ")</f>
        <v>Discovery</v>
      </c>
      <c r="B477" s="366" t="str">
        <f>VLOOKUP(VALUE(D477),$D$3:F$106,3,FALSE)</f>
        <v>Paraprofessionals</v>
      </c>
      <c r="C477" t="s">
        <v>314</v>
      </c>
      <c r="D477">
        <v>803</v>
      </c>
      <c r="E477" t="s">
        <v>405</v>
      </c>
      <c r="F477" t="s">
        <v>318</v>
      </c>
      <c r="G477" t="s">
        <v>319</v>
      </c>
      <c r="H477" s="502">
        <v>51140</v>
      </c>
      <c r="I477" s="415">
        <v>0</v>
      </c>
      <c r="J477" s="415">
        <v>0</v>
      </c>
      <c r="K477" s="415">
        <v>0</v>
      </c>
      <c r="L477" s="415">
        <v>4620</v>
      </c>
      <c r="M477" s="415">
        <v>0</v>
      </c>
      <c r="N477" s="415">
        <v>0</v>
      </c>
      <c r="O477" s="415">
        <v>0</v>
      </c>
      <c r="P477" s="415">
        <v>0</v>
      </c>
      <c r="Q477" s="481">
        <f t="shared" si="53"/>
        <v>0</v>
      </c>
    </row>
    <row r="478" spans="1:17" outlineLevel="2" x14ac:dyDescent="0.3">
      <c r="A478" s="366" t="str">
        <f>IFERROR(VLOOKUP(RIGHT(E478,3)+0,[1]SchLocTable!$A$2:$B$47,2,FALSE)," ")</f>
        <v>Discovery</v>
      </c>
      <c r="B478" s="366" t="str">
        <f>VLOOKUP(VALUE(D478),$D$3:F$106,3,FALSE)</f>
        <v>Paraprofessionals</v>
      </c>
      <c r="C478" t="s">
        <v>314</v>
      </c>
      <c r="D478">
        <v>803</v>
      </c>
      <c r="E478" t="s">
        <v>405</v>
      </c>
      <c r="F478" t="s">
        <v>320</v>
      </c>
      <c r="G478" t="s">
        <v>319</v>
      </c>
      <c r="H478" s="502">
        <v>52360</v>
      </c>
      <c r="I478" s="415">
        <v>0</v>
      </c>
      <c r="J478" s="415">
        <v>0</v>
      </c>
      <c r="K478" s="415">
        <v>0</v>
      </c>
      <c r="L478" s="415">
        <v>87.98</v>
      </c>
      <c r="M478" s="415">
        <v>0</v>
      </c>
      <c r="N478" s="415">
        <v>0</v>
      </c>
      <c r="O478" s="415">
        <v>0</v>
      </c>
      <c r="P478" s="415">
        <v>0</v>
      </c>
      <c r="Q478" s="481">
        <f t="shared" si="53"/>
        <v>0</v>
      </c>
    </row>
    <row r="479" spans="1:17" outlineLevel="2" x14ac:dyDescent="0.3">
      <c r="A479" s="366" t="str">
        <f>IFERROR(VLOOKUP(RIGHT(E479,3)+0,[1]SchLocTable!$A$2:$B$47,2,FALSE)," ")</f>
        <v>Discovery</v>
      </c>
      <c r="B479" s="366" t="str">
        <f>VLOOKUP(VALUE(D479),$D$3:F$106,3,FALSE)</f>
        <v>Paraprofessionals</v>
      </c>
      <c r="C479" t="s">
        <v>314</v>
      </c>
      <c r="D479">
        <v>803</v>
      </c>
      <c r="E479" t="s">
        <v>405</v>
      </c>
      <c r="F479" t="s">
        <v>392</v>
      </c>
      <c r="G479" t="s">
        <v>319</v>
      </c>
      <c r="H479" s="502">
        <v>52504</v>
      </c>
      <c r="I479" s="415">
        <v>0</v>
      </c>
      <c r="J479" s="415">
        <v>0</v>
      </c>
      <c r="K479" s="415">
        <v>0</v>
      </c>
      <c r="L479" s="415">
        <v>1256.03</v>
      </c>
      <c r="M479" s="415">
        <v>0</v>
      </c>
      <c r="N479" s="415">
        <v>0</v>
      </c>
      <c r="O479" s="415">
        <v>0</v>
      </c>
      <c r="P479" s="415">
        <v>0</v>
      </c>
      <c r="Q479" s="481">
        <f t="shared" si="53"/>
        <v>0</v>
      </c>
    </row>
    <row r="480" spans="1:17" outlineLevel="2" x14ac:dyDescent="0.3">
      <c r="A480" s="366" t="str">
        <f>IFERROR(VLOOKUP(RIGHT(E480,3)+0,[1]SchLocTable!$A$2:$B$47,2,FALSE)," ")</f>
        <v>Blackham</v>
      </c>
      <c r="B480" s="366" t="str">
        <f>VLOOKUP(VALUE(D480),$D$3:F$106,3,FALSE)</f>
        <v>Paraprofessionals</v>
      </c>
      <c r="C480" t="s">
        <v>314</v>
      </c>
      <c r="D480">
        <v>803</v>
      </c>
      <c r="E480" t="s">
        <v>406</v>
      </c>
      <c r="F480" t="s">
        <v>318</v>
      </c>
      <c r="G480" t="s">
        <v>319</v>
      </c>
      <c r="H480" s="502">
        <v>51140</v>
      </c>
      <c r="I480" s="415">
        <v>0</v>
      </c>
      <c r="J480" s="415">
        <v>0</v>
      </c>
      <c r="K480" s="415">
        <v>0</v>
      </c>
      <c r="L480" s="415">
        <v>910</v>
      </c>
      <c r="M480" s="415">
        <v>0</v>
      </c>
      <c r="N480" s="415">
        <v>0</v>
      </c>
      <c r="O480" s="415">
        <v>0</v>
      </c>
      <c r="P480" s="415">
        <v>0</v>
      </c>
      <c r="Q480" s="481">
        <f t="shared" si="53"/>
        <v>0</v>
      </c>
    </row>
    <row r="481" spans="1:17" outlineLevel="2" x14ac:dyDescent="0.3">
      <c r="A481" s="366" t="str">
        <f>IFERROR(VLOOKUP(RIGHT(E481,3)+0,[1]SchLocTable!$A$2:$B$47,2,FALSE)," ")</f>
        <v>Blackham</v>
      </c>
      <c r="B481" s="366" t="str">
        <f>VLOOKUP(VALUE(D481),$D$3:F$106,3,FALSE)</f>
        <v>Paraprofessionals</v>
      </c>
      <c r="C481" t="s">
        <v>314</v>
      </c>
      <c r="D481">
        <v>803</v>
      </c>
      <c r="E481" t="s">
        <v>406</v>
      </c>
      <c r="F481" t="s">
        <v>320</v>
      </c>
      <c r="G481" t="s">
        <v>319</v>
      </c>
      <c r="H481" s="502">
        <v>52360</v>
      </c>
      <c r="I481" s="415">
        <v>0</v>
      </c>
      <c r="J481" s="415">
        <v>0</v>
      </c>
      <c r="K481" s="415">
        <v>0</v>
      </c>
      <c r="L481" s="415">
        <v>13.19</v>
      </c>
      <c r="M481" s="415">
        <v>0</v>
      </c>
      <c r="N481" s="415">
        <v>0</v>
      </c>
      <c r="O481" s="415">
        <v>0</v>
      </c>
      <c r="P481" s="415">
        <v>0</v>
      </c>
      <c r="Q481" s="481">
        <f t="shared" si="53"/>
        <v>0</v>
      </c>
    </row>
    <row r="482" spans="1:17" outlineLevel="2" x14ac:dyDescent="0.3">
      <c r="A482" s="366" t="str">
        <f>IFERROR(VLOOKUP(RIGHT(E482,3)+0,[1]SchLocTable!$A$2:$B$47,2,FALSE)," ")</f>
        <v>Blackham</v>
      </c>
      <c r="B482" s="366" t="str">
        <f>VLOOKUP(VALUE(D482),$D$3:F$106,3,FALSE)</f>
        <v>Paraprofessionals</v>
      </c>
      <c r="C482" t="s">
        <v>314</v>
      </c>
      <c r="D482">
        <v>803</v>
      </c>
      <c r="E482" t="s">
        <v>406</v>
      </c>
      <c r="F482" t="s">
        <v>392</v>
      </c>
      <c r="G482" t="s">
        <v>319</v>
      </c>
      <c r="H482" s="502">
        <v>52504</v>
      </c>
      <c r="I482" s="415">
        <v>0</v>
      </c>
      <c r="J482" s="415">
        <v>0</v>
      </c>
      <c r="K482" s="415">
        <v>0</v>
      </c>
      <c r="L482" s="415">
        <v>185.55</v>
      </c>
      <c r="M482" s="415">
        <v>0</v>
      </c>
      <c r="N482" s="415">
        <v>0</v>
      </c>
      <c r="O482" s="415">
        <v>0</v>
      </c>
      <c r="P482" s="415">
        <v>0</v>
      </c>
      <c r="Q482" s="481">
        <f t="shared" si="53"/>
        <v>0</v>
      </c>
    </row>
    <row r="483" spans="1:17" outlineLevel="2" x14ac:dyDescent="0.3">
      <c r="A483" s="366" t="str">
        <f>IFERROR(VLOOKUP(RIGHT(E483,3)+0,[1]SchLocTable!$A$2:$B$47,2,FALSE)," ")</f>
        <v>Dunbar</v>
      </c>
      <c r="B483" s="366" t="str">
        <f>VLOOKUP(VALUE(D483),$D$3:F$106,3,FALSE)</f>
        <v>Paraprofessionals</v>
      </c>
      <c r="C483" t="s">
        <v>314</v>
      </c>
      <c r="D483">
        <v>803</v>
      </c>
      <c r="E483" t="s">
        <v>407</v>
      </c>
      <c r="F483" t="s">
        <v>318</v>
      </c>
      <c r="G483" t="s">
        <v>319</v>
      </c>
      <c r="H483" s="502">
        <v>51140</v>
      </c>
      <c r="I483" s="415">
        <v>0</v>
      </c>
      <c r="J483" s="415">
        <v>0</v>
      </c>
      <c r="K483" s="415">
        <v>0</v>
      </c>
      <c r="L483" s="415">
        <v>1470</v>
      </c>
      <c r="M483" s="415">
        <v>0</v>
      </c>
      <c r="N483" s="415">
        <v>0</v>
      </c>
      <c r="O483" s="415">
        <v>0</v>
      </c>
      <c r="P483" s="415">
        <v>0</v>
      </c>
      <c r="Q483" s="481">
        <f t="shared" si="53"/>
        <v>0</v>
      </c>
    </row>
    <row r="484" spans="1:17" outlineLevel="2" x14ac:dyDescent="0.3">
      <c r="A484" s="366" t="str">
        <f>IFERROR(VLOOKUP(RIGHT(E484,3)+0,[1]SchLocTable!$A$2:$B$47,2,FALSE)," ")</f>
        <v>Dunbar</v>
      </c>
      <c r="B484" s="366" t="str">
        <f>VLOOKUP(VALUE(D484),$D$3:F$106,3,FALSE)</f>
        <v>Paraprofessionals</v>
      </c>
      <c r="C484" t="s">
        <v>314</v>
      </c>
      <c r="D484">
        <v>803</v>
      </c>
      <c r="E484" t="s">
        <v>407</v>
      </c>
      <c r="F484" t="s">
        <v>320</v>
      </c>
      <c r="G484" t="s">
        <v>319</v>
      </c>
      <c r="H484" s="502">
        <v>52360</v>
      </c>
      <c r="I484" s="415">
        <v>0</v>
      </c>
      <c r="J484" s="415">
        <v>0</v>
      </c>
      <c r="K484" s="415">
        <v>0</v>
      </c>
      <c r="L484" s="415">
        <v>21.31</v>
      </c>
      <c r="M484" s="415">
        <v>0</v>
      </c>
      <c r="N484" s="415">
        <v>0</v>
      </c>
      <c r="O484" s="415">
        <v>0</v>
      </c>
      <c r="P484" s="415">
        <v>0</v>
      </c>
      <c r="Q484" s="481">
        <f t="shared" si="53"/>
        <v>0</v>
      </c>
    </row>
    <row r="485" spans="1:17" outlineLevel="2" x14ac:dyDescent="0.3">
      <c r="A485" s="366" t="str">
        <f>IFERROR(VLOOKUP(RIGHT(E485,3)+0,[1]SchLocTable!$A$2:$B$47,2,FALSE)," ")</f>
        <v>Dunbar</v>
      </c>
      <c r="B485" s="366" t="str">
        <f>VLOOKUP(VALUE(D485),$D$3:F$106,3,FALSE)</f>
        <v>Paraprofessionals</v>
      </c>
      <c r="C485" t="s">
        <v>314</v>
      </c>
      <c r="D485">
        <v>803</v>
      </c>
      <c r="E485" t="s">
        <v>407</v>
      </c>
      <c r="F485" t="s">
        <v>392</v>
      </c>
      <c r="G485" t="s">
        <v>319</v>
      </c>
      <c r="H485" s="502">
        <v>52504</v>
      </c>
      <c r="I485" s="415">
        <v>0</v>
      </c>
      <c r="J485" s="415">
        <v>0</v>
      </c>
      <c r="K485" s="415">
        <v>0</v>
      </c>
      <c r="L485" s="415">
        <v>299.73</v>
      </c>
      <c r="M485" s="415">
        <v>0</v>
      </c>
      <c r="N485" s="415">
        <v>0</v>
      </c>
      <c r="O485" s="415">
        <v>0</v>
      </c>
      <c r="P485" s="415">
        <v>0</v>
      </c>
      <c r="Q485" s="481">
        <f t="shared" si="53"/>
        <v>0</v>
      </c>
    </row>
    <row r="486" spans="1:17" outlineLevel="2" x14ac:dyDescent="0.3">
      <c r="A486" s="366" t="str">
        <f>IFERROR(VLOOKUP(RIGHT(E486,3)+0,[1]SchLocTable!$A$2:$B$47,2,FALSE)," ")</f>
        <v>Curiale</v>
      </c>
      <c r="B486" s="366" t="str">
        <f>VLOOKUP(VALUE(D486),$D$3:F$106,3,FALSE)</f>
        <v>Paraprofessionals</v>
      </c>
      <c r="C486" t="s">
        <v>314</v>
      </c>
      <c r="D486">
        <v>803</v>
      </c>
      <c r="E486" t="s">
        <v>1300</v>
      </c>
      <c r="F486" t="s">
        <v>316</v>
      </c>
      <c r="G486">
        <v>1</v>
      </c>
      <c r="H486" s="502">
        <v>51000</v>
      </c>
      <c r="I486" s="415">
        <v>49425.327899999997</v>
      </c>
      <c r="J486" s="415">
        <v>0</v>
      </c>
      <c r="K486" s="415">
        <v>0</v>
      </c>
      <c r="L486" s="415">
        <v>0</v>
      </c>
      <c r="M486" s="415">
        <v>0</v>
      </c>
      <c r="N486" s="415">
        <v>0</v>
      </c>
      <c r="O486" s="415">
        <v>0</v>
      </c>
      <c r="P486" s="415">
        <v>0</v>
      </c>
      <c r="Q486" s="481">
        <f t="shared" si="53"/>
        <v>-49425.327899999997</v>
      </c>
    </row>
    <row r="487" spans="1:17" outlineLevel="2" x14ac:dyDescent="0.3">
      <c r="A487" s="366" t="str">
        <f>IFERROR(VLOOKUP(RIGHT(E487,3)+0,[1]SchLocTable!$A$2:$B$47,2,FALSE)," ")</f>
        <v>Curiale</v>
      </c>
      <c r="B487" s="366" t="str">
        <f>VLOOKUP(VALUE(D487),$D$3:F$106,3,FALSE)</f>
        <v>Paraprofessionals</v>
      </c>
      <c r="C487" t="s">
        <v>314</v>
      </c>
      <c r="D487">
        <v>803</v>
      </c>
      <c r="E487" t="s">
        <v>1300</v>
      </c>
      <c r="F487" t="s">
        <v>360</v>
      </c>
      <c r="G487" t="s">
        <v>319</v>
      </c>
      <c r="H487" s="502">
        <v>52920</v>
      </c>
      <c r="I487" s="415">
        <v>2000</v>
      </c>
      <c r="J487" s="415">
        <v>0</v>
      </c>
      <c r="K487" s="415">
        <v>0</v>
      </c>
      <c r="L487" s="415">
        <v>0</v>
      </c>
      <c r="M487" s="415">
        <v>0</v>
      </c>
      <c r="N487" s="415">
        <v>0</v>
      </c>
      <c r="O487" s="415">
        <v>0</v>
      </c>
      <c r="P487" s="415">
        <v>0</v>
      </c>
      <c r="Q487" s="481">
        <f t="shared" si="53"/>
        <v>-2000</v>
      </c>
    </row>
    <row r="488" spans="1:17" outlineLevel="2" x14ac:dyDescent="0.3">
      <c r="A488" s="366" t="str">
        <f>IFERROR(VLOOKUP(RIGHT(E488,3)+0,[1]SchLocTable!$A$2:$B$47,2,FALSE)," ")</f>
        <v>Curiale</v>
      </c>
      <c r="B488" s="366" t="str">
        <f>VLOOKUP(VALUE(D488),$D$3:F$106,3,FALSE)</f>
        <v>Paraprofessionals</v>
      </c>
      <c r="C488" t="s">
        <v>314</v>
      </c>
      <c r="D488">
        <v>803</v>
      </c>
      <c r="E488" t="s">
        <v>1300</v>
      </c>
      <c r="F488" t="s">
        <v>320</v>
      </c>
      <c r="G488" t="s">
        <v>319</v>
      </c>
      <c r="H488" s="502">
        <v>52360</v>
      </c>
      <c r="I488" s="415">
        <v>745.66725454999994</v>
      </c>
      <c r="J488" s="415">
        <v>0</v>
      </c>
      <c r="K488" s="415">
        <v>0</v>
      </c>
      <c r="L488" s="415">
        <v>0</v>
      </c>
      <c r="M488" s="415">
        <v>0</v>
      </c>
      <c r="N488" s="415">
        <v>0</v>
      </c>
      <c r="O488" s="415">
        <v>0</v>
      </c>
      <c r="P488" s="415">
        <v>0</v>
      </c>
      <c r="Q488" s="481">
        <f t="shared" si="53"/>
        <v>-745.66725454999994</v>
      </c>
    </row>
    <row r="489" spans="1:17" outlineLevel="2" x14ac:dyDescent="0.3">
      <c r="A489" s="366" t="str">
        <f>IFERROR(VLOOKUP(RIGHT(E489,3)+0,[1]SchLocTable!$A$2:$B$47,2,FALSE)," ")</f>
        <v>Curiale</v>
      </c>
      <c r="B489" s="366" t="str">
        <f>VLOOKUP(VALUE(D489),$D$3:F$106,3,FALSE)</f>
        <v>Paraprofessionals</v>
      </c>
      <c r="C489" t="s">
        <v>314</v>
      </c>
      <c r="D489">
        <v>803</v>
      </c>
      <c r="E489" t="s">
        <v>1300</v>
      </c>
      <c r="F489" t="s">
        <v>392</v>
      </c>
      <c r="G489" t="s">
        <v>319</v>
      </c>
      <c r="H489" s="502">
        <v>52504</v>
      </c>
      <c r="I489" s="415">
        <v>10686.183137620001</v>
      </c>
      <c r="J489" s="415">
        <v>0</v>
      </c>
      <c r="K489" s="415">
        <v>0</v>
      </c>
      <c r="L489" s="415">
        <v>0</v>
      </c>
      <c r="M489" s="415">
        <v>0</v>
      </c>
      <c r="N489" s="415">
        <v>0</v>
      </c>
      <c r="O489" s="415">
        <v>0</v>
      </c>
      <c r="P489" s="415">
        <v>0</v>
      </c>
      <c r="Q489" s="481">
        <f t="shared" si="53"/>
        <v>-10686.183137620001</v>
      </c>
    </row>
    <row r="490" spans="1:17" outlineLevel="2" x14ac:dyDescent="0.3">
      <c r="A490" s="366" t="str">
        <f>IFERROR(VLOOKUP(RIGHT(E490,3)+0,[1]SchLocTable!$A$2:$B$47,2,FALSE)," ")</f>
        <v>High Horizons Magnet</v>
      </c>
      <c r="B490" s="366" t="str">
        <f>VLOOKUP(VALUE(D490),$D$3:F$106,3,FALSE)</f>
        <v>Paraprofessionals</v>
      </c>
      <c r="C490" t="s">
        <v>314</v>
      </c>
      <c r="D490">
        <v>803</v>
      </c>
      <c r="E490" t="s">
        <v>408</v>
      </c>
      <c r="F490" t="s">
        <v>316</v>
      </c>
      <c r="G490" t="s">
        <v>319</v>
      </c>
      <c r="H490" s="502">
        <v>51000</v>
      </c>
      <c r="I490" s="415">
        <v>101842.388076</v>
      </c>
      <c r="J490" s="415">
        <v>0</v>
      </c>
      <c r="K490" s="415">
        <v>0</v>
      </c>
      <c r="L490" s="415">
        <v>0</v>
      </c>
      <c r="M490" s="415">
        <v>0</v>
      </c>
      <c r="N490" s="415">
        <v>0</v>
      </c>
      <c r="O490" s="415">
        <v>0</v>
      </c>
      <c r="P490" s="415">
        <v>0</v>
      </c>
      <c r="Q490" s="481">
        <f t="shared" si="53"/>
        <v>-101842.388076</v>
      </c>
    </row>
    <row r="491" spans="1:17" outlineLevel="2" x14ac:dyDescent="0.3">
      <c r="A491" s="366" t="str">
        <f>IFERROR(VLOOKUP(RIGHT(E491,3)+0,[1]SchLocTable!$A$2:$B$47,2,FALSE)," ")</f>
        <v>High Horizons Magnet</v>
      </c>
      <c r="B491" s="366" t="str">
        <f>VLOOKUP(VALUE(D491),$D$3:F$106,3,FALSE)</f>
        <v>Paraprofessionals</v>
      </c>
      <c r="C491" t="s">
        <v>314</v>
      </c>
      <c r="D491">
        <v>803</v>
      </c>
      <c r="E491" t="s">
        <v>408</v>
      </c>
      <c r="F491" t="s">
        <v>321</v>
      </c>
      <c r="G491" t="s">
        <v>319</v>
      </c>
      <c r="H491" s="502">
        <v>52917</v>
      </c>
      <c r="I491" s="415">
        <v>15393.767999999998</v>
      </c>
      <c r="J491" s="415">
        <v>0</v>
      </c>
      <c r="K491" s="415">
        <v>0</v>
      </c>
      <c r="L491" s="415">
        <v>0</v>
      </c>
      <c r="M491" s="415">
        <v>0</v>
      </c>
      <c r="N491" s="415">
        <v>0</v>
      </c>
      <c r="O491" s="415">
        <v>0</v>
      </c>
      <c r="P491" s="415">
        <v>0</v>
      </c>
      <c r="Q491" s="481">
        <f t="shared" si="53"/>
        <v>-15393.767999999998</v>
      </c>
    </row>
    <row r="492" spans="1:17" outlineLevel="2" x14ac:dyDescent="0.3">
      <c r="A492" s="366" t="str">
        <f>IFERROR(VLOOKUP(RIGHT(E492,3)+0,[1]SchLocTable!$A$2:$B$47,2,FALSE)," ")</f>
        <v>High Horizons Magnet</v>
      </c>
      <c r="B492" s="366" t="str">
        <f>VLOOKUP(VALUE(D492),$D$3:F$106,3,FALSE)</f>
        <v>Paraprofessionals</v>
      </c>
      <c r="C492" t="s">
        <v>314</v>
      </c>
      <c r="D492">
        <v>803</v>
      </c>
      <c r="E492" t="s">
        <v>408</v>
      </c>
      <c r="F492" t="s">
        <v>318</v>
      </c>
      <c r="G492" t="s">
        <v>319</v>
      </c>
      <c r="H492" s="502">
        <v>51140</v>
      </c>
      <c r="I492" s="415">
        <v>0</v>
      </c>
      <c r="J492" s="415">
        <v>0</v>
      </c>
      <c r="K492" s="415">
        <v>0</v>
      </c>
      <c r="L492" s="415">
        <v>1800</v>
      </c>
      <c r="M492" s="415">
        <v>0</v>
      </c>
      <c r="N492" s="415">
        <v>0</v>
      </c>
      <c r="O492" s="415">
        <v>0</v>
      </c>
      <c r="P492" s="415">
        <v>0</v>
      </c>
      <c r="Q492" s="481">
        <f t="shared" si="53"/>
        <v>0</v>
      </c>
    </row>
    <row r="493" spans="1:17" outlineLevel="2" x14ac:dyDescent="0.3">
      <c r="A493" s="366" t="str">
        <f>IFERROR(VLOOKUP(RIGHT(E493,3)+0,[1]SchLocTable!$A$2:$B$47,2,FALSE)," ")</f>
        <v>High Horizons Magnet</v>
      </c>
      <c r="B493" s="366" t="str">
        <f>VLOOKUP(VALUE(D493),$D$3:F$106,3,FALSE)</f>
        <v>Paraprofessionals</v>
      </c>
      <c r="C493" t="s">
        <v>314</v>
      </c>
      <c r="D493">
        <v>803</v>
      </c>
      <c r="E493" t="s">
        <v>408</v>
      </c>
      <c r="F493" t="s">
        <v>320</v>
      </c>
      <c r="G493" t="s">
        <v>319</v>
      </c>
      <c r="H493" s="502">
        <v>52360</v>
      </c>
      <c r="I493" s="415">
        <v>1476.7146271020001</v>
      </c>
      <c r="J493" s="415">
        <v>0</v>
      </c>
      <c r="K493" s="415">
        <v>0</v>
      </c>
      <c r="L493" s="415">
        <v>26.1</v>
      </c>
      <c r="M493" s="415">
        <v>0</v>
      </c>
      <c r="N493" s="415">
        <v>0</v>
      </c>
      <c r="O493" s="415">
        <v>0</v>
      </c>
      <c r="P493" s="415">
        <v>0</v>
      </c>
      <c r="Q493" s="481">
        <f t="shared" si="53"/>
        <v>-1476.7146271020001</v>
      </c>
    </row>
    <row r="494" spans="1:17" outlineLevel="2" x14ac:dyDescent="0.3">
      <c r="A494" s="366" t="str">
        <f>IFERROR(VLOOKUP(RIGHT(E494,3)+0,[1]SchLocTable!$A$2:$B$47,2,FALSE)," ")</f>
        <v>High Horizons Magnet</v>
      </c>
      <c r="B494" s="366" t="str">
        <f>VLOOKUP(VALUE(D494),$D$3:F$106,3,FALSE)</f>
        <v>Paraprofessionals</v>
      </c>
      <c r="C494" t="s">
        <v>314</v>
      </c>
      <c r="D494">
        <v>803</v>
      </c>
      <c r="E494" t="s">
        <v>408</v>
      </c>
      <c r="F494" t="s">
        <v>392</v>
      </c>
      <c r="G494" t="s">
        <v>319</v>
      </c>
      <c r="H494" s="502">
        <v>52504</v>
      </c>
      <c r="I494" s="415">
        <v>21162.848242192802</v>
      </c>
      <c r="J494" s="415">
        <v>0</v>
      </c>
      <c r="K494" s="415">
        <v>0</v>
      </c>
      <c r="L494" s="415">
        <v>367.02</v>
      </c>
      <c r="M494" s="415">
        <v>0</v>
      </c>
      <c r="N494" s="415">
        <v>0</v>
      </c>
      <c r="O494" s="415">
        <v>0</v>
      </c>
      <c r="P494" s="415">
        <v>0</v>
      </c>
      <c r="Q494" s="481">
        <f t="shared" si="53"/>
        <v>-21162.848242192802</v>
      </c>
    </row>
    <row r="495" spans="1:17" outlineLevel="2" x14ac:dyDescent="0.3">
      <c r="A495" s="366" t="str">
        <f>IFERROR(VLOOKUP(RIGHT(E495,3)+0,[1]SchLocTable!$A$2:$B$47,2,FALSE)," ")</f>
        <v>Multicultural Magnet</v>
      </c>
      <c r="B495" s="366" t="str">
        <f>VLOOKUP(VALUE(D495),$D$3:F$106,3,FALSE)</f>
        <v>Paraprofessionals</v>
      </c>
      <c r="C495" t="s">
        <v>314</v>
      </c>
      <c r="D495">
        <v>803</v>
      </c>
      <c r="E495" t="s">
        <v>409</v>
      </c>
      <c r="F495" t="s">
        <v>316</v>
      </c>
      <c r="G495">
        <v>1</v>
      </c>
      <c r="H495" s="502">
        <v>51000</v>
      </c>
      <c r="I495" s="415">
        <v>37419.722612999998</v>
      </c>
      <c r="J495" s="415">
        <v>0</v>
      </c>
      <c r="K495" s="415">
        <v>0</v>
      </c>
      <c r="L495" s="415">
        <v>0</v>
      </c>
      <c r="M495" s="415">
        <v>0</v>
      </c>
      <c r="N495" s="415">
        <v>0</v>
      </c>
      <c r="O495" s="415">
        <v>0</v>
      </c>
      <c r="P495" s="415">
        <v>0</v>
      </c>
      <c r="Q495" s="481">
        <f t="shared" si="53"/>
        <v>-37419.722612999998</v>
      </c>
    </row>
    <row r="496" spans="1:17" outlineLevel="2" x14ac:dyDescent="0.3">
      <c r="A496" s="366" t="str">
        <f>IFERROR(VLOOKUP(RIGHT(E496,3)+0,[1]SchLocTable!$A$2:$B$47,2,FALSE)," ")</f>
        <v>Multicultural Magnet</v>
      </c>
      <c r="B496" s="366" t="str">
        <f>VLOOKUP(VALUE(D496),$D$3:F$106,3,FALSE)</f>
        <v>Paraprofessionals</v>
      </c>
      <c r="C496" t="s">
        <v>314</v>
      </c>
      <c r="D496">
        <v>803</v>
      </c>
      <c r="E496" t="s">
        <v>409</v>
      </c>
      <c r="F496" t="s">
        <v>321</v>
      </c>
      <c r="G496" t="s">
        <v>319</v>
      </c>
      <c r="H496" s="502">
        <v>52917</v>
      </c>
      <c r="I496" s="415">
        <v>45487.764000000003</v>
      </c>
      <c r="J496" s="415">
        <v>0</v>
      </c>
      <c r="K496" s="415">
        <v>0</v>
      </c>
      <c r="L496" s="415">
        <v>0</v>
      </c>
      <c r="M496" s="415">
        <v>0</v>
      </c>
      <c r="N496" s="415">
        <v>0</v>
      </c>
      <c r="O496" s="415">
        <v>0</v>
      </c>
      <c r="P496" s="415">
        <v>0</v>
      </c>
      <c r="Q496" s="481">
        <f t="shared" si="53"/>
        <v>-45487.764000000003</v>
      </c>
    </row>
    <row r="497" spans="1:17" outlineLevel="2" x14ac:dyDescent="0.3">
      <c r="A497" s="366" t="str">
        <f>IFERROR(VLOOKUP(RIGHT(E497,3)+0,[1]SchLocTable!$A$2:$B$47,2,FALSE)," ")</f>
        <v>Multicultural Magnet</v>
      </c>
      <c r="B497" s="366" t="str">
        <f>VLOOKUP(VALUE(D497),$D$3:F$106,3,FALSE)</f>
        <v>Paraprofessionals</v>
      </c>
      <c r="C497" t="s">
        <v>314</v>
      </c>
      <c r="D497">
        <v>803</v>
      </c>
      <c r="E497" t="s">
        <v>409</v>
      </c>
      <c r="F497" t="s">
        <v>318</v>
      </c>
      <c r="G497" t="s">
        <v>319</v>
      </c>
      <c r="H497" s="502">
        <v>51140</v>
      </c>
      <c r="I497" s="415">
        <v>0</v>
      </c>
      <c r="J497" s="415">
        <v>0</v>
      </c>
      <c r="K497" s="415">
        <v>0</v>
      </c>
      <c r="L497" s="415">
        <v>3600</v>
      </c>
      <c r="M497" s="415">
        <v>0</v>
      </c>
      <c r="N497" s="415">
        <v>0</v>
      </c>
      <c r="O497" s="415">
        <v>0</v>
      </c>
      <c r="P497" s="415">
        <v>0</v>
      </c>
      <c r="Q497" s="481">
        <f t="shared" si="53"/>
        <v>0</v>
      </c>
    </row>
    <row r="498" spans="1:17" outlineLevel="2" x14ac:dyDescent="0.3">
      <c r="A498" s="366" t="str">
        <f>IFERROR(VLOOKUP(RIGHT(E498,3)+0,[1]SchLocTable!$A$2:$B$47,2,FALSE)," ")</f>
        <v>Multicultural Magnet</v>
      </c>
      <c r="B498" s="366" t="str">
        <f>VLOOKUP(VALUE(D498),$D$3:F$106,3,FALSE)</f>
        <v>Paraprofessionals</v>
      </c>
      <c r="C498" t="s">
        <v>314</v>
      </c>
      <c r="D498">
        <v>803</v>
      </c>
      <c r="E498" t="s">
        <v>409</v>
      </c>
      <c r="F498" t="s">
        <v>320</v>
      </c>
      <c r="G498" t="s">
        <v>319</v>
      </c>
      <c r="H498" s="502">
        <v>52360</v>
      </c>
      <c r="I498" s="415">
        <v>542.5859778885</v>
      </c>
      <c r="J498" s="415">
        <v>0</v>
      </c>
      <c r="K498" s="415">
        <v>0</v>
      </c>
      <c r="L498" s="415">
        <v>52.2</v>
      </c>
      <c r="M498" s="415">
        <v>0</v>
      </c>
      <c r="N498" s="415">
        <v>0</v>
      </c>
      <c r="O498" s="415">
        <v>0</v>
      </c>
      <c r="P498" s="415">
        <v>0</v>
      </c>
      <c r="Q498" s="481">
        <f t="shared" si="53"/>
        <v>-542.5859778885</v>
      </c>
    </row>
    <row r="499" spans="1:17" outlineLevel="2" x14ac:dyDescent="0.3">
      <c r="A499" s="366" t="str">
        <f>IFERROR(VLOOKUP(RIGHT(E499,3)+0,[1]SchLocTable!$A$2:$B$47,2,FALSE)," ")</f>
        <v>Multicultural Magnet</v>
      </c>
      <c r="B499" s="366" t="str">
        <f>VLOOKUP(VALUE(D499),$D$3:F$106,3,FALSE)</f>
        <v>Paraprofessionals</v>
      </c>
      <c r="C499" t="s">
        <v>314</v>
      </c>
      <c r="D499">
        <v>803</v>
      </c>
      <c r="E499" t="s">
        <v>409</v>
      </c>
      <c r="F499" t="s">
        <v>392</v>
      </c>
      <c r="G499" t="s">
        <v>319</v>
      </c>
      <c r="H499" s="502">
        <v>52504</v>
      </c>
      <c r="I499" s="415">
        <v>7775.8183589813998</v>
      </c>
      <c r="J499" s="415">
        <v>0</v>
      </c>
      <c r="K499" s="415">
        <v>0</v>
      </c>
      <c r="L499" s="415">
        <v>734.04</v>
      </c>
      <c r="M499" s="415">
        <v>0</v>
      </c>
      <c r="N499" s="415">
        <v>0</v>
      </c>
      <c r="O499" s="415">
        <v>0</v>
      </c>
      <c r="P499" s="415">
        <v>0</v>
      </c>
      <c r="Q499" s="481">
        <f t="shared" si="53"/>
        <v>-7775.8183589813998</v>
      </c>
    </row>
    <row r="500" spans="1:17" outlineLevel="2" x14ac:dyDescent="0.3">
      <c r="A500" s="366" t="str">
        <f>IFERROR(VLOOKUP(RIGHT(E500,3)+0,[1]SchLocTable!$A$2:$B$47,2,FALSE)," ")</f>
        <v>Bassick HS</v>
      </c>
      <c r="B500" s="366" t="str">
        <f>VLOOKUP(VALUE(D500),$D$3:F$106,3,FALSE)</f>
        <v>Paraprofessionals</v>
      </c>
      <c r="C500" t="s">
        <v>314</v>
      </c>
      <c r="D500">
        <v>803</v>
      </c>
      <c r="E500" t="s">
        <v>410</v>
      </c>
      <c r="F500" t="s">
        <v>316</v>
      </c>
      <c r="G500">
        <v>1</v>
      </c>
      <c r="H500" s="502">
        <v>51000</v>
      </c>
      <c r="I500" s="415">
        <v>49425.39</v>
      </c>
      <c r="J500" s="415">
        <v>47754</v>
      </c>
      <c r="K500" s="415">
        <v>52768.34</v>
      </c>
      <c r="L500" s="415">
        <v>41883.870000000003</v>
      </c>
      <c r="M500" s="415">
        <v>46596.63</v>
      </c>
      <c r="N500" s="415">
        <v>45214.27</v>
      </c>
      <c r="O500" s="415">
        <v>0</v>
      </c>
      <c r="P500" s="415">
        <v>0</v>
      </c>
      <c r="Q500" s="481">
        <f t="shared" si="53"/>
        <v>-1671.3899999999994</v>
      </c>
    </row>
    <row r="501" spans="1:17" outlineLevel="2" x14ac:dyDescent="0.3">
      <c r="A501" s="366" t="str">
        <f>IFERROR(VLOOKUP(RIGHT(E501,3)+0,[1]SchLocTable!$A$2:$B$47,2,FALSE)," ")</f>
        <v>Bassick HS</v>
      </c>
      <c r="B501" s="366" t="str">
        <f>VLOOKUP(VALUE(D501),$D$3:F$106,3,FALSE)</f>
        <v>Paraprofessionals</v>
      </c>
      <c r="C501" t="s">
        <v>314</v>
      </c>
      <c r="D501">
        <v>803</v>
      </c>
      <c r="E501" t="s">
        <v>410</v>
      </c>
      <c r="F501" t="s">
        <v>360</v>
      </c>
      <c r="G501" t="s">
        <v>319</v>
      </c>
      <c r="H501" s="502">
        <v>52920</v>
      </c>
      <c r="I501" s="415">
        <v>2000</v>
      </c>
      <c r="J501" s="415">
        <v>500</v>
      </c>
      <c r="K501" s="415">
        <v>1250</v>
      </c>
      <c r="L501" s="415">
        <v>500</v>
      </c>
      <c r="M501" s="415">
        <v>500</v>
      </c>
      <c r="N501" s="415">
        <v>375</v>
      </c>
      <c r="O501" s="415">
        <v>0</v>
      </c>
      <c r="P501" s="415">
        <v>0</v>
      </c>
      <c r="Q501" s="481">
        <f t="shared" si="53"/>
        <v>-1500</v>
      </c>
    </row>
    <row r="502" spans="1:17" outlineLevel="2" x14ac:dyDescent="0.3">
      <c r="A502" s="366" t="str">
        <f>IFERROR(VLOOKUP(RIGHT(E502,3)+0,[1]SchLocTable!$A$2:$B$47,2,FALSE)," ")</f>
        <v>Bassick HS</v>
      </c>
      <c r="B502" s="366" t="str">
        <f>VLOOKUP(VALUE(D502),$D$3:F$106,3,FALSE)</f>
        <v>Paraprofessionals</v>
      </c>
      <c r="C502" t="s">
        <v>314</v>
      </c>
      <c r="D502">
        <v>803</v>
      </c>
      <c r="E502" t="s">
        <v>410</v>
      </c>
      <c r="F502" t="s">
        <v>320</v>
      </c>
      <c r="G502" t="s">
        <v>319</v>
      </c>
      <c r="H502" s="502">
        <v>52360</v>
      </c>
      <c r="I502" s="415">
        <v>745.66815500000007</v>
      </c>
      <c r="J502" s="415">
        <v>692</v>
      </c>
      <c r="K502" s="415">
        <v>783.27</v>
      </c>
      <c r="L502" s="415">
        <v>614.57000000000005</v>
      </c>
      <c r="M502" s="415">
        <v>679.76</v>
      </c>
      <c r="N502" s="415">
        <v>661.06</v>
      </c>
      <c r="O502" s="415">
        <v>0</v>
      </c>
      <c r="P502" s="415">
        <v>0</v>
      </c>
      <c r="Q502" s="481">
        <f t="shared" si="53"/>
        <v>-53.66815500000007</v>
      </c>
    </row>
    <row r="503" spans="1:17" outlineLevel="2" x14ac:dyDescent="0.3">
      <c r="A503" s="366" t="str">
        <f>IFERROR(VLOOKUP(RIGHT(E503,3)+0,[1]SchLocTable!$A$2:$B$47,2,FALSE)," ")</f>
        <v>Bassick HS</v>
      </c>
      <c r="B503" s="366" t="str">
        <f>VLOOKUP(VALUE(D503),$D$3:F$106,3,FALSE)</f>
        <v>Paraprofessionals</v>
      </c>
      <c r="C503" t="s">
        <v>314</v>
      </c>
      <c r="D503">
        <v>803</v>
      </c>
      <c r="E503" t="s">
        <v>410</v>
      </c>
      <c r="F503" t="s">
        <v>392</v>
      </c>
      <c r="G503" t="s">
        <v>319</v>
      </c>
      <c r="H503" s="502">
        <v>52504</v>
      </c>
      <c r="I503" s="415">
        <v>10686.196042000001</v>
      </c>
      <c r="J503" s="415">
        <v>9923</v>
      </c>
      <c r="K503" s="415">
        <v>10865.04</v>
      </c>
      <c r="L503" s="415">
        <v>8747.67</v>
      </c>
      <c r="M503" s="415">
        <v>10009.01</v>
      </c>
      <c r="N503" s="415">
        <v>8599.7099999999991</v>
      </c>
      <c r="O503" s="415">
        <v>0</v>
      </c>
      <c r="P503" s="415">
        <v>0</v>
      </c>
      <c r="Q503" s="481">
        <f t="shared" si="53"/>
        <v>-763.1960420000014</v>
      </c>
    </row>
    <row r="504" spans="1:17" outlineLevel="2" x14ac:dyDescent="0.3">
      <c r="A504" s="366" t="str">
        <f>IFERROR(VLOOKUP(RIGHT(E504,3)+0,[1]SchLocTable!$A$2:$B$47,2,FALSE)," ")</f>
        <v>Central HS</v>
      </c>
      <c r="B504" s="366" t="str">
        <f>VLOOKUP(VALUE(D504),$D$3:F$106,3,FALSE)</f>
        <v>Paraprofessionals</v>
      </c>
      <c r="C504" t="s">
        <v>314</v>
      </c>
      <c r="D504">
        <v>803</v>
      </c>
      <c r="E504" t="s">
        <v>411</v>
      </c>
      <c r="F504" t="s">
        <v>316</v>
      </c>
      <c r="G504" t="s">
        <v>319</v>
      </c>
      <c r="H504" s="502">
        <v>51000</v>
      </c>
      <c r="I504" s="415">
        <v>0</v>
      </c>
      <c r="J504" s="415">
        <v>0</v>
      </c>
      <c r="K504" s="415">
        <v>45945.84</v>
      </c>
      <c r="L504" s="415">
        <v>40827.74</v>
      </c>
      <c r="M504" s="415">
        <v>45834.59</v>
      </c>
      <c r="N504" s="415">
        <v>43024.28</v>
      </c>
      <c r="O504" s="415">
        <v>0</v>
      </c>
      <c r="P504" s="415">
        <v>0</v>
      </c>
      <c r="Q504" s="481">
        <f t="shared" si="53"/>
        <v>0</v>
      </c>
    </row>
    <row r="505" spans="1:17" outlineLevel="2" x14ac:dyDescent="0.3">
      <c r="A505" s="366" t="str">
        <f>IFERROR(VLOOKUP(RIGHT(E505,3)+0,[1]SchLocTable!$A$2:$B$47,2,FALSE)," ")</f>
        <v>Central HS</v>
      </c>
      <c r="B505" s="366" t="str">
        <f>VLOOKUP(VALUE(D505),$D$3:F$106,3,FALSE)</f>
        <v>Paraprofessionals</v>
      </c>
      <c r="C505" t="s">
        <v>314</v>
      </c>
      <c r="D505">
        <v>803</v>
      </c>
      <c r="E505" t="s">
        <v>411</v>
      </c>
      <c r="F505" t="s">
        <v>360</v>
      </c>
      <c r="G505" t="s">
        <v>319</v>
      </c>
      <c r="H505" s="502">
        <v>52920</v>
      </c>
      <c r="I505" s="415">
        <v>0</v>
      </c>
      <c r="J505" s="415">
        <v>0</v>
      </c>
      <c r="K505" s="415">
        <v>0</v>
      </c>
      <c r="L505" s="415">
        <v>333.35</v>
      </c>
      <c r="M505" s="415">
        <v>500</v>
      </c>
      <c r="N505" s="415">
        <v>375</v>
      </c>
      <c r="O505" s="415">
        <v>0</v>
      </c>
      <c r="P505" s="415">
        <v>0</v>
      </c>
      <c r="Q505" s="481">
        <f t="shared" si="53"/>
        <v>0</v>
      </c>
    </row>
    <row r="506" spans="1:17" outlineLevel="2" x14ac:dyDescent="0.3">
      <c r="A506" s="366" t="str">
        <f>IFERROR(VLOOKUP(RIGHT(E506,3)+0,[1]SchLocTable!$A$2:$B$47,2,FALSE)," ")</f>
        <v>Central HS</v>
      </c>
      <c r="B506" s="366" t="str">
        <f>VLOOKUP(VALUE(D506),$D$3:F$106,3,FALSE)</f>
        <v>Paraprofessionals</v>
      </c>
      <c r="C506" t="s">
        <v>314</v>
      </c>
      <c r="D506">
        <v>803</v>
      </c>
      <c r="E506" t="s">
        <v>411</v>
      </c>
      <c r="F506" t="s">
        <v>321</v>
      </c>
      <c r="G506" t="s">
        <v>319</v>
      </c>
      <c r="H506" s="502">
        <v>52917</v>
      </c>
      <c r="I506" s="415">
        <v>0</v>
      </c>
      <c r="J506" s="415">
        <v>0</v>
      </c>
      <c r="K506" s="415">
        <v>8361.5400000000009</v>
      </c>
      <c r="L506" s="415">
        <v>1843.28</v>
      </c>
      <c r="M506" s="415">
        <v>0</v>
      </c>
      <c r="N506" s="415">
        <v>0</v>
      </c>
      <c r="O506" s="415">
        <v>0</v>
      </c>
      <c r="P506" s="415">
        <v>0</v>
      </c>
      <c r="Q506" s="481">
        <f t="shared" si="53"/>
        <v>0</v>
      </c>
    </row>
    <row r="507" spans="1:17" outlineLevel="2" x14ac:dyDescent="0.3">
      <c r="A507" s="366" t="str">
        <f>IFERROR(VLOOKUP(RIGHT(E507,3)+0,[1]SchLocTable!$A$2:$B$47,2,FALSE)," ")</f>
        <v>Central HS</v>
      </c>
      <c r="B507" s="366" t="str">
        <f>VLOOKUP(VALUE(D507),$D$3:F$106,3,FALSE)</f>
        <v>Paraprofessionals</v>
      </c>
      <c r="C507" t="s">
        <v>314</v>
      </c>
      <c r="D507">
        <v>803</v>
      </c>
      <c r="E507" t="s">
        <v>411</v>
      </c>
      <c r="F507" t="s">
        <v>320</v>
      </c>
      <c r="G507" t="s">
        <v>319</v>
      </c>
      <c r="H507" s="502">
        <v>52360</v>
      </c>
      <c r="I507" s="415">
        <v>0</v>
      </c>
      <c r="J507" s="415">
        <v>0</v>
      </c>
      <c r="K507" s="415">
        <v>601.1</v>
      </c>
      <c r="L507" s="415">
        <v>582.71</v>
      </c>
      <c r="M507" s="415">
        <v>671.84</v>
      </c>
      <c r="N507" s="415">
        <v>629.28</v>
      </c>
      <c r="O507" s="415">
        <v>0</v>
      </c>
      <c r="P507" s="415">
        <v>0</v>
      </c>
      <c r="Q507" s="481">
        <f t="shared" si="53"/>
        <v>0</v>
      </c>
    </row>
    <row r="508" spans="1:17" outlineLevel="2" x14ac:dyDescent="0.3">
      <c r="A508" s="366" t="str">
        <f>IFERROR(VLOOKUP(RIGHT(E508,3)+0,[1]SchLocTable!$A$2:$B$47,2,FALSE)," ")</f>
        <v>Central HS</v>
      </c>
      <c r="B508" s="366" t="str">
        <f>VLOOKUP(VALUE(D508),$D$3:F$106,3,FALSE)</f>
        <v>Paraprofessionals</v>
      </c>
      <c r="C508" t="s">
        <v>314</v>
      </c>
      <c r="D508">
        <v>803</v>
      </c>
      <c r="E508" t="s">
        <v>411</v>
      </c>
      <c r="F508" t="s">
        <v>392</v>
      </c>
      <c r="G508" t="s">
        <v>319</v>
      </c>
      <c r="H508" s="502">
        <v>52504</v>
      </c>
      <c r="I508" s="415">
        <v>0</v>
      </c>
      <c r="J508" s="415">
        <v>0</v>
      </c>
      <c r="K508" s="415">
        <v>9460.19</v>
      </c>
      <c r="L508" s="415">
        <v>3243.1</v>
      </c>
      <c r="M508" s="415">
        <v>9891.1299999999992</v>
      </c>
      <c r="N508" s="415">
        <v>2452.75</v>
      </c>
      <c r="O508" s="415">
        <v>0</v>
      </c>
      <c r="P508" s="415">
        <v>0</v>
      </c>
      <c r="Q508" s="481">
        <f t="shared" si="53"/>
        <v>0</v>
      </c>
    </row>
    <row r="509" spans="1:17" outlineLevel="2" x14ac:dyDescent="0.3">
      <c r="A509" s="366" t="str">
        <f>IFERROR(VLOOKUP(RIGHT(E509,3)+0,[1]SchLocTable!$A$2:$B$47,2,FALSE)," ")</f>
        <v>Central HS</v>
      </c>
      <c r="B509" s="366" t="str">
        <f>VLOOKUP(VALUE(D509),$D$3:F$106,3,FALSE)</f>
        <v>Paraprofessionals</v>
      </c>
      <c r="C509" t="s">
        <v>314</v>
      </c>
      <c r="D509">
        <v>803</v>
      </c>
      <c r="E509" t="s">
        <v>411</v>
      </c>
      <c r="F509" t="s">
        <v>324</v>
      </c>
      <c r="G509" t="s">
        <v>319</v>
      </c>
      <c r="H509" s="502">
        <v>52385</v>
      </c>
      <c r="I509" s="415">
        <v>0</v>
      </c>
      <c r="J509" s="415">
        <v>0</v>
      </c>
      <c r="K509" s="415">
        <v>0</v>
      </c>
      <c r="L509" s="415">
        <v>1559.22</v>
      </c>
      <c r="M509" s="415">
        <v>0</v>
      </c>
      <c r="N509" s="415">
        <v>1875.73</v>
      </c>
      <c r="O509" s="415">
        <v>0</v>
      </c>
      <c r="P509" s="415">
        <v>0</v>
      </c>
      <c r="Q509" s="481">
        <f t="shared" si="53"/>
        <v>0</v>
      </c>
    </row>
    <row r="510" spans="1:17" outlineLevel="2" x14ac:dyDescent="0.3">
      <c r="A510" s="366" t="str">
        <f>IFERROR(VLOOKUP(RIGHT(E510,3)+0,[1]SchLocTable!$A$2:$B$47,2,FALSE)," ")</f>
        <v>Harding HS</v>
      </c>
      <c r="B510" s="366" t="str">
        <f>VLOOKUP(VALUE(D510),$D$3:F$106,3,FALSE)</f>
        <v>Paraprofessionals</v>
      </c>
      <c r="C510" t="s">
        <v>314</v>
      </c>
      <c r="D510">
        <v>803</v>
      </c>
      <c r="E510" t="s">
        <v>412</v>
      </c>
      <c r="F510" t="s">
        <v>316</v>
      </c>
      <c r="G510" t="s">
        <v>319</v>
      </c>
      <c r="H510" s="502">
        <v>51000</v>
      </c>
      <c r="I510" s="415">
        <v>0</v>
      </c>
      <c r="J510" s="415">
        <v>0</v>
      </c>
      <c r="K510" s="415">
        <v>5510.07</v>
      </c>
      <c r="L510" s="415">
        <v>47285.919999999998</v>
      </c>
      <c r="M510" s="415">
        <v>41062.74</v>
      </c>
      <c r="N510" s="415">
        <v>45428.57</v>
      </c>
      <c r="O510" s="415">
        <v>0</v>
      </c>
      <c r="P510" s="415">
        <v>0</v>
      </c>
      <c r="Q510" s="481">
        <f t="shared" si="53"/>
        <v>0</v>
      </c>
    </row>
    <row r="511" spans="1:17" outlineLevel="2" x14ac:dyDescent="0.3">
      <c r="A511" s="366" t="str">
        <f>IFERROR(VLOOKUP(RIGHT(E511,3)+0,[1]SchLocTable!$A$2:$B$47,2,FALSE)," ")</f>
        <v>Harding HS</v>
      </c>
      <c r="B511" s="366" t="str">
        <f>VLOOKUP(VALUE(D511),$D$3:F$106,3,FALSE)</f>
        <v>Paraprofessionals</v>
      </c>
      <c r="C511" t="s">
        <v>314</v>
      </c>
      <c r="D511">
        <v>803</v>
      </c>
      <c r="E511" t="s">
        <v>412</v>
      </c>
      <c r="F511" t="s">
        <v>321</v>
      </c>
      <c r="G511" t="s">
        <v>319</v>
      </c>
      <c r="H511" s="502">
        <v>52917</v>
      </c>
      <c r="I511" s="415">
        <v>0</v>
      </c>
      <c r="J511" s="415">
        <v>0</v>
      </c>
      <c r="K511" s="415">
        <v>1123.7</v>
      </c>
      <c r="L511" s="415">
        <v>11441.49</v>
      </c>
      <c r="M511" s="415">
        <v>10039.73</v>
      </c>
      <c r="N511" s="415">
        <v>8592.99</v>
      </c>
      <c r="O511" s="415">
        <v>0</v>
      </c>
      <c r="P511" s="415">
        <v>0</v>
      </c>
      <c r="Q511" s="481">
        <f t="shared" ref="Q511:Q574" si="54">J511-I511</f>
        <v>0</v>
      </c>
    </row>
    <row r="512" spans="1:17" outlineLevel="2" x14ac:dyDescent="0.3">
      <c r="A512" s="366" t="str">
        <f>IFERROR(VLOOKUP(RIGHT(E512,3)+0,[1]SchLocTable!$A$2:$B$47,2,FALSE)," ")</f>
        <v>Harding HS</v>
      </c>
      <c r="B512" s="366" t="str">
        <f>VLOOKUP(VALUE(D512),$D$3:F$106,3,FALSE)</f>
        <v>Paraprofessionals</v>
      </c>
      <c r="C512" t="s">
        <v>314</v>
      </c>
      <c r="D512">
        <v>803</v>
      </c>
      <c r="E512" t="s">
        <v>412</v>
      </c>
      <c r="F512" t="s">
        <v>320</v>
      </c>
      <c r="G512" t="s">
        <v>319</v>
      </c>
      <c r="H512" s="502">
        <v>52360</v>
      </c>
      <c r="I512" s="415">
        <v>0</v>
      </c>
      <c r="J512" s="415">
        <v>0</v>
      </c>
      <c r="K512" s="415">
        <v>71.150000000000006</v>
      </c>
      <c r="L512" s="415">
        <v>596.27</v>
      </c>
      <c r="M512" s="415">
        <v>520.38</v>
      </c>
      <c r="N512" s="415">
        <v>597.47</v>
      </c>
      <c r="O512" s="415">
        <v>0</v>
      </c>
      <c r="P512" s="415">
        <v>0</v>
      </c>
      <c r="Q512" s="481">
        <f t="shared" si="54"/>
        <v>0</v>
      </c>
    </row>
    <row r="513" spans="1:17" outlineLevel="2" x14ac:dyDescent="0.3">
      <c r="A513" s="366" t="str">
        <f>IFERROR(VLOOKUP(RIGHT(E513,3)+0,[1]SchLocTable!$A$2:$B$47,2,FALSE)," ")</f>
        <v>Harding HS</v>
      </c>
      <c r="B513" s="366" t="str">
        <f>VLOOKUP(VALUE(D513),$D$3:F$106,3,FALSE)</f>
        <v>Paraprofessionals</v>
      </c>
      <c r="C513" t="s">
        <v>314</v>
      </c>
      <c r="D513">
        <v>803</v>
      </c>
      <c r="E513" t="s">
        <v>412</v>
      </c>
      <c r="F513" t="s">
        <v>392</v>
      </c>
      <c r="G513" t="s">
        <v>319</v>
      </c>
      <c r="H513" s="502">
        <v>52504</v>
      </c>
      <c r="I513" s="415">
        <v>0</v>
      </c>
      <c r="J513" s="415">
        <v>0</v>
      </c>
      <c r="K513" s="415">
        <v>1134.51</v>
      </c>
      <c r="L513" s="415">
        <v>9645.25</v>
      </c>
      <c r="M513" s="415">
        <v>8839.94</v>
      </c>
      <c r="N513" s="415">
        <v>8640.4699999999993</v>
      </c>
      <c r="O513" s="415">
        <v>0</v>
      </c>
      <c r="P513" s="415">
        <v>0</v>
      </c>
      <c r="Q513" s="481">
        <f t="shared" si="54"/>
        <v>0</v>
      </c>
    </row>
    <row r="514" spans="1:17" outlineLevel="2" x14ac:dyDescent="0.3">
      <c r="A514" s="366" t="str">
        <f>IFERROR(VLOOKUP(RIGHT(E514,3)+0,[1]SchLocTable!$A$2:$B$47,2,FALSE)," ")</f>
        <v>FCW campus</v>
      </c>
      <c r="B514" s="366" t="str">
        <f>VLOOKUP(VALUE(D514),$D$3:F$106,3,FALSE)</f>
        <v>Paraprofessionals</v>
      </c>
      <c r="C514" t="s">
        <v>314</v>
      </c>
      <c r="D514">
        <v>803</v>
      </c>
      <c r="E514" t="s">
        <v>413</v>
      </c>
      <c r="F514" t="s">
        <v>316</v>
      </c>
      <c r="G514">
        <v>1</v>
      </c>
      <c r="H514" s="502">
        <v>51000</v>
      </c>
      <c r="I514" s="415">
        <v>49425.596999999994</v>
      </c>
      <c r="J514" s="415">
        <v>11020.14</v>
      </c>
      <c r="K514" s="415">
        <v>47753.94</v>
      </c>
      <c r="L514" s="415">
        <v>47285.94</v>
      </c>
      <c r="M514" s="415">
        <v>41062.769999999997</v>
      </c>
      <c r="N514" s="415">
        <v>44938.02</v>
      </c>
      <c r="O514" s="415">
        <v>0</v>
      </c>
      <c r="P514" s="415">
        <v>0</v>
      </c>
      <c r="Q514" s="481">
        <f t="shared" si="54"/>
        <v>-38405.456999999995</v>
      </c>
    </row>
    <row r="515" spans="1:17" outlineLevel="2" x14ac:dyDescent="0.3">
      <c r="A515" s="366" t="str">
        <f>IFERROR(VLOOKUP(RIGHT(E515,3)+0,[1]SchLocTable!$A$2:$B$47,2,FALSE)," ")</f>
        <v>FCW campus</v>
      </c>
      <c r="B515" s="366" t="str">
        <f>VLOOKUP(VALUE(D515),$D$3:F$106,3,FALSE)</f>
        <v>Paraprofessionals</v>
      </c>
      <c r="C515" t="s">
        <v>314</v>
      </c>
      <c r="D515">
        <v>803</v>
      </c>
      <c r="E515" t="s">
        <v>413</v>
      </c>
      <c r="F515" t="s">
        <v>321</v>
      </c>
      <c r="G515" t="s">
        <v>319</v>
      </c>
      <c r="H515" s="502">
        <v>52917</v>
      </c>
      <c r="I515" s="415">
        <v>45495.527999999998</v>
      </c>
      <c r="J515" s="415">
        <v>8749.14</v>
      </c>
      <c r="K515" s="415">
        <v>33508.720000000001</v>
      </c>
      <c r="L515" s="415">
        <v>32157.5</v>
      </c>
      <c r="M515" s="415">
        <v>27775.79</v>
      </c>
      <c r="N515" s="415">
        <v>23431.17</v>
      </c>
      <c r="O515" s="415">
        <v>0</v>
      </c>
      <c r="P515" s="415">
        <v>0</v>
      </c>
      <c r="Q515" s="481">
        <f t="shared" si="54"/>
        <v>-36746.387999999999</v>
      </c>
    </row>
    <row r="516" spans="1:17" outlineLevel="2" x14ac:dyDescent="0.3">
      <c r="A516" s="366" t="str">
        <f>IFERROR(VLOOKUP(RIGHT(E516,3)+0,[1]SchLocTable!$A$2:$B$47,2,FALSE)," ")</f>
        <v>FCW campus</v>
      </c>
      <c r="B516" s="366" t="str">
        <f>VLOOKUP(VALUE(D516),$D$3:F$106,3,FALSE)</f>
        <v>Paraprofessionals</v>
      </c>
      <c r="C516" t="s">
        <v>314</v>
      </c>
      <c r="D516">
        <v>803</v>
      </c>
      <c r="E516" t="s">
        <v>413</v>
      </c>
      <c r="F516" t="s">
        <v>318</v>
      </c>
      <c r="G516" t="s">
        <v>319</v>
      </c>
      <c r="H516" s="502">
        <v>51140</v>
      </c>
      <c r="I516" s="415">
        <v>1725</v>
      </c>
      <c r="J516" s="415">
        <v>1610</v>
      </c>
      <c r="K516" s="415">
        <v>1540</v>
      </c>
      <c r="L516" s="415">
        <v>1470</v>
      </c>
      <c r="M516" s="415">
        <v>1400</v>
      </c>
      <c r="N516" s="415">
        <v>1330</v>
      </c>
      <c r="O516" s="415">
        <v>0</v>
      </c>
      <c r="P516" s="415">
        <v>0</v>
      </c>
      <c r="Q516" s="481">
        <f t="shared" si="54"/>
        <v>-115</v>
      </c>
    </row>
    <row r="517" spans="1:17" outlineLevel="2" x14ac:dyDescent="0.3">
      <c r="A517" s="366" t="str">
        <f>IFERROR(VLOOKUP(RIGHT(E517,3)+0,[1]SchLocTable!$A$2:$B$47,2,FALSE)," ")</f>
        <v>FCW campus</v>
      </c>
      <c r="B517" s="366" t="str">
        <f>VLOOKUP(VALUE(D517),$D$3:F$106,3,FALSE)</f>
        <v>Paraprofessionals</v>
      </c>
      <c r="C517" t="s">
        <v>314</v>
      </c>
      <c r="D517">
        <v>803</v>
      </c>
      <c r="E517" t="s">
        <v>413</v>
      </c>
      <c r="F517" t="s">
        <v>320</v>
      </c>
      <c r="G517" t="s">
        <v>319</v>
      </c>
      <c r="H517" s="502">
        <v>52360</v>
      </c>
      <c r="I517" s="415">
        <v>716.67115649999994</v>
      </c>
      <c r="J517" s="415">
        <v>143.99</v>
      </c>
      <c r="K517" s="415">
        <v>559.26</v>
      </c>
      <c r="L517" s="415">
        <v>558.62</v>
      </c>
      <c r="M517" s="415">
        <v>487.58</v>
      </c>
      <c r="N517" s="415">
        <v>563.22</v>
      </c>
      <c r="O517" s="415">
        <v>0</v>
      </c>
      <c r="P517" s="415">
        <v>0</v>
      </c>
      <c r="Q517" s="481">
        <f t="shared" si="54"/>
        <v>-572.68115649999993</v>
      </c>
    </row>
    <row r="518" spans="1:17" outlineLevel="2" x14ac:dyDescent="0.3">
      <c r="A518" s="366" t="str">
        <f>IFERROR(VLOOKUP(RIGHT(E518,3)+0,[1]SchLocTable!$A$2:$B$47,2,FALSE)," ")</f>
        <v>FCW campus</v>
      </c>
      <c r="B518" s="366" t="str">
        <f>VLOOKUP(VALUE(D518),$D$3:F$106,3,FALSE)</f>
        <v>Paraprofessionals</v>
      </c>
      <c r="C518" t="s">
        <v>314</v>
      </c>
      <c r="D518">
        <v>803</v>
      </c>
      <c r="E518" t="s">
        <v>413</v>
      </c>
      <c r="F518" t="s">
        <v>392</v>
      </c>
      <c r="G518" t="s">
        <v>319</v>
      </c>
      <c r="H518" s="502">
        <v>52504</v>
      </c>
      <c r="I518" s="415">
        <v>10270.639056599999</v>
      </c>
      <c r="J518" s="415">
        <v>2648.42</v>
      </c>
      <c r="K518" s="415">
        <v>10153.09</v>
      </c>
      <c r="L518" s="415">
        <v>9944.99</v>
      </c>
      <c r="M518" s="415">
        <v>9142.06</v>
      </c>
      <c r="N518" s="415">
        <v>8800.16</v>
      </c>
      <c r="O518" s="415">
        <v>0</v>
      </c>
      <c r="P518" s="415">
        <v>0</v>
      </c>
      <c r="Q518" s="481">
        <f t="shared" si="54"/>
        <v>-7622.219056599999</v>
      </c>
    </row>
    <row r="519" spans="1:17" outlineLevel="2" x14ac:dyDescent="0.3">
      <c r="A519" s="366" t="str">
        <f>IFERROR(VLOOKUP(RIGHT(E519,3)+0,[1]SchLocTable!$A$2:$B$47,2,FALSE)," ")</f>
        <v xml:space="preserve"> </v>
      </c>
      <c r="B519" s="366" t="str">
        <f>VLOOKUP(VALUE(D519),$D$3:F$106,3,FALSE)</f>
        <v>School Clericals</v>
      </c>
      <c r="C519" t="s">
        <v>314</v>
      </c>
      <c r="D519">
        <v>804</v>
      </c>
      <c r="E519" t="s">
        <v>414</v>
      </c>
      <c r="F519" t="s">
        <v>316</v>
      </c>
      <c r="G519">
        <v>4</v>
      </c>
      <c r="H519" s="502">
        <v>51000</v>
      </c>
      <c r="I519" s="415">
        <v>227536.74241999997</v>
      </c>
      <c r="J519" s="415">
        <v>0</v>
      </c>
      <c r="K519" s="415">
        <v>0</v>
      </c>
      <c r="L519" s="415">
        <v>0</v>
      </c>
      <c r="M519" s="415">
        <v>0</v>
      </c>
      <c r="N519" s="415">
        <v>0</v>
      </c>
      <c r="O519" s="415">
        <v>0</v>
      </c>
      <c r="P519" s="415">
        <v>0</v>
      </c>
      <c r="Q519" s="481">
        <f t="shared" si="54"/>
        <v>-227536.74241999997</v>
      </c>
    </row>
    <row r="520" spans="1:17" outlineLevel="2" x14ac:dyDescent="0.3">
      <c r="A520" s="366" t="str">
        <f>IFERROR(VLOOKUP(RIGHT(E520,3)+0,[1]SchLocTable!$A$2:$B$47,2,FALSE)," ")</f>
        <v xml:space="preserve"> </v>
      </c>
      <c r="B520" s="366" t="str">
        <f>VLOOKUP(VALUE(D520),$D$3:F$106,3,FALSE)</f>
        <v>School Clericals</v>
      </c>
      <c r="C520" t="s">
        <v>314</v>
      </c>
      <c r="D520">
        <v>804</v>
      </c>
      <c r="E520" t="s">
        <v>414</v>
      </c>
      <c r="F520" t="s">
        <v>321</v>
      </c>
      <c r="G520" t="s">
        <v>319</v>
      </c>
      <c r="H520" s="502">
        <v>52917</v>
      </c>
      <c r="I520" s="415">
        <v>142116.62399999998</v>
      </c>
      <c r="J520" s="415">
        <v>0</v>
      </c>
      <c r="K520" s="415">
        <v>0</v>
      </c>
      <c r="L520" s="415">
        <v>0</v>
      </c>
      <c r="M520" s="415">
        <v>0</v>
      </c>
      <c r="N520" s="415">
        <v>0</v>
      </c>
      <c r="O520" s="415">
        <v>0</v>
      </c>
      <c r="P520" s="415">
        <v>0</v>
      </c>
      <c r="Q520" s="481">
        <f t="shared" si="54"/>
        <v>-142116.62399999998</v>
      </c>
    </row>
    <row r="521" spans="1:17" outlineLevel="2" x14ac:dyDescent="0.3">
      <c r="A521" s="366" t="str">
        <f>IFERROR(VLOOKUP(RIGHT(E521,3)+0,[1]SchLocTable!$A$2:$B$47,2,FALSE)," ")</f>
        <v xml:space="preserve"> </v>
      </c>
      <c r="B521" s="366" t="str">
        <f>VLOOKUP(VALUE(D521),$D$3:F$106,3,FALSE)</f>
        <v>School Clericals</v>
      </c>
      <c r="C521" t="s">
        <v>314</v>
      </c>
      <c r="D521">
        <v>804</v>
      </c>
      <c r="E521" t="s">
        <v>414</v>
      </c>
      <c r="F521" t="s">
        <v>318</v>
      </c>
      <c r="G521" t="s">
        <v>319</v>
      </c>
      <c r="H521" s="502">
        <v>51140</v>
      </c>
      <c r="I521" s="415">
        <v>5765</v>
      </c>
      <c r="J521" s="415">
        <v>0</v>
      </c>
      <c r="K521" s="415">
        <v>0</v>
      </c>
      <c r="L521" s="415">
        <v>0</v>
      </c>
      <c r="M521" s="415">
        <v>0</v>
      </c>
      <c r="N521" s="415">
        <v>0</v>
      </c>
      <c r="O521" s="415">
        <v>0</v>
      </c>
      <c r="P521" s="415">
        <v>0</v>
      </c>
      <c r="Q521" s="481">
        <f t="shared" si="54"/>
        <v>-5765</v>
      </c>
    </row>
    <row r="522" spans="1:17" outlineLevel="2" x14ac:dyDescent="0.3">
      <c r="A522" s="366" t="str">
        <f>IFERROR(VLOOKUP(RIGHT(E522,3)+0,[1]SchLocTable!$A$2:$B$47,2,FALSE)," ")</f>
        <v xml:space="preserve"> </v>
      </c>
      <c r="B522" s="366" t="str">
        <f>VLOOKUP(VALUE(D522),$D$3:F$106,3,FALSE)</f>
        <v>School Clericals</v>
      </c>
      <c r="C522" t="s">
        <v>314</v>
      </c>
      <c r="D522">
        <v>804</v>
      </c>
      <c r="E522" t="s">
        <v>414</v>
      </c>
      <c r="F522" t="s">
        <v>320</v>
      </c>
      <c r="G522" t="s">
        <v>319</v>
      </c>
      <c r="H522" s="502">
        <v>52360</v>
      </c>
      <c r="I522" s="415">
        <v>3299.2827650899999</v>
      </c>
      <c r="J522" s="415">
        <v>0</v>
      </c>
      <c r="K522" s="415">
        <v>0</v>
      </c>
      <c r="L522" s="415">
        <v>0</v>
      </c>
      <c r="M522" s="415">
        <v>1.17</v>
      </c>
      <c r="N522" s="415">
        <v>0</v>
      </c>
      <c r="O522" s="415">
        <v>0</v>
      </c>
      <c r="P522" s="415">
        <v>0</v>
      </c>
      <c r="Q522" s="481">
        <f t="shared" si="54"/>
        <v>-3299.2827650899999</v>
      </c>
    </row>
    <row r="523" spans="1:17" outlineLevel="2" x14ac:dyDescent="0.3">
      <c r="A523" s="366" t="str">
        <f>IFERROR(VLOOKUP(RIGHT(E523,3)+0,[1]SchLocTable!$A$2:$B$47,2,FALSE)," ")</f>
        <v xml:space="preserve"> </v>
      </c>
      <c r="B523" s="366" t="str">
        <f>VLOOKUP(VALUE(D523),$D$3:F$106,3,FALSE)</f>
        <v>School Clericals</v>
      </c>
      <c r="C523" t="s">
        <v>314</v>
      </c>
      <c r="D523">
        <v>804</v>
      </c>
      <c r="E523" t="s">
        <v>414</v>
      </c>
      <c r="F523" t="s">
        <v>392</v>
      </c>
      <c r="G523" t="s">
        <v>319</v>
      </c>
      <c r="H523" s="502">
        <v>52504</v>
      </c>
      <c r="I523" s="415">
        <v>47282.135074875994</v>
      </c>
      <c r="J523" s="415">
        <v>0</v>
      </c>
      <c r="K523" s="415">
        <v>0</v>
      </c>
      <c r="L523" s="415">
        <v>0</v>
      </c>
      <c r="M523" s="415">
        <v>17.399999999999999</v>
      </c>
      <c r="N523" s="415">
        <v>0</v>
      </c>
      <c r="O523" s="415">
        <v>0</v>
      </c>
      <c r="P523" s="415">
        <v>0</v>
      </c>
      <c r="Q523" s="481">
        <f t="shared" si="54"/>
        <v>-47282.135074875994</v>
      </c>
    </row>
    <row r="524" spans="1:17" outlineLevel="2" x14ac:dyDescent="0.3">
      <c r="A524" s="366" t="str">
        <f>IFERROR(VLOOKUP(RIGHT(E524,3)+0,[1]SchLocTable!$A$2:$B$47,2,FALSE)," ")</f>
        <v xml:space="preserve"> </v>
      </c>
      <c r="B524" s="366" t="str">
        <f>VLOOKUP(VALUE(D524),$D$3:F$106,3,FALSE)</f>
        <v>School Clericals</v>
      </c>
      <c r="C524" t="s">
        <v>314</v>
      </c>
      <c r="D524">
        <v>804</v>
      </c>
      <c r="E524" t="s">
        <v>414</v>
      </c>
      <c r="F524" t="s">
        <v>452</v>
      </c>
      <c r="G524" t="s">
        <v>319</v>
      </c>
      <c r="H524" s="502">
        <v>51108</v>
      </c>
      <c r="I524" s="415">
        <v>0</v>
      </c>
      <c r="J524" s="415">
        <v>0</v>
      </c>
      <c r="K524" s="415">
        <v>0</v>
      </c>
      <c r="L524" s="415">
        <v>0</v>
      </c>
      <c r="M524" s="415">
        <v>52.58</v>
      </c>
      <c r="N524" s="415">
        <v>0</v>
      </c>
      <c r="O524" s="415">
        <v>0</v>
      </c>
      <c r="P524" s="415">
        <v>0</v>
      </c>
      <c r="Q524" s="481">
        <f t="shared" si="54"/>
        <v>0</v>
      </c>
    </row>
    <row r="525" spans="1:17" outlineLevel="2" x14ac:dyDescent="0.3">
      <c r="A525" s="366" t="str">
        <f>IFERROR(VLOOKUP(RIGHT(E525,3)+0,[1]SchLocTable!$A$2:$B$47,2,FALSE)," ")</f>
        <v xml:space="preserve"> </v>
      </c>
      <c r="B525" s="366" t="str">
        <f>VLOOKUP(VALUE(D525),$D$3:F$106,3,FALSE)</f>
        <v>School Clericals</v>
      </c>
      <c r="C525" t="s">
        <v>314</v>
      </c>
      <c r="D525">
        <v>804</v>
      </c>
      <c r="E525" t="s">
        <v>414</v>
      </c>
      <c r="F525" t="s">
        <v>427</v>
      </c>
      <c r="G525" t="s">
        <v>319</v>
      </c>
      <c r="H525" s="502">
        <v>51106</v>
      </c>
      <c r="I525" s="415">
        <v>0</v>
      </c>
      <c r="J525" s="415">
        <v>0</v>
      </c>
      <c r="K525" s="415">
        <v>0</v>
      </c>
      <c r="L525" s="415">
        <v>0</v>
      </c>
      <c r="M525" s="415">
        <v>28.04</v>
      </c>
      <c r="N525" s="415">
        <v>0</v>
      </c>
      <c r="O525" s="415">
        <v>0</v>
      </c>
      <c r="P525" s="415">
        <v>0</v>
      </c>
      <c r="Q525" s="481">
        <f t="shared" si="54"/>
        <v>0</v>
      </c>
    </row>
    <row r="526" spans="1:17" outlineLevel="2" x14ac:dyDescent="0.3">
      <c r="A526" s="366" t="str">
        <f>IFERROR(VLOOKUP(RIGHT(E526,3)+0,[1]SchLocTable!$A$2:$B$47,2,FALSE)," ")</f>
        <v>Barnum</v>
      </c>
      <c r="B526" s="366" t="str">
        <f>VLOOKUP(VALUE(D526),$D$3:F$106,3,FALSE)</f>
        <v>School Clericals</v>
      </c>
      <c r="C526" t="s">
        <v>314</v>
      </c>
      <c r="D526">
        <v>804</v>
      </c>
      <c r="E526" t="s">
        <v>415</v>
      </c>
      <c r="F526" t="s">
        <v>316</v>
      </c>
      <c r="G526">
        <v>2</v>
      </c>
      <c r="H526" s="502">
        <v>51000</v>
      </c>
      <c r="I526" s="415">
        <v>94087.531148000009</v>
      </c>
      <c r="J526" s="415">
        <v>89356.800000000003</v>
      </c>
      <c r="K526" s="415">
        <v>85905.279999999999</v>
      </c>
      <c r="L526" s="415">
        <v>62466.87</v>
      </c>
      <c r="M526" s="415">
        <v>46462.81</v>
      </c>
      <c r="N526" s="415">
        <v>84077.77</v>
      </c>
      <c r="O526" s="415">
        <v>92679.12</v>
      </c>
      <c r="P526" s="415">
        <v>88757.42</v>
      </c>
      <c r="Q526" s="481">
        <f t="shared" si="54"/>
        <v>-4730.7311480000062</v>
      </c>
    </row>
    <row r="527" spans="1:17" outlineLevel="2" x14ac:dyDescent="0.3">
      <c r="A527" s="366" t="str">
        <f>IFERROR(VLOOKUP(RIGHT(E527,3)+0,[1]SchLocTable!$A$2:$B$47,2,FALSE)," ")</f>
        <v>Barnum</v>
      </c>
      <c r="B527" s="366" t="str">
        <f>VLOOKUP(VALUE(D527),$D$3:F$106,3,FALSE)</f>
        <v>School Clericals</v>
      </c>
      <c r="C527" t="s">
        <v>314</v>
      </c>
      <c r="D527">
        <v>804</v>
      </c>
      <c r="E527" t="s">
        <v>415</v>
      </c>
      <c r="F527" t="s">
        <v>360</v>
      </c>
      <c r="G527" t="s">
        <v>319</v>
      </c>
      <c r="H527" s="502">
        <v>52920</v>
      </c>
      <c r="I527" s="415">
        <v>2000</v>
      </c>
      <c r="J527" s="415">
        <v>0</v>
      </c>
      <c r="K527" s="415">
        <v>2000</v>
      </c>
      <c r="L527" s="415">
        <v>2250</v>
      </c>
      <c r="M527" s="415">
        <v>1000</v>
      </c>
      <c r="N527" s="415">
        <v>1083.3499999999999</v>
      </c>
      <c r="O527" s="415">
        <v>500</v>
      </c>
      <c r="P527" s="415">
        <v>500</v>
      </c>
      <c r="Q527" s="481">
        <f t="shared" si="54"/>
        <v>-2000</v>
      </c>
    </row>
    <row r="528" spans="1:17" outlineLevel="2" x14ac:dyDescent="0.3">
      <c r="A528" s="366" t="str">
        <f>IFERROR(VLOOKUP(RIGHT(E528,3)+0,[1]SchLocTable!$A$2:$B$47,2,FALSE)," ")</f>
        <v>Barnum</v>
      </c>
      <c r="B528" s="366" t="str">
        <f>VLOOKUP(VALUE(D528),$D$3:F$106,3,FALSE)</f>
        <v>School Clericals</v>
      </c>
      <c r="C528" t="s">
        <v>314</v>
      </c>
      <c r="D528">
        <v>804</v>
      </c>
      <c r="E528" t="s">
        <v>415</v>
      </c>
      <c r="F528" t="s">
        <v>321</v>
      </c>
      <c r="G528" t="s">
        <v>319</v>
      </c>
      <c r="H528" s="502">
        <v>52917</v>
      </c>
      <c r="I528" s="415">
        <v>32315.087999999996</v>
      </c>
      <c r="J528" s="415">
        <v>27142</v>
      </c>
      <c r="K528" s="415">
        <v>22996.22</v>
      </c>
      <c r="L528" s="415">
        <v>1676.74</v>
      </c>
      <c r="M528" s="415">
        <v>2707.46</v>
      </c>
      <c r="N528" s="415">
        <v>11343.4</v>
      </c>
      <c r="O528" s="415">
        <v>9762.75</v>
      </c>
      <c r="P528" s="415">
        <v>9308.19</v>
      </c>
      <c r="Q528" s="481">
        <f t="shared" si="54"/>
        <v>-5173.0879999999961</v>
      </c>
    </row>
    <row r="529" spans="1:17" outlineLevel="2" x14ac:dyDescent="0.3">
      <c r="A529" s="366" t="str">
        <f>IFERROR(VLOOKUP(RIGHT(E529,3)+0,[1]SchLocTable!$A$2:$B$47,2,FALSE)," ")</f>
        <v>Barnum</v>
      </c>
      <c r="B529" s="366" t="str">
        <f>VLOOKUP(VALUE(D529),$D$3:F$106,3,FALSE)</f>
        <v>School Clericals</v>
      </c>
      <c r="C529" t="s">
        <v>314</v>
      </c>
      <c r="D529">
        <v>804</v>
      </c>
      <c r="E529" t="s">
        <v>415</v>
      </c>
      <c r="F529" t="s">
        <v>318</v>
      </c>
      <c r="G529" t="s">
        <v>319</v>
      </c>
      <c r="H529" s="502">
        <v>51140</v>
      </c>
      <c r="I529" s="415">
        <v>975</v>
      </c>
      <c r="J529" s="415">
        <v>975</v>
      </c>
      <c r="K529" s="415">
        <v>900</v>
      </c>
      <c r="L529" s="415">
        <v>825</v>
      </c>
      <c r="M529" s="415">
        <v>750</v>
      </c>
      <c r="N529" s="415">
        <v>3937.5</v>
      </c>
      <c r="O529" s="415">
        <v>2250</v>
      </c>
      <c r="P529" s="415">
        <v>2250</v>
      </c>
      <c r="Q529" s="481">
        <f t="shared" si="54"/>
        <v>0</v>
      </c>
    </row>
    <row r="530" spans="1:17" outlineLevel="2" x14ac:dyDescent="0.3">
      <c r="A530" s="366" t="str">
        <f>IFERROR(VLOOKUP(RIGHT(E530,3)+0,[1]SchLocTable!$A$2:$B$47,2,FALSE)," ")</f>
        <v>Barnum</v>
      </c>
      <c r="B530" s="366" t="str">
        <f>VLOOKUP(VALUE(D530),$D$3:F$106,3,FALSE)</f>
        <v>School Clericals</v>
      </c>
      <c r="C530" t="s">
        <v>314</v>
      </c>
      <c r="D530">
        <v>804</v>
      </c>
      <c r="E530" t="s">
        <v>415</v>
      </c>
      <c r="F530" t="s">
        <v>320</v>
      </c>
      <c r="G530" t="s">
        <v>319</v>
      </c>
      <c r="H530" s="502">
        <v>52360</v>
      </c>
      <c r="I530" s="415">
        <v>1393.2692016460001</v>
      </c>
      <c r="J530" s="415">
        <v>1145</v>
      </c>
      <c r="K530" s="415">
        <v>1131.45</v>
      </c>
      <c r="L530" s="415">
        <v>950.3</v>
      </c>
      <c r="M530" s="415">
        <v>787.28</v>
      </c>
      <c r="N530" s="415">
        <v>563.77</v>
      </c>
      <c r="O530" s="415">
        <v>682.85</v>
      </c>
      <c r="P530" s="415">
        <v>628.9</v>
      </c>
      <c r="Q530" s="481">
        <f t="shared" si="54"/>
        <v>-248.26920164600006</v>
      </c>
    </row>
    <row r="531" spans="1:17" outlineLevel="2" x14ac:dyDescent="0.3">
      <c r="A531" s="366" t="str">
        <f>IFERROR(VLOOKUP(RIGHT(E531,3)+0,[1]SchLocTable!$A$2:$B$47,2,FALSE)," ")</f>
        <v>Barnum</v>
      </c>
      <c r="B531" s="366" t="str">
        <f>VLOOKUP(VALUE(D531),$D$3:F$106,3,FALSE)</f>
        <v>School Clericals</v>
      </c>
      <c r="C531" t="s">
        <v>314</v>
      </c>
      <c r="D531">
        <v>804</v>
      </c>
      <c r="E531" t="s">
        <v>415</v>
      </c>
      <c r="F531" t="s">
        <v>392</v>
      </c>
      <c r="G531" t="s">
        <v>319</v>
      </c>
      <c r="H531" s="502">
        <v>52504</v>
      </c>
      <c r="I531" s="415">
        <v>19966.988972554402</v>
      </c>
      <c r="J531" s="415">
        <v>18770.990000000002</v>
      </c>
      <c r="K531" s="415">
        <v>17877.09</v>
      </c>
      <c r="L531" s="415">
        <v>12908.46</v>
      </c>
      <c r="M531" s="415">
        <v>10435.18</v>
      </c>
      <c r="N531" s="415">
        <v>16403.55</v>
      </c>
      <c r="O531" s="415">
        <v>15633.35</v>
      </c>
      <c r="P531" s="415">
        <v>13001.76</v>
      </c>
      <c r="Q531" s="481">
        <f t="shared" si="54"/>
        <v>-1195.9989725544001</v>
      </c>
    </row>
    <row r="532" spans="1:17" outlineLevel="2" x14ac:dyDescent="0.3">
      <c r="A532" s="366" t="str">
        <f>IFERROR(VLOOKUP(RIGHT(E532,3)+0,[1]SchLocTable!$A$2:$B$47,2,FALSE)," ")</f>
        <v>Barnum</v>
      </c>
      <c r="B532" s="366" t="str">
        <f>VLOOKUP(VALUE(D532),$D$3:F$106,3,FALSE)</f>
        <v>School Clericals</v>
      </c>
      <c r="C532" t="s">
        <v>314</v>
      </c>
      <c r="D532">
        <v>804</v>
      </c>
      <c r="E532" t="s">
        <v>415</v>
      </c>
      <c r="F532" t="s">
        <v>317</v>
      </c>
      <c r="G532" t="s">
        <v>319</v>
      </c>
      <c r="H532" s="502">
        <v>51100</v>
      </c>
      <c r="I532" s="415">
        <v>0</v>
      </c>
      <c r="J532" s="415">
        <v>0</v>
      </c>
      <c r="K532" s="415">
        <v>925.32</v>
      </c>
      <c r="L532" s="415">
        <v>0</v>
      </c>
      <c r="M532" s="415">
        <v>5082.6499999999996</v>
      </c>
      <c r="N532" s="415">
        <v>0</v>
      </c>
      <c r="O532" s="415">
        <v>0</v>
      </c>
      <c r="P532" s="415">
        <v>0</v>
      </c>
      <c r="Q532" s="481">
        <f t="shared" si="54"/>
        <v>0</v>
      </c>
    </row>
    <row r="533" spans="1:17" outlineLevel="2" x14ac:dyDescent="0.3">
      <c r="A533" s="366" t="str">
        <f>IFERROR(VLOOKUP(RIGHT(E533,3)+0,[1]SchLocTable!$A$2:$B$47,2,FALSE)," ")</f>
        <v>Beardsley</v>
      </c>
      <c r="B533" s="366" t="str">
        <f>VLOOKUP(VALUE(D533),$D$3:F$106,3,FALSE)</f>
        <v>School Clericals</v>
      </c>
      <c r="C533" t="s">
        <v>314</v>
      </c>
      <c r="D533">
        <v>804</v>
      </c>
      <c r="E533" t="s">
        <v>416</v>
      </c>
      <c r="F533" t="s">
        <v>316</v>
      </c>
      <c r="G533">
        <v>1</v>
      </c>
      <c r="H533" s="502">
        <v>51000</v>
      </c>
      <c r="I533" s="415">
        <v>57618.961607999998</v>
      </c>
      <c r="J533" s="415">
        <v>51970</v>
      </c>
      <c r="K533" s="415">
        <v>52169.68</v>
      </c>
      <c r="L533" s="415">
        <v>51524.45</v>
      </c>
      <c r="M533" s="415">
        <v>47338.38</v>
      </c>
      <c r="N533" s="415">
        <v>46406.51</v>
      </c>
      <c r="O533" s="415">
        <v>46624.4</v>
      </c>
      <c r="P533" s="415">
        <v>44775.8</v>
      </c>
      <c r="Q533" s="481">
        <f t="shared" si="54"/>
        <v>-5648.9616079999978</v>
      </c>
    </row>
    <row r="534" spans="1:17" outlineLevel="2" x14ac:dyDescent="0.3">
      <c r="A534" s="366" t="str">
        <f>IFERROR(VLOOKUP(RIGHT(E534,3)+0,[1]SchLocTable!$A$2:$B$47,2,FALSE)," ")</f>
        <v>Beardsley</v>
      </c>
      <c r="B534" s="366" t="str">
        <f>VLOOKUP(VALUE(D534),$D$3:F$106,3,FALSE)</f>
        <v>School Clericals</v>
      </c>
      <c r="C534" t="s">
        <v>314</v>
      </c>
      <c r="D534">
        <v>804</v>
      </c>
      <c r="E534" t="s">
        <v>416</v>
      </c>
      <c r="F534" t="s">
        <v>321</v>
      </c>
      <c r="G534" t="s">
        <v>319</v>
      </c>
      <c r="H534" s="502">
        <v>52917</v>
      </c>
      <c r="I534" s="415">
        <v>15361.008</v>
      </c>
      <c r="J534" s="415">
        <v>12732</v>
      </c>
      <c r="K534" s="415">
        <v>11604.16</v>
      </c>
      <c r="L534" s="415">
        <v>11327.94</v>
      </c>
      <c r="M534" s="415">
        <v>10648.31</v>
      </c>
      <c r="N534" s="415">
        <v>9842.83</v>
      </c>
      <c r="O534" s="415">
        <v>9326.7800000000007</v>
      </c>
      <c r="P534" s="415">
        <v>8862.34</v>
      </c>
      <c r="Q534" s="481">
        <f t="shared" si="54"/>
        <v>-2629.0079999999998</v>
      </c>
    </row>
    <row r="535" spans="1:17" outlineLevel="2" x14ac:dyDescent="0.3">
      <c r="A535" s="366" t="str">
        <f>IFERROR(VLOOKUP(RIGHT(E535,3)+0,[1]SchLocTable!$A$2:$B$47,2,FALSE)," ")</f>
        <v>Beardsley</v>
      </c>
      <c r="B535" s="366" t="str">
        <f>VLOOKUP(VALUE(D535),$D$3:F$106,3,FALSE)</f>
        <v>School Clericals</v>
      </c>
      <c r="C535" t="s">
        <v>314</v>
      </c>
      <c r="D535">
        <v>804</v>
      </c>
      <c r="E535" t="s">
        <v>416</v>
      </c>
      <c r="F535" t="s">
        <v>318</v>
      </c>
      <c r="G535" t="s">
        <v>319</v>
      </c>
      <c r="H535" s="502">
        <v>51140</v>
      </c>
      <c r="I535" s="415">
        <v>1610</v>
      </c>
      <c r="J535" s="415">
        <v>0</v>
      </c>
      <c r="K535" s="415">
        <v>1540</v>
      </c>
      <c r="L535" s="415">
        <v>1470</v>
      </c>
      <c r="M535" s="415">
        <v>1400</v>
      </c>
      <c r="N535" s="415">
        <v>1330</v>
      </c>
      <c r="O535" s="415">
        <v>1260</v>
      </c>
      <c r="P535" s="415">
        <v>1190</v>
      </c>
      <c r="Q535" s="481">
        <f t="shared" si="54"/>
        <v>-1610</v>
      </c>
    </row>
    <row r="536" spans="1:17" outlineLevel="2" x14ac:dyDescent="0.3">
      <c r="A536" s="366" t="str">
        <f>IFERROR(VLOOKUP(RIGHT(E536,3)+0,[1]SchLocTable!$A$2:$B$47,2,FALSE)," ")</f>
        <v>Beardsley</v>
      </c>
      <c r="B536" s="366" t="str">
        <f>VLOOKUP(VALUE(D536),$D$3:F$106,3,FALSE)</f>
        <v>School Clericals</v>
      </c>
      <c r="C536" t="s">
        <v>314</v>
      </c>
      <c r="D536">
        <v>804</v>
      </c>
      <c r="E536" t="s">
        <v>416</v>
      </c>
      <c r="F536" t="s">
        <v>320</v>
      </c>
      <c r="G536" t="s">
        <v>319</v>
      </c>
      <c r="H536" s="502">
        <v>52360</v>
      </c>
      <c r="I536" s="415">
        <v>835.47494331600001</v>
      </c>
      <c r="J536" s="415">
        <v>717</v>
      </c>
      <c r="K536" s="415">
        <v>739.36</v>
      </c>
      <c r="L536" s="415">
        <v>729.29</v>
      </c>
      <c r="M536" s="415">
        <v>670.61</v>
      </c>
      <c r="N536" s="415">
        <v>659.37</v>
      </c>
      <c r="O536" s="415">
        <v>663.74</v>
      </c>
      <c r="P536" s="415">
        <v>638.22</v>
      </c>
      <c r="Q536" s="481">
        <f t="shared" si="54"/>
        <v>-118.47494331600001</v>
      </c>
    </row>
    <row r="537" spans="1:17" outlineLevel="2" x14ac:dyDescent="0.3">
      <c r="A537" s="366" t="str">
        <f>IFERROR(VLOOKUP(RIGHT(E537,3)+0,[1]SchLocTable!$A$2:$B$47,2,FALSE)," ")</f>
        <v>Beardsley</v>
      </c>
      <c r="B537" s="366" t="str">
        <f>VLOOKUP(VALUE(D537),$D$3:F$106,3,FALSE)</f>
        <v>School Clericals</v>
      </c>
      <c r="C537" t="s">
        <v>314</v>
      </c>
      <c r="D537">
        <v>804</v>
      </c>
      <c r="E537" t="s">
        <v>416</v>
      </c>
      <c r="F537" t="s">
        <v>392</v>
      </c>
      <c r="G537" t="s">
        <v>319</v>
      </c>
      <c r="H537" s="502">
        <v>52504</v>
      </c>
      <c r="I537" s="415">
        <v>11973.2202221424</v>
      </c>
      <c r="J537" s="415">
        <v>11086.35</v>
      </c>
      <c r="K537" s="415">
        <v>11061.09</v>
      </c>
      <c r="L537" s="415">
        <v>10807.59</v>
      </c>
      <c r="M537" s="415">
        <v>10506.89</v>
      </c>
      <c r="N537" s="415">
        <v>9120.6299999999992</v>
      </c>
      <c r="O537" s="415">
        <v>7885.17</v>
      </c>
      <c r="P537" s="415">
        <v>6567</v>
      </c>
      <c r="Q537" s="481">
        <f t="shared" si="54"/>
        <v>-886.87022214239914</v>
      </c>
    </row>
    <row r="538" spans="1:17" outlineLevel="2" x14ac:dyDescent="0.3">
      <c r="A538" s="366" t="str">
        <f>IFERROR(VLOOKUP(RIGHT(E538,3)+0,[1]SchLocTable!$A$2:$B$47,2,FALSE)," ")</f>
        <v>Beardsley</v>
      </c>
      <c r="B538" s="366" t="str">
        <f>VLOOKUP(VALUE(D538),$D$3:F$106,3,FALSE)</f>
        <v>School Clericals</v>
      </c>
      <c r="C538" t="s">
        <v>314</v>
      </c>
      <c r="D538">
        <v>804</v>
      </c>
      <c r="E538" t="s">
        <v>416</v>
      </c>
      <c r="F538" t="s">
        <v>356</v>
      </c>
      <c r="G538" t="s">
        <v>319</v>
      </c>
      <c r="H538" s="502">
        <v>51156</v>
      </c>
      <c r="I538" s="415">
        <v>0</v>
      </c>
      <c r="J538" s="415">
        <v>0</v>
      </c>
      <c r="K538" s="415">
        <v>999.42</v>
      </c>
      <c r="L538" s="415">
        <v>915.88</v>
      </c>
      <c r="M538" s="415">
        <v>897.98</v>
      </c>
      <c r="N538" s="415">
        <v>854.43</v>
      </c>
      <c r="O538" s="415">
        <v>854.5</v>
      </c>
      <c r="P538" s="415">
        <v>854.5</v>
      </c>
      <c r="Q538" s="481">
        <f t="shared" si="54"/>
        <v>0</v>
      </c>
    </row>
    <row r="539" spans="1:17" outlineLevel="2" x14ac:dyDescent="0.3">
      <c r="A539" s="366" t="str">
        <f>IFERROR(VLOOKUP(RIGHT(E539,3)+0,[1]SchLocTable!$A$2:$B$47,2,FALSE)," ")</f>
        <v>Black Rock</v>
      </c>
      <c r="B539" s="366" t="str">
        <f>VLOOKUP(VALUE(D539),$D$3:F$106,3,FALSE)</f>
        <v>School Clericals</v>
      </c>
      <c r="C539" t="s">
        <v>314</v>
      </c>
      <c r="D539">
        <v>804</v>
      </c>
      <c r="E539" t="s">
        <v>417</v>
      </c>
      <c r="F539" t="s">
        <v>316</v>
      </c>
      <c r="G539">
        <v>1</v>
      </c>
      <c r="H539" s="502">
        <v>51000</v>
      </c>
      <c r="I539" s="415">
        <v>47262.860996000003</v>
      </c>
      <c r="J539" s="415">
        <v>43762.03</v>
      </c>
      <c r="K539" s="415">
        <v>48067.9</v>
      </c>
      <c r="L539" s="415">
        <v>48102.34</v>
      </c>
      <c r="M539" s="415">
        <v>47338.38</v>
      </c>
      <c r="N539" s="415">
        <v>46406.52</v>
      </c>
      <c r="O539" s="415">
        <v>46624.41</v>
      </c>
      <c r="P539" s="415">
        <v>44775.8</v>
      </c>
      <c r="Q539" s="481">
        <f t="shared" si="54"/>
        <v>-3500.8309960000042</v>
      </c>
    </row>
    <row r="540" spans="1:17" outlineLevel="2" x14ac:dyDescent="0.3">
      <c r="A540" s="366" t="str">
        <f>IFERROR(VLOOKUP(RIGHT(E540,3)+0,[1]SchLocTable!$A$2:$B$47,2,FALSE)," ")</f>
        <v>Black Rock</v>
      </c>
      <c r="B540" s="366" t="str">
        <f>VLOOKUP(VALUE(D540),$D$3:F$106,3,FALSE)</f>
        <v>School Clericals</v>
      </c>
      <c r="C540" t="s">
        <v>314</v>
      </c>
      <c r="D540">
        <v>804</v>
      </c>
      <c r="E540" t="s">
        <v>417</v>
      </c>
      <c r="F540" t="s">
        <v>360</v>
      </c>
      <c r="G540" t="s">
        <v>319</v>
      </c>
      <c r="H540" s="502">
        <v>52920</v>
      </c>
      <c r="I540" s="415">
        <v>500</v>
      </c>
      <c r="J540" s="415">
        <v>0</v>
      </c>
      <c r="K540" s="415">
        <v>0</v>
      </c>
      <c r="L540" s="415">
        <v>0</v>
      </c>
      <c r="M540" s="415">
        <v>0</v>
      </c>
      <c r="N540" s="415">
        <v>0</v>
      </c>
      <c r="O540" s="415">
        <v>0</v>
      </c>
      <c r="P540" s="415">
        <v>0</v>
      </c>
      <c r="Q540" s="481">
        <f t="shared" si="54"/>
        <v>-500</v>
      </c>
    </row>
    <row r="541" spans="1:17" outlineLevel="2" x14ac:dyDescent="0.3">
      <c r="A541" s="366" t="str">
        <f>IFERROR(VLOOKUP(RIGHT(E541,3)+0,[1]SchLocTable!$A$2:$B$47,2,FALSE)," ")</f>
        <v>Black Rock</v>
      </c>
      <c r="B541" s="366" t="str">
        <f>VLOOKUP(VALUE(D541),$D$3:F$106,3,FALSE)</f>
        <v>School Clericals</v>
      </c>
      <c r="C541" t="s">
        <v>314</v>
      </c>
      <c r="D541">
        <v>804</v>
      </c>
      <c r="E541" t="s">
        <v>417</v>
      </c>
      <c r="F541" t="s">
        <v>321</v>
      </c>
      <c r="G541" t="s">
        <v>319</v>
      </c>
      <c r="H541" s="502">
        <v>52917</v>
      </c>
      <c r="I541" s="415">
        <v>0</v>
      </c>
      <c r="J541" s="415">
        <v>0</v>
      </c>
      <c r="K541" s="415">
        <v>11332.71</v>
      </c>
      <c r="L541" s="415">
        <v>11327.94</v>
      </c>
      <c r="M541" s="415">
        <v>10648.31</v>
      </c>
      <c r="N541" s="415">
        <v>9842.83</v>
      </c>
      <c r="O541" s="415">
        <v>9326.7800000000007</v>
      </c>
      <c r="P541" s="415">
        <v>8862.34</v>
      </c>
      <c r="Q541" s="481">
        <f t="shared" si="54"/>
        <v>0</v>
      </c>
    </row>
    <row r="542" spans="1:17" outlineLevel="2" x14ac:dyDescent="0.3">
      <c r="A542" s="366" t="str">
        <f>IFERROR(VLOOKUP(RIGHT(E542,3)+0,[1]SchLocTable!$A$2:$B$47,2,FALSE)," ")</f>
        <v>Black Rock</v>
      </c>
      <c r="B542" s="366" t="str">
        <f>VLOOKUP(VALUE(D542),$D$3:F$106,3,FALSE)</f>
        <v>School Clericals</v>
      </c>
      <c r="C542" t="s">
        <v>314</v>
      </c>
      <c r="D542">
        <v>804</v>
      </c>
      <c r="E542" t="s">
        <v>417</v>
      </c>
      <c r="F542" t="s">
        <v>318</v>
      </c>
      <c r="G542" t="s">
        <v>319</v>
      </c>
      <c r="H542" s="502">
        <v>51140</v>
      </c>
      <c r="I542" s="415">
        <v>858.66</v>
      </c>
      <c r="J542" s="415">
        <v>858.66</v>
      </c>
      <c r="K542" s="415">
        <v>1754.67</v>
      </c>
      <c r="L542" s="415">
        <v>1470</v>
      </c>
      <c r="M542" s="415">
        <v>1400</v>
      </c>
      <c r="N542" s="415">
        <v>1330</v>
      </c>
      <c r="O542" s="415">
        <v>1260</v>
      </c>
      <c r="P542" s="415">
        <v>1190</v>
      </c>
      <c r="Q542" s="481">
        <f t="shared" si="54"/>
        <v>0</v>
      </c>
    </row>
    <row r="543" spans="1:17" outlineLevel="2" x14ac:dyDescent="0.3">
      <c r="A543" s="366" t="str">
        <f>IFERROR(VLOOKUP(RIGHT(E543,3)+0,[1]SchLocTable!$A$2:$B$47,2,FALSE)," ")</f>
        <v>Black Rock</v>
      </c>
      <c r="B543" s="366" t="str">
        <f>VLOOKUP(VALUE(D543),$D$3:F$106,3,FALSE)</f>
        <v>School Clericals</v>
      </c>
      <c r="C543" t="s">
        <v>314</v>
      </c>
      <c r="D543">
        <v>804</v>
      </c>
      <c r="E543" t="s">
        <v>417</v>
      </c>
      <c r="F543" t="s">
        <v>320</v>
      </c>
      <c r="G543" t="s">
        <v>319</v>
      </c>
      <c r="H543" s="502">
        <v>52360</v>
      </c>
      <c r="I543" s="415">
        <v>692.56148444200005</v>
      </c>
      <c r="J543" s="415">
        <v>668</v>
      </c>
      <c r="K543" s="415">
        <v>723.96</v>
      </c>
      <c r="L543" s="415">
        <v>679.66</v>
      </c>
      <c r="M543" s="415">
        <v>670.75</v>
      </c>
      <c r="N543" s="415">
        <v>659.37</v>
      </c>
      <c r="O543" s="415">
        <v>663.74</v>
      </c>
      <c r="P543" s="415">
        <v>638.22</v>
      </c>
      <c r="Q543" s="481">
        <f t="shared" si="54"/>
        <v>-24.561484442000051</v>
      </c>
    </row>
    <row r="544" spans="1:17" outlineLevel="2" x14ac:dyDescent="0.3">
      <c r="A544" s="366" t="str">
        <f>IFERROR(VLOOKUP(RIGHT(E544,3)+0,[1]SchLocTable!$A$2:$B$47,2,FALSE)," ")</f>
        <v>Black Rock</v>
      </c>
      <c r="B544" s="366" t="str">
        <f>VLOOKUP(VALUE(D544),$D$3:F$106,3,FALSE)</f>
        <v>School Clericals</v>
      </c>
      <c r="C544" t="s">
        <v>314</v>
      </c>
      <c r="D544">
        <v>804</v>
      </c>
      <c r="E544" t="s">
        <v>417</v>
      </c>
      <c r="F544" t="s">
        <v>392</v>
      </c>
      <c r="G544" t="s">
        <v>319</v>
      </c>
      <c r="H544" s="502">
        <v>52504</v>
      </c>
      <c r="I544" s="415">
        <v>9925.1225149688016</v>
      </c>
      <c r="J544" s="415">
        <v>9272.15</v>
      </c>
      <c r="K544" s="415">
        <v>10260.56</v>
      </c>
      <c r="L544" s="415">
        <v>10109.83</v>
      </c>
      <c r="M544" s="415">
        <v>10506.89</v>
      </c>
      <c r="N544" s="415">
        <v>9120.6299999999992</v>
      </c>
      <c r="O544" s="415">
        <v>7885.17</v>
      </c>
      <c r="P544" s="415">
        <v>6567</v>
      </c>
      <c r="Q544" s="481">
        <f t="shared" si="54"/>
        <v>-652.97251496880199</v>
      </c>
    </row>
    <row r="545" spans="1:17" outlineLevel="2" x14ac:dyDescent="0.3">
      <c r="A545" s="366" t="str">
        <f>IFERROR(VLOOKUP(RIGHT(E545,3)+0,[1]SchLocTable!$A$2:$B$47,2,FALSE)," ")</f>
        <v>Black Rock</v>
      </c>
      <c r="B545" s="366" t="str">
        <f>VLOOKUP(VALUE(D545),$D$3:F$106,3,FALSE)</f>
        <v>School Clericals</v>
      </c>
      <c r="C545" t="s">
        <v>314</v>
      </c>
      <c r="D545">
        <v>804</v>
      </c>
      <c r="E545" t="s">
        <v>417</v>
      </c>
      <c r="F545" t="s">
        <v>419</v>
      </c>
      <c r="G545" t="s">
        <v>319</v>
      </c>
      <c r="H545" s="502">
        <v>51318</v>
      </c>
      <c r="I545" s="415">
        <v>0</v>
      </c>
      <c r="J545" s="415">
        <v>0</v>
      </c>
      <c r="K545" s="415">
        <v>37.369999999999997</v>
      </c>
      <c r="L545" s="415">
        <v>0</v>
      </c>
      <c r="M545" s="415">
        <v>0</v>
      </c>
      <c r="N545" s="415">
        <v>0</v>
      </c>
      <c r="O545" s="415">
        <v>0</v>
      </c>
      <c r="P545" s="415">
        <v>0</v>
      </c>
      <c r="Q545" s="481">
        <f t="shared" si="54"/>
        <v>0</v>
      </c>
    </row>
    <row r="546" spans="1:17" outlineLevel="2" x14ac:dyDescent="0.3">
      <c r="A546" s="366" t="str">
        <f>IFERROR(VLOOKUP(RIGHT(E546,3)+0,[1]SchLocTable!$A$2:$B$47,2,FALSE)," ")</f>
        <v>Black Rock</v>
      </c>
      <c r="B546" s="366" t="str">
        <f>VLOOKUP(VALUE(D546),$D$3:F$106,3,FALSE)</f>
        <v>School Clericals</v>
      </c>
      <c r="C546" t="s">
        <v>314</v>
      </c>
      <c r="D546">
        <v>804</v>
      </c>
      <c r="E546" t="s">
        <v>417</v>
      </c>
      <c r="F546" t="s">
        <v>329</v>
      </c>
      <c r="G546" t="s">
        <v>319</v>
      </c>
      <c r="H546" s="502">
        <v>51154</v>
      </c>
      <c r="I546" s="415">
        <v>8624.5608000000011</v>
      </c>
      <c r="J546" s="415">
        <v>0</v>
      </c>
      <c r="K546" s="415">
        <v>2093.34</v>
      </c>
      <c r="L546" s="415">
        <v>0</v>
      </c>
      <c r="M546" s="415">
        <v>0</v>
      </c>
      <c r="N546" s="415">
        <v>0</v>
      </c>
      <c r="O546" s="415">
        <v>0</v>
      </c>
      <c r="P546" s="415">
        <v>0</v>
      </c>
      <c r="Q546" s="481">
        <f t="shared" si="54"/>
        <v>-8624.5608000000011</v>
      </c>
    </row>
    <row r="547" spans="1:17" outlineLevel="2" x14ac:dyDescent="0.3">
      <c r="A547" s="366" t="str">
        <f>IFERROR(VLOOKUP(RIGHT(E547,3)+0,[1]SchLocTable!$A$2:$B$47,2,FALSE)," ")</f>
        <v>Black Rock</v>
      </c>
      <c r="B547" s="366" t="str">
        <f>VLOOKUP(VALUE(D547),$D$3:F$106,3,FALSE)</f>
        <v>School Clericals</v>
      </c>
      <c r="C547" t="s">
        <v>314</v>
      </c>
      <c r="D547">
        <v>804</v>
      </c>
      <c r="E547" t="s">
        <v>417</v>
      </c>
      <c r="F547" t="s">
        <v>418</v>
      </c>
      <c r="G547" t="s">
        <v>319</v>
      </c>
      <c r="H547" s="502">
        <v>51314</v>
      </c>
      <c r="I547" s="415">
        <v>2771.2356</v>
      </c>
      <c r="J547" s="415">
        <v>0</v>
      </c>
      <c r="K547" s="415">
        <v>672.63</v>
      </c>
      <c r="L547" s="415">
        <v>0</v>
      </c>
      <c r="M547" s="415">
        <v>0</v>
      </c>
      <c r="N547" s="415">
        <v>0</v>
      </c>
      <c r="O547" s="415">
        <v>0</v>
      </c>
      <c r="P547" s="415">
        <v>0</v>
      </c>
      <c r="Q547" s="481">
        <f t="shared" si="54"/>
        <v>-2771.2356</v>
      </c>
    </row>
    <row r="548" spans="1:17" outlineLevel="2" x14ac:dyDescent="0.3">
      <c r="A548" s="366" t="str">
        <f>IFERROR(VLOOKUP(RIGHT(E548,3)+0,[1]SchLocTable!$A$2:$B$47,2,FALSE)," ")</f>
        <v>Black Rock</v>
      </c>
      <c r="B548" s="366" t="str">
        <f>VLOOKUP(VALUE(D548),$D$3:F$106,3,FALSE)</f>
        <v>School Clericals</v>
      </c>
      <c r="C548" t="s">
        <v>314</v>
      </c>
      <c r="D548">
        <v>804</v>
      </c>
      <c r="E548" t="s">
        <v>417</v>
      </c>
      <c r="F548" t="s">
        <v>356</v>
      </c>
      <c r="G548" t="s">
        <v>319</v>
      </c>
      <c r="H548" s="502">
        <v>51156</v>
      </c>
      <c r="I548" s="415">
        <v>0</v>
      </c>
      <c r="J548" s="415">
        <v>0</v>
      </c>
      <c r="K548" s="415">
        <v>934.21</v>
      </c>
      <c r="L548" s="415">
        <v>915.88</v>
      </c>
      <c r="M548" s="415">
        <v>906.93</v>
      </c>
      <c r="N548" s="415">
        <v>854.43</v>
      </c>
      <c r="O548" s="415">
        <v>854.5</v>
      </c>
      <c r="P548" s="415">
        <v>854.5</v>
      </c>
      <c r="Q548" s="481">
        <f t="shared" si="54"/>
        <v>0</v>
      </c>
    </row>
    <row r="549" spans="1:17" outlineLevel="2" x14ac:dyDescent="0.3">
      <c r="A549" s="366" t="str">
        <f>IFERROR(VLOOKUP(RIGHT(E549,3)+0,[1]SchLocTable!$A$2:$B$47,2,FALSE)," ")</f>
        <v>Bryant</v>
      </c>
      <c r="B549" s="366" t="str">
        <f>VLOOKUP(VALUE(D549),$D$3:F$106,3,FALSE)</f>
        <v>School Clericals</v>
      </c>
      <c r="C549" t="s">
        <v>314</v>
      </c>
      <c r="D549">
        <v>804</v>
      </c>
      <c r="E549" t="s">
        <v>420</v>
      </c>
      <c r="F549" t="s">
        <v>316</v>
      </c>
      <c r="G549">
        <v>1</v>
      </c>
      <c r="H549" s="502">
        <v>51000</v>
      </c>
      <c r="I549" s="415">
        <v>50718.891599999995</v>
      </c>
      <c r="J549" s="415">
        <v>49004</v>
      </c>
      <c r="K549" s="415">
        <v>48579.74</v>
      </c>
      <c r="L549" s="415">
        <v>46988.78</v>
      </c>
      <c r="M549" s="415">
        <v>45790.12</v>
      </c>
      <c r="N549" s="415">
        <v>44020.73</v>
      </c>
      <c r="O549" s="415">
        <v>43154.69</v>
      </c>
      <c r="P549" s="415">
        <v>42884.6</v>
      </c>
      <c r="Q549" s="481">
        <f t="shared" si="54"/>
        <v>-1714.8915999999954</v>
      </c>
    </row>
    <row r="550" spans="1:17" outlineLevel="2" x14ac:dyDescent="0.3">
      <c r="A550" s="366" t="str">
        <f>IFERROR(VLOOKUP(RIGHT(E550,3)+0,[1]SchLocTable!$A$2:$B$47,2,FALSE)," ")</f>
        <v>Bryant</v>
      </c>
      <c r="B550" s="366" t="str">
        <f>VLOOKUP(VALUE(D550),$D$3:F$106,3,FALSE)</f>
        <v>School Clericals</v>
      </c>
      <c r="C550" t="s">
        <v>314</v>
      </c>
      <c r="D550">
        <v>804</v>
      </c>
      <c r="E550" t="s">
        <v>420</v>
      </c>
      <c r="F550" t="s">
        <v>360</v>
      </c>
      <c r="G550" t="s">
        <v>319</v>
      </c>
      <c r="H550" s="502">
        <v>52920</v>
      </c>
      <c r="I550" s="415">
        <v>2000</v>
      </c>
      <c r="J550" s="415">
        <v>2000</v>
      </c>
      <c r="K550" s="415">
        <v>2000</v>
      </c>
      <c r="L550" s="415">
        <v>3000</v>
      </c>
      <c r="M550" s="415">
        <v>3000</v>
      </c>
      <c r="N550" s="415">
        <v>2000</v>
      </c>
      <c r="O550" s="415">
        <v>2000</v>
      </c>
      <c r="P550" s="415">
        <v>2000</v>
      </c>
      <c r="Q550" s="481">
        <f t="shared" si="54"/>
        <v>0</v>
      </c>
    </row>
    <row r="551" spans="1:17" outlineLevel="2" x14ac:dyDescent="0.3">
      <c r="A551" s="366" t="str">
        <f>IFERROR(VLOOKUP(RIGHT(E551,3)+0,[1]SchLocTable!$A$2:$B$47,2,FALSE)," ")</f>
        <v>Bryant</v>
      </c>
      <c r="B551" s="366" t="str">
        <f>VLOOKUP(VALUE(D551),$D$3:F$106,3,FALSE)</f>
        <v>School Clericals</v>
      </c>
      <c r="C551" t="s">
        <v>314</v>
      </c>
      <c r="D551">
        <v>804</v>
      </c>
      <c r="E551" t="s">
        <v>420</v>
      </c>
      <c r="F551" t="s">
        <v>321</v>
      </c>
      <c r="G551" t="s">
        <v>319</v>
      </c>
      <c r="H551" s="502">
        <v>52917</v>
      </c>
      <c r="I551" s="415">
        <v>1019.6159999999999</v>
      </c>
      <c r="J551" s="415">
        <v>852.95</v>
      </c>
      <c r="K551" s="415">
        <v>868.55</v>
      </c>
      <c r="L551" s="415">
        <v>938.86</v>
      </c>
      <c r="M551" s="415">
        <v>1165.32</v>
      </c>
      <c r="N551" s="415">
        <v>1401.57</v>
      </c>
      <c r="O551" s="415">
        <v>1244.19</v>
      </c>
      <c r="P551" s="415">
        <v>1271.56</v>
      </c>
      <c r="Q551" s="481">
        <f t="shared" si="54"/>
        <v>-166.66599999999983</v>
      </c>
    </row>
    <row r="552" spans="1:17" outlineLevel="2" x14ac:dyDescent="0.3">
      <c r="A552" s="366" t="str">
        <f>IFERROR(VLOOKUP(RIGHT(E552,3)+0,[1]SchLocTable!$A$2:$B$47,2,FALSE)," ")</f>
        <v>Bryant</v>
      </c>
      <c r="B552" s="366" t="str">
        <f>VLOOKUP(VALUE(D552),$D$3:F$106,3,FALSE)</f>
        <v>School Clericals</v>
      </c>
      <c r="C552" t="s">
        <v>314</v>
      </c>
      <c r="D552">
        <v>804</v>
      </c>
      <c r="E552" t="s">
        <v>420</v>
      </c>
      <c r="F552" t="s">
        <v>318</v>
      </c>
      <c r="G552" t="s">
        <v>319</v>
      </c>
      <c r="H552" s="502">
        <v>51140</v>
      </c>
      <c r="I552" s="415">
        <v>825</v>
      </c>
      <c r="J552" s="415">
        <v>825</v>
      </c>
      <c r="K552" s="415">
        <v>750</v>
      </c>
      <c r="L552" s="415">
        <v>0</v>
      </c>
      <c r="M552" s="415">
        <v>0</v>
      </c>
      <c r="N552" s="415">
        <v>0</v>
      </c>
      <c r="O552" s="415">
        <v>0</v>
      </c>
      <c r="P552" s="415">
        <v>0</v>
      </c>
      <c r="Q552" s="481">
        <f t="shared" si="54"/>
        <v>0</v>
      </c>
    </row>
    <row r="553" spans="1:17" outlineLevel="2" x14ac:dyDescent="0.3">
      <c r="A553" s="366" t="str">
        <f>IFERROR(VLOOKUP(RIGHT(E553,3)+0,[1]SchLocTable!$A$2:$B$47,2,FALSE)," ")</f>
        <v>Bryant</v>
      </c>
      <c r="B553" s="366" t="str">
        <f>VLOOKUP(VALUE(D553),$D$3:F$106,3,FALSE)</f>
        <v>School Clericals</v>
      </c>
      <c r="C553" t="s">
        <v>314</v>
      </c>
      <c r="D553">
        <v>804</v>
      </c>
      <c r="E553" t="s">
        <v>420</v>
      </c>
      <c r="F553" t="s">
        <v>320</v>
      </c>
      <c r="G553" t="s">
        <v>319</v>
      </c>
      <c r="H553" s="502">
        <v>52360</v>
      </c>
      <c r="I553" s="415">
        <v>764.42392819999998</v>
      </c>
      <c r="J553" s="415">
        <v>723</v>
      </c>
      <c r="K553" s="415">
        <v>744.28</v>
      </c>
      <c r="L553" s="415">
        <v>724.83</v>
      </c>
      <c r="M553" s="415">
        <v>707.46</v>
      </c>
      <c r="N553" s="415">
        <v>667.3</v>
      </c>
      <c r="O553" s="415">
        <v>654.75</v>
      </c>
      <c r="P553" s="415">
        <v>650.83000000000004</v>
      </c>
      <c r="Q553" s="481">
        <f t="shared" si="54"/>
        <v>-41.423928199999978</v>
      </c>
    </row>
    <row r="554" spans="1:17" outlineLevel="2" x14ac:dyDescent="0.3">
      <c r="A554" s="366" t="str">
        <f>IFERROR(VLOOKUP(RIGHT(E554,3)+0,[1]SchLocTable!$A$2:$B$47,2,FALSE)," ")</f>
        <v>Bryant</v>
      </c>
      <c r="B554" s="366" t="str">
        <f>VLOOKUP(VALUE(D554),$D$3:F$106,3,FALSE)</f>
        <v>School Clericals</v>
      </c>
      <c r="C554" t="s">
        <v>314</v>
      </c>
      <c r="D554">
        <v>804</v>
      </c>
      <c r="E554" t="s">
        <v>420</v>
      </c>
      <c r="F554" t="s">
        <v>392</v>
      </c>
      <c r="G554" t="s">
        <v>319</v>
      </c>
      <c r="H554" s="502">
        <v>52504</v>
      </c>
      <c r="I554" s="415">
        <v>10954.98567448</v>
      </c>
      <c r="J554" s="415">
        <v>10354</v>
      </c>
      <c r="K554" s="415">
        <v>10159.049999999999</v>
      </c>
      <c r="L554" s="415">
        <v>9582.81</v>
      </c>
      <c r="M554" s="415">
        <v>9871.16</v>
      </c>
      <c r="N554" s="415">
        <v>8411.9699999999993</v>
      </c>
      <c r="O554" s="415">
        <v>7108.2</v>
      </c>
      <c r="P554" s="415">
        <v>6127.31</v>
      </c>
      <c r="Q554" s="481">
        <f t="shared" si="54"/>
        <v>-600.98567447999994</v>
      </c>
    </row>
    <row r="555" spans="1:17" outlineLevel="2" x14ac:dyDescent="0.3">
      <c r="A555" s="366" t="str">
        <f>IFERROR(VLOOKUP(RIGHT(E555,3)+0,[1]SchLocTable!$A$2:$B$47,2,FALSE)," ")</f>
        <v>Columbus</v>
      </c>
      <c r="B555" s="366" t="str">
        <f>VLOOKUP(VALUE(D555),$D$3:F$106,3,FALSE)</f>
        <v>School Clericals</v>
      </c>
      <c r="C555" t="s">
        <v>314</v>
      </c>
      <c r="D555">
        <v>804</v>
      </c>
      <c r="E555" t="s">
        <v>421</v>
      </c>
      <c r="F555" t="s">
        <v>316</v>
      </c>
      <c r="G555">
        <v>2</v>
      </c>
      <c r="H555" s="502">
        <v>51000</v>
      </c>
      <c r="I555" s="415">
        <v>111478.41021199999</v>
      </c>
      <c r="J555" s="415">
        <v>98473</v>
      </c>
      <c r="K555" s="415">
        <v>96936.79</v>
      </c>
      <c r="L555" s="415">
        <v>93197.54</v>
      </c>
      <c r="M555" s="415">
        <v>88260.479999999996</v>
      </c>
      <c r="N555" s="415">
        <v>86984.6</v>
      </c>
      <c r="O555" s="415">
        <v>93894.02</v>
      </c>
      <c r="P555" s="415">
        <v>87695.19</v>
      </c>
      <c r="Q555" s="481">
        <f t="shared" si="54"/>
        <v>-13005.410211999988</v>
      </c>
    </row>
    <row r="556" spans="1:17" outlineLevel="2" x14ac:dyDescent="0.3">
      <c r="A556" s="366" t="str">
        <f>IFERROR(VLOOKUP(RIGHT(E556,3)+0,[1]SchLocTable!$A$2:$B$47,2,FALSE)," ")</f>
        <v>Columbus</v>
      </c>
      <c r="B556" s="366" t="str">
        <f>VLOOKUP(VALUE(D556),$D$3:F$106,3,FALSE)</f>
        <v>School Clericals</v>
      </c>
      <c r="C556" t="s">
        <v>314</v>
      </c>
      <c r="D556">
        <v>804</v>
      </c>
      <c r="E556" t="s">
        <v>421</v>
      </c>
      <c r="F556" t="s">
        <v>321</v>
      </c>
      <c r="G556" t="s">
        <v>319</v>
      </c>
      <c r="H556" s="502">
        <v>52917</v>
      </c>
      <c r="I556" s="415">
        <v>31157.567999999999</v>
      </c>
      <c r="J556" s="415">
        <v>44125.71</v>
      </c>
      <c r="K556" s="415">
        <v>53083.13</v>
      </c>
      <c r="L556" s="415">
        <v>56862.6</v>
      </c>
      <c r="M556" s="415">
        <v>57105.8</v>
      </c>
      <c r="N556" s="415">
        <v>55365.9</v>
      </c>
      <c r="O556" s="415">
        <v>38017.58</v>
      </c>
      <c r="P556" s="415">
        <v>11119.71</v>
      </c>
      <c r="Q556" s="481">
        <f t="shared" si="54"/>
        <v>12968.142</v>
      </c>
    </row>
    <row r="557" spans="1:17" outlineLevel="2" x14ac:dyDescent="0.3">
      <c r="A557" s="366" t="str">
        <f>IFERROR(VLOOKUP(RIGHT(E557,3)+0,[1]SchLocTable!$A$2:$B$47,2,FALSE)," ")</f>
        <v>Columbus</v>
      </c>
      <c r="B557" s="366" t="str">
        <f>VLOOKUP(VALUE(D557),$D$3:F$106,3,FALSE)</f>
        <v>School Clericals</v>
      </c>
      <c r="C557" t="s">
        <v>314</v>
      </c>
      <c r="D557">
        <v>804</v>
      </c>
      <c r="E557" t="s">
        <v>421</v>
      </c>
      <c r="F557" t="s">
        <v>318</v>
      </c>
      <c r="G557" t="s">
        <v>319</v>
      </c>
      <c r="H557" s="502">
        <v>51140</v>
      </c>
      <c r="I557" s="415">
        <v>3010</v>
      </c>
      <c r="J557" s="415">
        <v>0</v>
      </c>
      <c r="K557" s="415">
        <v>2800</v>
      </c>
      <c r="L557" s="415">
        <v>2660</v>
      </c>
      <c r="M557" s="415">
        <v>2520</v>
      </c>
      <c r="N557" s="415">
        <v>2380</v>
      </c>
      <c r="O557" s="415">
        <v>2794.16</v>
      </c>
      <c r="P557" s="415">
        <v>3150</v>
      </c>
      <c r="Q557" s="481">
        <f t="shared" si="54"/>
        <v>-3010</v>
      </c>
    </row>
    <row r="558" spans="1:17" outlineLevel="2" x14ac:dyDescent="0.3">
      <c r="A558" s="366" t="str">
        <f>IFERROR(VLOOKUP(RIGHT(E558,3)+0,[1]SchLocTable!$A$2:$B$47,2,FALSE)," ")</f>
        <v>Columbus</v>
      </c>
      <c r="B558" s="366" t="str">
        <f>VLOOKUP(VALUE(D558),$D$3:F$106,3,FALSE)</f>
        <v>School Clericals</v>
      </c>
      <c r="C558" t="s">
        <v>314</v>
      </c>
      <c r="D558">
        <v>804</v>
      </c>
      <c r="E558" t="s">
        <v>421</v>
      </c>
      <c r="F558" t="s">
        <v>320</v>
      </c>
      <c r="G558" t="s">
        <v>319</v>
      </c>
      <c r="H558" s="502">
        <v>52360</v>
      </c>
      <c r="I558" s="415">
        <v>1616.4369480740002</v>
      </c>
      <c r="J558" s="415">
        <v>1183</v>
      </c>
      <c r="K558" s="415">
        <v>1191.0999999999999</v>
      </c>
      <c r="L558" s="415">
        <v>1137.27</v>
      </c>
      <c r="M558" s="415">
        <v>1064.1199999999999</v>
      </c>
      <c r="N558" s="415">
        <v>1051.53</v>
      </c>
      <c r="O558" s="415">
        <v>1378.51</v>
      </c>
      <c r="P558" s="415">
        <v>1399.74</v>
      </c>
      <c r="Q558" s="481">
        <f t="shared" si="54"/>
        <v>-433.43694807400016</v>
      </c>
    </row>
    <row r="559" spans="1:17" outlineLevel="2" x14ac:dyDescent="0.3">
      <c r="A559" s="366" t="str">
        <f>IFERROR(VLOOKUP(RIGHT(E559,3)+0,[1]SchLocTable!$A$2:$B$47,2,FALSE)," ")</f>
        <v>Columbus</v>
      </c>
      <c r="B559" s="366" t="str">
        <f>VLOOKUP(VALUE(D559),$D$3:F$106,3,FALSE)</f>
        <v>School Clericals</v>
      </c>
      <c r="C559" t="s">
        <v>314</v>
      </c>
      <c r="D559">
        <v>804</v>
      </c>
      <c r="E559" t="s">
        <v>421</v>
      </c>
      <c r="F559" t="s">
        <v>392</v>
      </c>
      <c r="G559" t="s">
        <v>319</v>
      </c>
      <c r="H559" s="502">
        <v>52504</v>
      </c>
      <c r="I559" s="415">
        <v>23165.213642053597</v>
      </c>
      <c r="J559" s="415">
        <v>20593.099999999999</v>
      </c>
      <c r="K559" s="415">
        <v>20540.02</v>
      </c>
      <c r="L559" s="415">
        <v>19549.189999999999</v>
      </c>
      <c r="M559" s="415">
        <v>19569.54</v>
      </c>
      <c r="N559" s="415">
        <v>17076.310000000001</v>
      </c>
      <c r="O559" s="415">
        <v>15916.21</v>
      </c>
      <c r="P559" s="415">
        <v>12981.12</v>
      </c>
      <c r="Q559" s="481">
        <f t="shared" si="54"/>
        <v>-2572.1136420535986</v>
      </c>
    </row>
    <row r="560" spans="1:17" outlineLevel="2" x14ac:dyDescent="0.3">
      <c r="A560" s="366" t="str">
        <f>IFERROR(VLOOKUP(RIGHT(E560,3)+0,[1]SchLocTable!$A$2:$B$47,2,FALSE)," ")</f>
        <v>Columbus</v>
      </c>
      <c r="B560" s="366" t="str">
        <f>VLOOKUP(VALUE(D560),$D$3:F$106,3,FALSE)</f>
        <v>School Clericals</v>
      </c>
      <c r="C560" t="s">
        <v>314</v>
      </c>
      <c r="D560">
        <v>804</v>
      </c>
      <c r="E560" t="s">
        <v>421</v>
      </c>
      <c r="F560" t="s">
        <v>356</v>
      </c>
      <c r="G560" t="s">
        <v>319</v>
      </c>
      <c r="H560" s="502">
        <v>51156</v>
      </c>
      <c r="I560" s="415">
        <v>0</v>
      </c>
      <c r="J560" s="415">
        <v>0</v>
      </c>
      <c r="K560" s="415">
        <v>0</v>
      </c>
      <c r="L560" s="415">
        <v>819.79</v>
      </c>
      <c r="M560" s="415">
        <v>716.3</v>
      </c>
      <c r="N560" s="415">
        <v>716.33</v>
      </c>
      <c r="O560" s="415">
        <v>0</v>
      </c>
      <c r="P560" s="415">
        <v>0</v>
      </c>
      <c r="Q560" s="481">
        <f t="shared" si="54"/>
        <v>0</v>
      </c>
    </row>
    <row r="561" spans="1:17" outlineLevel="2" x14ac:dyDescent="0.3">
      <c r="A561" s="366" t="str">
        <f>IFERROR(VLOOKUP(RIGHT(E561,3)+0,[1]SchLocTable!$A$2:$B$47,2,FALSE)," ")</f>
        <v>Edison</v>
      </c>
      <c r="B561" s="366" t="str">
        <f>VLOOKUP(VALUE(D561),$D$3:F$106,3,FALSE)</f>
        <v>School Clericals</v>
      </c>
      <c r="C561" t="s">
        <v>314</v>
      </c>
      <c r="D561">
        <v>804</v>
      </c>
      <c r="E561" t="s">
        <v>422</v>
      </c>
      <c r="F561" t="s">
        <v>316</v>
      </c>
      <c r="G561">
        <v>1</v>
      </c>
      <c r="H561" s="502">
        <v>51000</v>
      </c>
      <c r="I561" s="415">
        <v>34373.513928</v>
      </c>
      <c r="J561" s="415">
        <v>5574.58</v>
      </c>
      <c r="K561" s="415">
        <v>41810.699999999997</v>
      </c>
      <c r="L561" s="415">
        <v>39658.58</v>
      </c>
      <c r="M561" s="415">
        <v>34997.879999999997</v>
      </c>
      <c r="N561" s="415">
        <v>49346.46</v>
      </c>
      <c r="O561" s="415">
        <v>48612.2</v>
      </c>
      <c r="P561" s="415">
        <v>45535.82</v>
      </c>
      <c r="Q561" s="481">
        <f t="shared" si="54"/>
        <v>-28798.933927999999</v>
      </c>
    </row>
    <row r="562" spans="1:17" outlineLevel="2" x14ac:dyDescent="0.3">
      <c r="A562" s="366" t="str">
        <f>IFERROR(VLOOKUP(RIGHT(E562,3)+0,[1]SchLocTable!$A$2:$B$47,2,FALSE)," ")</f>
        <v>Edison</v>
      </c>
      <c r="B562" s="366" t="str">
        <f>VLOOKUP(VALUE(D562),$D$3:F$106,3,FALSE)</f>
        <v>School Clericals</v>
      </c>
      <c r="C562" t="s">
        <v>314</v>
      </c>
      <c r="D562">
        <v>804</v>
      </c>
      <c r="E562" t="s">
        <v>422</v>
      </c>
      <c r="F562" t="s">
        <v>321</v>
      </c>
      <c r="G562" t="s">
        <v>319</v>
      </c>
      <c r="H562" s="502">
        <v>52917</v>
      </c>
      <c r="I562" s="415">
        <v>0</v>
      </c>
      <c r="J562" s="415">
        <v>4128.42</v>
      </c>
      <c r="K562" s="415">
        <v>29085.94</v>
      </c>
      <c r="L562" s="415">
        <v>28849.08</v>
      </c>
      <c r="M562" s="415">
        <v>19893.75</v>
      </c>
      <c r="N562" s="415">
        <v>10137.76</v>
      </c>
      <c r="O562" s="415">
        <v>9657.31</v>
      </c>
      <c r="P562" s="415">
        <v>9188.32</v>
      </c>
      <c r="Q562" s="481">
        <f t="shared" si="54"/>
        <v>4128.42</v>
      </c>
    </row>
    <row r="563" spans="1:17" outlineLevel="2" x14ac:dyDescent="0.3">
      <c r="A563" s="366" t="str">
        <f>IFERROR(VLOOKUP(RIGHT(E563,3)+0,[1]SchLocTable!$A$2:$B$47,2,FALSE)," ")</f>
        <v>Edison</v>
      </c>
      <c r="B563" s="366" t="str">
        <f>VLOOKUP(VALUE(D563),$D$3:F$106,3,FALSE)</f>
        <v>School Clericals</v>
      </c>
      <c r="C563" t="s">
        <v>314</v>
      </c>
      <c r="D563">
        <v>804</v>
      </c>
      <c r="E563" t="s">
        <v>422</v>
      </c>
      <c r="F563" t="s">
        <v>318</v>
      </c>
      <c r="G563" t="s">
        <v>319</v>
      </c>
      <c r="H563" s="502">
        <v>51140</v>
      </c>
      <c r="I563" s="415">
        <v>0</v>
      </c>
      <c r="J563" s="415">
        <v>0</v>
      </c>
      <c r="K563" s="415">
        <v>0</v>
      </c>
      <c r="L563" s="415">
        <v>0</v>
      </c>
      <c r="M563" s="415">
        <v>1400</v>
      </c>
      <c r="N563" s="415">
        <v>1330</v>
      </c>
      <c r="O563" s="415">
        <v>1260</v>
      </c>
      <c r="P563" s="415">
        <v>1190</v>
      </c>
      <c r="Q563" s="481">
        <f t="shared" si="54"/>
        <v>0</v>
      </c>
    </row>
    <row r="564" spans="1:17" outlineLevel="2" x14ac:dyDescent="0.3">
      <c r="A564" s="366" t="str">
        <f>IFERROR(VLOOKUP(RIGHT(E564,3)+0,[1]SchLocTable!$A$2:$B$47,2,FALSE)," ")</f>
        <v>Edison</v>
      </c>
      <c r="B564" s="366" t="str">
        <f>VLOOKUP(VALUE(D564),$D$3:F$106,3,FALSE)</f>
        <v>School Clericals</v>
      </c>
      <c r="C564" t="s">
        <v>314</v>
      </c>
      <c r="D564">
        <v>804</v>
      </c>
      <c r="E564" t="s">
        <v>422</v>
      </c>
      <c r="F564" t="s">
        <v>320</v>
      </c>
      <c r="G564" t="s">
        <v>319</v>
      </c>
      <c r="H564" s="502">
        <v>52360</v>
      </c>
      <c r="I564" s="415">
        <v>498.41595195600001</v>
      </c>
      <c r="J564" s="415">
        <v>45.69</v>
      </c>
      <c r="K564" s="415">
        <v>370</v>
      </c>
      <c r="L564" s="415">
        <v>351.65</v>
      </c>
      <c r="M564" s="415">
        <v>384.24</v>
      </c>
      <c r="N564" s="415">
        <v>689.61</v>
      </c>
      <c r="O564" s="415">
        <v>680.17</v>
      </c>
      <c r="P564" s="415">
        <v>636.85</v>
      </c>
      <c r="Q564" s="481">
        <f t="shared" si="54"/>
        <v>-452.72595195600002</v>
      </c>
    </row>
    <row r="565" spans="1:17" outlineLevel="2" x14ac:dyDescent="0.3">
      <c r="A565" s="366" t="str">
        <f>IFERROR(VLOOKUP(RIGHT(E565,3)+0,[1]SchLocTable!$A$2:$B$47,2,FALSE)," ")</f>
        <v>Edison</v>
      </c>
      <c r="B565" s="366" t="str">
        <f>VLOOKUP(VALUE(D565),$D$3:F$106,3,FALSE)</f>
        <v>School Clericals</v>
      </c>
      <c r="C565" t="s">
        <v>314</v>
      </c>
      <c r="D565">
        <v>804</v>
      </c>
      <c r="E565" t="s">
        <v>422</v>
      </c>
      <c r="F565" t="s">
        <v>392</v>
      </c>
      <c r="G565" t="s">
        <v>319</v>
      </c>
      <c r="H565" s="502">
        <v>52504</v>
      </c>
      <c r="I565" s="415">
        <v>7142.8161942384004</v>
      </c>
      <c r="J565" s="415">
        <v>1158.3800000000001</v>
      </c>
      <c r="K565" s="415">
        <v>8610.49</v>
      </c>
      <c r="L565" s="415">
        <v>8088.02</v>
      </c>
      <c r="M565" s="415">
        <v>3777.29</v>
      </c>
      <c r="N565" s="415">
        <v>9682.9599999999991</v>
      </c>
      <c r="O565" s="415">
        <v>8213.74</v>
      </c>
      <c r="P565" s="415">
        <v>6675.52</v>
      </c>
      <c r="Q565" s="481">
        <f t="shared" si="54"/>
        <v>-5984.4361942384003</v>
      </c>
    </row>
    <row r="566" spans="1:17" outlineLevel="2" x14ac:dyDescent="0.3">
      <c r="A566" s="366" t="str">
        <f>IFERROR(VLOOKUP(RIGHT(E566,3)+0,[1]SchLocTable!$A$2:$B$47,2,FALSE)," ")</f>
        <v>Edison</v>
      </c>
      <c r="B566" s="366" t="str">
        <f>VLOOKUP(VALUE(D566),$D$3:F$106,3,FALSE)</f>
        <v>School Clericals</v>
      </c>
      <c r="C566" t="s">
        <v>314</v>
      </c>
      <c r="D566">
        <v>804</v>
      </c>
      <c r="E566" t="s">
        <v>422</v>
      </c>
      <c r="F566" t="s">
        <v>324</v>
      </c>
      <c r="G566" t="s">
        <v>319</v>
      </c>
      <c r="H566" s="502">
        <v>52385</v>
      </c>
      <c r="I566" s="415">
        <v>0</v>
      </c>
      <c r="J566" s="415">
        <v>0</v>
      </c>
      <c r="K566" s="415">
        <v>0</v>
      </c>
      <c r="L566" s="415">
        <v>0</v>
      </c>
      <c r="M566" s="415">
        <v>768.76</v>
      </c>
      <c r="N566" s="415">
        <v>0</v>
      </c>
      <c r="O566" s="415">
        <v>0</v>
      </c>
      <c r="P566" s="415">
        <v>0</v>
      </c>
      <c r="Q566" s="481">
        <f t="shared" si="54"/>
        <v>0</v>
      </c>
    </row>
    <row r="567" spans="1:17" outlineLevel="2" x14ac:dyDescent="0.3">
      <c r="A567" s="366" t="str">
        <f>IFERROR(VLOOKUP(RIGHT(E567,3)+0,[1]SchLocTable!$A$2:$B$47,2,FALSE)," ")</f>
        <v>Physical Science HS</v>
      </c>
      <c r="B567" s="366" t="str">
        <f>VLOOKUP(VALUE(D567),$D$3:F$106,3,FALSE)</f>
        <v>School Clericals</v>
      </c>
      <c r="C567" t="s">
        <v>314</v>
      </c>
      <c r="D567">
        <v>804</v>
      </c>
      <c r="E567" t="s">
        <v>423</v>
      </c>
      <c r="F567" t="s">
        <v>318</v>
      </c>
      <c r="G567" t="s">
        <v>319</v>
      </c>
      <c r="H567" s="502">
        <v>51140</v>
      </c>
      <c r="I567" s="415">
        <v>0</v>
      </c>
      <c r="J567" s="415">
        <v>0</v>
      </c>
      <c r="K567" s="415">
        <v>0</v>
      </c>
      <c r="L567" s="415">
        <v>1540</v>
      </c>
      <c r="M567" s="415">
        <v>0</v>
      </c>
      <c r="N567" s="415">
        <v>0</v>
      </c>
      <c r="O567" s="415">
        <v>0</v>
      </c>
      <c r="P567" s="415">
        <v>0</v>
      </c>
      <c r="Q567" s="481">
        <f t="shared" si="54"/>
        <v>0</v>
      </c>
    </row>
    <row r="568" spans="1:17" outlineLevel="2" x14ac:dyDescent="0.3">
      <c r="A568" s="366" t="str">
        <f>IFERROR(VLOOKUP(RIGHT(E568,3)+0,[1]SchLocTable!$A$2:$B$47,2,FALSE)," ")</f>
        <v>Physical Science HS</v>
      </c>
      <c r="B568" s="366" t="str">
        <f>VLOOKUP(VALUE(D568),$D$3:F$106,3,FALSE)</f>
        <v>School Clericals</v>
      </c>
      <c r="C568" t="s">
        <v>314</v>
      </c>
      <c r="D568">
        <v>804</v>
      </c>
      <c r="E568" t="s">
        <v>423</v>
      </c>
      <c r="F568" t="s">
        <v>320</v>
      </c>
      <c r="G568" t="s">
        <v>319</v>
      </c>
      <c r="H568" s="502">
        <v>52360</v>
      </c>
      <c r="I568" s="415">
        <v>0</v>
      </c>
      <c r="J568" s="415">
        <v>0</v>
      </c>
      <c r="K568" s="415">
        <v>0</v>
      </c>
      <c r="L568" s="415">
        <v>22.34</v>
      </c>
      <c r="M568" s="415">
        <v>0</v>
      </c>
      <c r="N568" s="415">
        <v>0</v>
      </c>
      <c r="O568" s="415">
        <v>0</v>
      </c>
      <c r="P568" s="415">
        <v>0</v>
      </c>
      <c r="Q568" s="481">
        <f t="shared" si="54"/>
        <v>0</v>
      </c>
    </row>
    <row r="569" spans="1:17" outlineLevel="2" x14ac:dyDescent="0.3">
      <c r="A569" s="366" t="str">
        <f>IFERROR(VLOOKUP(RIGHT(E569,3)+0,[1]SchLocTable!$A$2:$B$47,2,FALSE)," ")</f>
        <v>Physical Science HS</v>
      </c>
      <c r="B569" s="366" t="str">
        <f>VLOOKUP(VALUE(D569),$D$3:F$106,3,FALSE)</f>
        <v>School Clericals</v>
      </c>
      <c r="C569" t="s">
        <v>314</v>
      </c>
      <c r="D569">
        <v>804</v>
      </c>
      <c r="E569" t="s">
        <v>423</v>
      </c>
      <c r="F569" t="s">
        <v>392</v>
      </c>
      <c r="G569" t="s">
        <v>319</v>
      </c>
      <c r="H569" s="502">
        <v>52504</v>
      </c>
      <c r="I569" s="415">
        <v>0</v>
      </c>
      <c r="J569" s="415">
        <v>0</v>
      </c>
      <c r="K569" s="415">
        <v>0</v>
      </c>
      <c r="L569" s="415">
        <v>314</v>
      </c>
      <c r="M569" s="415">
        <v>0</v>
      </c>
      <c r="N569" s="415">
        <v>0</v>
      </c>
      <c r="O569" s="415">
        <v>0</v>
      </c>
      <c r="P569" s="415">
        <v>0</v>
      </c>
      <c r="Q569" s="481">
        <f t="shared" si="54"/>
        <v>0</v>
      </c>
    </row>
    <row r="570" spans="1:17" outlineLevel="2" x14ac:dyDescent="0.3">
      <c r="A570" s="366" t="str">
        <f>IFERROR(VLOOKUP(RIGHT(E570,3)+0,[1]SchLocTable!$A$2:$B$47,2,FALSE)," ")</f>
        <v>Marin</v>
      </c>
      <c r="B570" s="366" t="str">
        <f>VLOOKUP(VALUE(D570),$D$3:F$106,3,FALSE)</f>
        <v>School Clericals</v>
      </c>
      <c r="C570" t="s">
        <v>314</v>
      </c>
      <c r="D570">
        <v>804</v>
      </c>
      <c r="E570" t="s">
        <v>424</v>
      </c>
      <c r="F570" t="s">
        <v>316</v>
      </c>
      <c r="G570">
        <v>2</v>
      </c>
      <c r="H570" s="502">
        <v>51000</v>
      </c>
      <c r="I570" s="415">
        <v>93537.559855999993</v>
      </c>
      <c r="J570" s="415">
        <v>134127</v>
      </c>
      <c r="K570" s="415">
        <v>129357.09</v>
      </c>
      <c r="L570" s="415">
        <v>126320.34</v>
      </c>
      <c r="M570" s="415">
        <v>138290.81</v>
      </c>
      <c r="N570" s="415">
        <v>134122.35</v>
      </c>
      <c r="O570" s="415">
        <v>138910.29</v>
      </c>
      <c r="P570" s="415">
        <v>138164.42000000001</v>
      </c>
      <c r="Q570" s="481">
        <f t="shared" si="54"/>
        <v>40589.440144000007</v>
      </c>
    </row>
    <row r="571" spans="1:17" outlineLevel="2" x14ac:dyDescent="0.3">
      <c r="A571" s="366" t="str">
        <f>IFERROR(VLOOKUP(RIGHT(E571,3)+0,[1]SchLocTable!$A$2:$B$47,2,FALSE)," ")</f>
        <v>Marin</v>
      </c>
      <c r="B571" s="366" t="str">
        <f>VLOOKUP(VALUE(D571),$D$3:F$106,3,FALSE)</f>
        <v>School Clericals</v>
      </c>
      <c r="C571" t="s">
        <v>314</v>
      </c>
      <c r="D571">
        <v>804</v>
      </c>
      <c r="E571" t="s">
        <v>424</v>
      </c>
      <c r="F571" t="s">
        <v>360</v>
      </c>
      <c r="G571" t="s">
        <v>319</v>
      </c>
      <c r="H571" s="502">
        <v>52920</v>
      </c>
      <c r="I571" s="415">
        <v>583.34</v>
      </c>
      <c r="J571" s="415">
        <v>0</v>
      </c>
      <c r="K571" s="415">
        <v>875.01</v>
      </c>
      <c r="L571" s="415">
        <v>250</v>
      </c>
      <c r="M571" s="415">
        <v>250</v>
      </c>
      <c r="N571" s="415">
        <v>0</v>
      </c>
      <c r="O571" s="415">
        <v>0</v>
      </c>
      <c r="P571" s="415">
        <v>0</v>
      </c>
      <c r="Q571" s="481">
        <f t="shared" si="54"/>
        <v>-583.34</v>
      </c>
    </row>
    <row r="572" spans="1:17" outlineLevel="2" x14ac:dyDescent="0.3">
      <c r="A572" s="366" t="str">
        <f>IFERROR(VLOOKUP(RIGHT(E572,3)+0,[1]SchLocTable!$A$2:$B$47,2,FALSE)," ")</f>
        <v>Marin</v>
      </c>
      <c r="B572" s="366" t="str">
        <f>VLOOKUP(VALUE(D572),$D$3:F$106,3,FALSE)</f>
        <v>School Clericals</v>
      </c>
      <c r="C572" t="s">
        <v>314</v>
      </c>
      <c r="D572">
        <v>804</v>
      </c>
      <c r="E572" t="s">
        <v>424</v>
      </c>
      <c r="F572" t="s">
        <v>321</v>
      </c>
      <c r="G572" t="s">
        <v>319</v>
      </c>
      <c r="H572" s="502">
        <v>52917</v>
      </c>
      <c r="I572" s="415">
        <v>0</v>
      </c>
      <c r="J572" s="415">
        <v>393.96</v>
      </c>
      <c r="K572" s="415">
        <v>28217.52</v>
      </c>
      <c r="L572" s="415">
        <v>52990.13</v>
      </c>
      <c r="M572" s="415">
        <v>62320.2</v>
      </c>
      <c r="N572" s="415">
        <v>65857.98</v>
      </c>
      <c r="O572" s="415">
        <v>62395.68</v>
      </c>
      <c r="P572" s="415">
        <v>60436.73</v>
      </c>
      <c r="Q572" s="481">
        <f t="shared" si="54"/>
        <v>393.96</v>
      </c>
    </row>
    <row r="573" spans="1:17" outlineLevel="2" x14ac:dyDescent="0.3">
      <c r="A573" s="366" t="str">
        <f>IFERROR(VLOOKUP(RIGHT(E573,3)+0,[1]SchLocTable!$A$2:$B$47,2,FALSE)," ")</f>
        <v>Marin</v>
      </c>
      <c r="B573" s="366" t="str">
        <f>VLOOKUP(VALUE(D573),$D$3:F$106,3,FALSE)</f>
        <v>School Clericals</v>
      </c>
      <c r="C573" t="s">
        <v>314</v>
      </c>
      <c r="D573">
        <v>804</v>
      </c>
      <c r="E573" t="s">
        <v>424</v>
      </c>
      <c r="F573" t="s">
        <v>318</v>
      </c>
      <c r="G573" t="s">
        <v>319</v>
      </c>
      <c r="H573" s="502">
        <v>51140</v>
      </c>
      <c r="I573" s="415">
        <v>2380</v>
      </c>
      <c r="J573" s="415">
        <v>0</v>
      </c>
      <c r="K573" s="415">
        <v>3313.33</v>
      </c>
      <c r="L573" s="415">
        <v>1470</v>
      </c>
      <c r="M573" s="415">
        <v>2870</v>
      </c>
      <c r="N573" s="415">
        <v>2730</v>
      </c>
      <c r="O573" s="415">
        <v>2590</v>
      </c>
      <c r="P573" s="415">
        <v>2450</v>
      </c>
      <c r="Q573" s="481">
        <f t="shared" si="54"/>
        <v>-2380</v>
      </c>
    </row>
    <row r="574" spans="1:17" outlineLevel="2" x14ac:dyDescent="0.3">
      <c r="A574" s="366" t="str">
        <f>IFERROR(VLOOKUP(RIGHT(E574,3)+0,[1]SchLocTable!$A$2:$B$47,2,FALSE)," ")</f>
        <v>Marin</v>
      </c>
      <c r="B574" s="366" t="str">
        <f>VLOOKUP(VALUE(D574),$D$3:F$106,3,FALSE)</f>
        <v>School Clericals</v>
      </c>
      <c r="C574" t="s">
        <v>314</v>
      </c>
      <c r="D574">
        <v>804</v>
      </c>
      <c r="E574" t="s">
        <v>424</v>
      </c>
      <c r="F574" t="s">
        <v>320</v>
      </c>
      <c r="G574" t="s">
        <v>319</v>
      </c>
      <c r="H574" s="502">
        <v>52360</v>
      </c>
      <c r="I574" s="415">
        <v>1364.7530479119998</v>
      </c>
      <c r="J574" s="415">
        <v>1761</v>
      </c>
      <c r="K574" s="415">
        <v>1853.1</v>
      </c>
      <c r="L574" s="415">
        <v>1613.39</v>
      </c>
      <c r="M574" s="415">
        <v>1836.37</v>
      </c>
      <c r="N574" s="415">
        <v>1794.31</v>
      </c>
      <c r="O574" s="415">
        <v>1903.11</v>
      </c>
      <c r="P574" s="415">
        <v>1867.39</v>
      </c>
      <c r="Q574" s="481">
        <f t="shared" si="54"/>
        <v>396.24695208800017</v>
      </c>
    </row>
    <row r="575" spans="1:17" outlineLevel="2" x14ac:dyDescent="0.3">
      <c r="A575" s="366" t="str">
        <f>IFERROR(VLOOKUP(RIGHT(E575,3)+0,[1]SchLocTable!$A$2:$B$47,2,FALSE)," ")</f>
        <v>Marin</v>
      </c>
      <c r="B575" s="366" t="str">
        <f>VLOOKUP(VALUE(D575),$D$3:F$106,3,FALSE)</f>
        <v>School Clericals</v>
      </c>
      <c r="C575" t="s">
        <v>314</v>
      </c>
      <c r="D575">
        <v>804</v>
      </c>
      <c r="E575" t="s">
        <v>424</v>
      </c>
      <c r="F575" t="s">
        <v>392</v>
      </c>
      <c r="G575" t="s">
        <v>319</v>
      </c>
      <c r="H575" s="502">
        <v>52504</v>
      </c>
      <c r="I575" s="415">
        <v>19558.322990076798</v>
      </c>
      <c r="J575" s="415">
        <v>28366</v>
      </c>
      <c r="K575" s="415">
        <v>25082.42</v>
      </c>
      <c r="L575" s="415">
        <v>26061.73</v>
      </c>
      <c r="M575" s="415">
        <v>30432.39</v>
      </c>
      <c r="N575" s="415">
        <v>22936.32</v>
      </c>
      <c r="O575" s="415">
        <v>23358.61</v>
      </c>
      <c r="P575" s="415">
        <v>20090.84</v>
      </c>
      <c r="Q575" s="481">
        <f t="shared" ref="Q575:Q638" si="55">J575-I575</f>
        <v>8807.6770099232017</v>
      </c>
    </row>
    <row r="576" spans="1:17" outlineLevel="2" x14ac:dyDescent="0.3">
      <c r="A576" s="366" t="str">
        <f>IFERROR(VLOOKUP(RIGHT(E576,3)+0,[1]SchLocTable!$A$2:$B$47,2,FALSE)," ")</f>
        <v>Marin</v>
      </c>
      <c r="B576" s="366" t="str">
        <f>VLOOKUP(VALUE(D576),$D$3:F$106,3,FALSE)</f>
        <v>School Clericals</v>
      </c>
      <c r="C576" t="s">
        <v>314</v>
      </c>
      <c r="D576">
        <v>804</v>
      </c>
      <c r="E576" t="s">
        <v>424</v>
      </c>
      <c r="F576" t="s">
        <v>419</v>
      </c>
      <c r="G576" t="s">
        <v>319</v>
      </c>
      <c r="H576" s="502">
        <v>51318</v>
      </c>
      <c r="I576" s="415">
        <v>0</v>
      </c>
      <c r="J576" s="415">
        <v>0</v>
      </c>
      <c r="K576" s="415">
        <v>995.99</v>
      </c>
      <c r="L576" s="415">
        <v>0</v>
      </c>
      <c r="M576" s="415">
        <v>0</v>
      </c>
      <c r="N576" s="415">
        <v>0</v>
      </c>
      <c r="O576" s="415">
        <v>512.66</v>
      </c>
      <c r="P576" s="415">
        <v>0</v>
      </c>
      <c r="Q576" s="481">
        <f t="shared" si="55"/>
        <v>0</v>
      </c>
    </row>
    <row r="577" spans="1:17" outlineLevel="2" x14ac:dyDescent="0.3">
      <c r="A577" s="366" t="str">
        <f>IFERROR(VLOOKUP(RIGHT(E577,3)+0,[1]SchLocTable!$A$2:$B$47,2,FALSE)," ")</f>
        <v>Marin</v>
      </c>
      <c r="B577" s="366" t="str">
        <f>VLOOKUP(VALUE(D577),$D$3:F$106,3,FALSE)</f>
        <v>School Clericals</v>
      </c>
      <c r="C577" t="s">
        <v>314</v>
      </c>
      <c r="D577">
        <v>804</v>
      </c>
      <c r="E577" t="s">
        <v>424</v>
      </c>
      <c r="F577" t="s">
        <v>324</v>
      </c>
      <c r="G577" t="s">
        <v>319</v>
      </c>
      <c r="H577" s="502">
        <v>52385</v>
      </c>
      <c r="I577" s="415">
        <v>0</v>
      </c>
      <c r="J577" s="415">
        <v>0</v>
      </c>
      <c r="K577" s="415">
        <v>719.34</v>
      </c>
      <c r="L577" s="415">
        <v>0</v>
      </c>
      <c r="M577" s="415">
        <v>0</v>
      </c>
      <c r="N577" s="415">
        <v>937.09</v>
      </c>
      <c r="O577" s="415">
        <v>0</v>
      </c>
      <c r="P577" s="415">
        <v>0</v>
      </c>
      <c r="Q577" s="481">
        <f t="shared" si="55"/>
        <v>0</v>
      </c>
    </row>
    <row r="578" spans="1:17" outlineLevel="2" x14ac:dyDescent="0.3">
      <c r="A578" s="366" t="str">
        <f>IFERROR(VLOOKUP(RIGHT(E578,3)+0,[1]SchLocTable!$A$2:$B$47,2,FALSE)," ")</f>
        <v>Marin</v>
      </c>
      <c r="B578" s="366" t="str">
        <f>VLOOKUP(VALUE(D578),$D$3:F$106,3,FALSE)</f>
        <v>School Clericals</v>
      </c>
      <c r="C578" t="s">
        <v>314</v>
      </c>
      <c r="D578">
        <v>804</v>
      </c>
      <c r="E578" t="s">
        <v>424</v>
      </c>
      <c r="F578" t="s">
        <v>329</v>
      </c>
      <c r="G578" t="s">
        <v>319</v>
      </c>
      <c r="H578" s="502">
        <v>51154</v>
      </c>
      <c r="I578" s="415">
        <v>102.93819999999999</v>
      </c>
      <c r="J578" s="415">
        <v>0</v>
      </c>
      <c r="K578" s="415">
        <v>3198.15</v>
      </c>
      <c r="L578" s="415">
        <v>0</v>
      </c>
      <c r="M578" s="415">
        <v>0</v>
      </c>
      <c r="N578" s="415">
        <v>0</v>
      </c>
      <c r="O578" s="415">
        <v>299.05</v>
      </c>
      <c r="P578" s="415">
        <v>0</v>
      </c>
      <c r="Q578" s="481">
        <f t="shared" si="55"/>
        <v>-102.93819999999999</v>
      </c>
    </row>
    <row r="579" spans="1:17" outlineLevel="2" x14ac:dyDescent="0.3">
      <c r="A579" s="366" t="str">
        <f>IFERROR(VLOOKUP(RIGHT(E579,3)+0,[1]SchLocTable!$A$2:$B$47,2,FALSE)," ")</f>
        <v>Marin</v>
      </c>
      <c r="B579" s="366" t="str">
        <f>VLOOKUP(VALUE(D579),$D$3:F$106,3,FALSE)</f>
        <v>School Clericals</v>
      </c>
      <c r="C579" t="s">
        <v>314</v>
      </c>
      <c r="D579">
        <v>804</v>
      </c>
      <c r="E579" t="s">
        <v>424</v>
      </c>
      <c r="F579" t="s">
        <v>418</v>
      </c>
      <c r="G579" t="s">
        <v>319</v>
      </c>
      <c r="H579" s="502">
        <v>51314</v>
      </c>
      <c r="I579" s="415">
        <v>4117.6104000000005</v>
      </c>
      <c r="J579" s="415">
        <v>0</v>
      </c>
      <c r="K579" s="415">
        <v>3997.68</v>
      </c>
      <c r="L579" s="415">
        <v>0</v>
      </c>
      <c r="M579" s="415">
        <v>0</v>
      </c>
      <c r="N579" s="415">
        <v>0</v>
      </c>
      <c r="O579" s="415">
        <v>1025.31</v>
      </c>
      <c r="P579" s="415">
        <v>0</v>
      </c>
      <c r="Q579" s="481">
        <f t="shared" si="55"/>
        <v>-4117.6104000000005</v>
      </c>
    </row>
    <row r="580" spans="1:17" outlineLevel="2" x14ac:dyDescent="0.3">
      <c r="A580" s="366" t="str">
        <f>IFERROR(VLOOKUP(RIGHT(E580,3)+0,[1]SchLocTable!$A$2:$B$47,2,FALSE)," ")</f>
        <v>Marin</v>
      </c>
      <c r="B580" s="366" t="str">
        <f>VLOOKUP(VALUE(D580),$D$3:F$106,3,FALSE)</f>
        <v>School Clericals</v>
      </c>
      <c r="C580" t="s">
        <v>314</v>
      </c>
      <c r="D580">
        <v>804</v>
      </c>
      <c r="E580" t="s">
        <v>424</v>
      </c>
      <c r="F580" t="s">
        <v>356</v>
      </c>
      <c r="G580" t="s">
        <v>319</v>
      </c>
      <c r="H580" s="502">
        <v>51156</v>
      </c>
      <c r="I580" s="415">
        <v>0</v>
      </c>
      <c r="J580" s="415">
        <v>0</v>
      </c>
      <c r="K580" s="415">
        <v>877.17</v>
      </c>
      <c r="L580" s="415">
        <v>877.17</v>
      </c>
      <c r="M580" s="415">
        <v>0</v>
      </c>
      <c r="N580" s="415">
        <v>0</v>
      </c>
      <c r="O580" s="415">
        <v>0</v>
      </c>
      <c r="P580" s="415">
        <v>0</v>
      </c>
      <c r="Q580" s="481">
        <f t="shared" si="55"/>
        <v>0</v>
      </c>
    </row>
    <row r="581" spans="1:17" outlineLevel="2" x14ac:dyDescent="0.3">
      <c r="A581" s="366" t="str">
        <f>IFERROR(VLOOKUP(RIGHT(E581,3)+0,[1]SchLocTable!$A$2:$B$47,2,FALSE)," ")</f>
        <v>Hall</v>
      </c>
      <c r="B581" s="366" t="str">
        <f>VLOOKUP(VALUE(D581),$D$3:F$106,3,FALSE)</f>
        <v>School Clericals</v>
      </c>
      <c r="C581" t="s">
        <v>314</v>
      </c>
      <c r="D581">
        <v>804</v>
      </c>
      <c r="E581" t="s">
        <v>425</v>
      </c>
      <c r="F581" t="s">
        <v>316</v>
      </c>
      <c r="G581">
        <v>1</v>
      </c>
      <c r="H581" s="502">
        <v>51000</v>
      </c>
      <c r="I581" s="415">
        <v>53859.448603999997</v>
      </c>
      <c r="J581" s="415">
        <v>48579</v>
      </c>
      <c r="K581" s="415">
        <v>48600.45</v>
      </c>
      <c r="L581" s="415">
        <v>48102.35</v>
      </c>
      <c r="M581" s="415">
        <v>47179.519999999997</v>
      </c>
      <c r="N581" s="415">
        <v>46406.51</v>
      </c>
      <c r="O581" s="415">
        <v>46624.42</v>
      </c>
      <c r="P581" s="415">
        <v>44775.8</v>
      </c>
      <c r="Q581" s="481">
        <f t="shared" si="55"/>
        <v>-5280.4486039999974</v>
      </c>
    </row>
    <row r="582" spans="1:17" outlineLevel="2" x14ac:dyDescent="0.3">
      <c r="A582" s="366" t="str">
        <f>IFERROR(VLOOKUP(RIGHT(E582,3)+0,[1]SchLocTable!$A$2:$B$47,2,FALSE)," ")</f>
        <v>Hall</v>
      </c>
      <c r="B582" s="366" t="str">
        <f>VLOOKUP(VALUE(D582),$D$3:F$106,3,FALSE)</f>
        <v>School Clericals</v>
      </c>
      <c r="C582" t="s">
        <v>314</v>
      </c>
      <c r="D582">
        <v>804</v>
      </c>
      <c r="E582" t="s">
        <v>425</v>
      </c>
      <c r="F582" t="s">
        <v>321</v>
      </c>
      <c r="G582" t="s">
        <v>319</v>
      </c>
      <c r="H582" s="502">
        <v>52917</v>
      </c>
      <c r="I582" s="415">
        <v>15361.008</v>
      </c>
      <c r="J582" s="415">
        <v>12732</v>
      </c>
      <c r="K582" s="415">
        <v>11604.16</v>
      </c>
      <c r="L582" s="415">
        <v>11327.94</v>
      </c>
      <c r="M582" s="415">
        <v>10846.32</v>
      </c>
      <c r="N582" s="415">
        <v>10330.379999999999</v>
      </c>
      <c r="O582" s="415">
        <v>9762.2099999999991</v>
      </c>
      <c r="P582" s="415">
        <v>9308.19</v>
      </c>
      <c r="Q582" s="481">
        <f t="shared" si="55"/>
        <v>-2629.0079999999998</v>
      </c>
    </row>
    <row r="583" spans="1:17" outlineLevel="2" x14ac:dyDescent="0.3">
      <c r="A583" s="366" t="str">
        <f>IFERROR(VLOOKUP(RIGHT(E583,3)+0,[1]SchLocTable!$A$2:$B$47,2,FALSE)," ")</f>
        <v>Hall</v>
      </c>
      <c r="B583" s="366" t="str">
        <f>VLOOKUP(VALUE(D583),$D$3:F$106,3,FALSE)</f>
        <v>School Clericals</v>
      </c>
      <c r="C583" t="s">
        <v>314</v>
      </c>
      <c r="D583">
        <v>804</v>
      </c>
      <c r="E583" t="s">
        <v>425</v>
      </c>
      <c r="F583" t="s">
        <v>318</v>
      </c>
      <c r="G583" t="s">
        <v>319</v>
      </c>
      <c r="H583" s="502">
        <v>51140</v>
      </c>
      <c r="I583" s="415">
        <v>1050</v>
      </c>
      <c r="J583" s="415">
        <v>0</v>
      </c>
      <c r="K583" s="415">
        <v>980</v>
      </c>
      <c r="L583" s="415">
        <v>910</v>
      </c>
      <c r="M583" s="415">
        <v>840</v>
      </c>
      <c r="N583" s="415">
        <v>770</v>
      </c>
      <c r="O583" s="415">
        <v>700</v>
      </c>
      <c r="P583" s="415">
        <v>0</v>
      </c>
      <c r="Q583" s="481">
        <f t="shared" si="55"/>
        <v>-1050</v>
      </c>
    </row>
    <row r="584" spans="1:17" outlineLevel="2" x14ac:dyDescent="0.3">
      <c r="A584" s="366" t="str">
        <f>IFERROR(VLOOKUP(RIGHT(E584,3)+0,[1]SchLocTable!$A$2:$B$47,2,FALSE)," ")</f>
        <v>Hall</v>
      </c>
      <c r="B584" s="366" t="str">
        <f>VLOOKUP(VALUE(D584),$D$3:F$106,3,FALSE)</f>
        <v>School Clericals</v>
      </c>
      <c r="C584" t="s">
        <v>314</v>
      </c>
      <c r="D584">
        <v>804</v>
      </c>
      <c r="E584" t="s">
        <v>425</v>
      </c>
      <c r="F584" t="s">
        <v>320</v>
      </c>
      <c r="G584" t="s">
        <v>319</v>
      </c>
      <c r="H584" s="502">
        <v>52360</v>
      </c>
      <c r="I584" s="415">
        <v>780.96200475800003</v>
      </c>
      <c r="J584" s="415">
        <v>660</v>
      </c>
      <c r="K584" s="415">
        <v>673.12</v>
      </c>
      <c r="L584" s="415">
        <v>671.63</v>
      </c>
      <c r="M584" s="415">
        <v>645.74</v>
      </c>
      <c r="N584" s="415">
        <v>638.86</v>
      </c>
      <c r="O584" s="415">
        <v>655.62</v>
      </c>
      <c r="P584" s="415">
        <v>620.96</v>
      </c>
      <c r="Q584" s="481">
        <f t="shared" si="55"/>
        <v>-120.96200475800003</v>
      </c>
    </row>
    <row r="585" spans="1:17" outlineLevel="2" x14ac:dyDescent="0.3">
      <c r="A585" s="366" t="str">
        <f>IFERROR(VLOOKUP(RIGHT(E585,3)+0,[1]SchLocTable!$A$2:$B$47,2,FALSE)," ")</f>
        <v>Hall</v>
      </c>
      <c r="B585" s="366" t="str">
        <f>VLOOKUP(VALUE(D585),$D$3:F$106,3,FALSE)</f>
        <v>School Clericals</v>
      </c>
      <c r="C585" t="s">
        <v>314</v>
      </c>
      <c r="D585">
        <v>804</v>
      </c>
      <c r="E585" t="s">
        <v>425</v>
      </c>
      <c r="F585" t="s">
        <v>392</v>
      </c>
      <c r="G585" t="s">
        <v>319</v>
      </c>
      <c r="H585" s="502">
        <v>52504</v>
      </c>
      <c r="I585" s="415">
        <v>11191.993419911199</v>
      </c>
      <c r="J585" s="415">
        <v>10313</v>
      </c>
      <c r="K585" s="415">
        <v>10210.57</v>
      </c>
      <c r="L585" s="415">
        <v>9995.56</v>
      </c>
      <c r="M585" s="415">
        <v>10351.75</v>
      </c>
      <c r="N585" s="415">
        <v>9014.15</v>
      </c>
      <c r="O585" s="415">
        <v>7793.39</v>
      </c>
      <c r="P585" s="415">
        <v>6397.67</v>
      </c>
      <c r="Q585" s="481">
        <f t="shared" si="55"/>
        <v>-878.99341991119945</v>
      </c>
    </row>
    <row r="586" spans="1:17" outlineLevel="2" x14ac:dyDescent="0.3">
      <c r="A586" s="366" t="str">
        <f>IFERROR(VLOOKUP(RIGHT(E586,3)+0,[1]SchLocTable!$A$2:$B$47,2,FALSE)," ")</f>
        <v>Hall</v>
      </c>
      <c r="B586" s="366" t="str">
        <f>VLOOKUP(VALUE(D586),$D$3:F$106,3,FALSE)</f>
        <v>School Clericals</v>
      </c>
      <c r="C586" t="s">
        <v>314</v>
      </c>
      <c r="D586">
        <v>804</v>
      </c>
      <c r="E586" t="s">
        <v>425</v>
      </c>
      <c r="F586" t="s">
        <v>356</v>
      </c>
      <c r="G586" t="s">
        <v>319</v>
      </c>
      <c r="H586" s="502">
        <v>51156</v>
      </c>
      <c r="I586" s="415">
        <v>0</v>
      </c>
      <c r="J586" s="415">
        <v>0</v>
      </c>
      <c r="K586" s="415">
        <v>560.53</v>
      </c>
      <c r="L586" s="415">
        <v>915.88</v>
      </c>
      <c r="M586" s="415">
        <v>0</v>
      </c>
      <c r="N586" s="415">
        <v>0</v>
      </c>
      <c r="O586" s="415">
        <v>854.5</v>
      </c>
      <c r="P586" s="415">
        <v>854.5</v>
      </c>
      <c r="Q586" s="481">
        <f t="shared" si="55"/>
        <v>0</v>
      </c>
    </row>
    <row r="587" spans="1:17" outlineLevel="2" x14ac:dyDescent="0.3">
      <c r="A587" s="366" t="str">
        <f>IFERROR(VLOOKUP(RIGHT(E587,3)+0,[1]SchLocTable!$A$2:$B$47,2,FALSE)," ")</f>
        <v>Hallen</v>
      </c>
      <c r="B587" s="366" t="str">
        <f>VLOOKUP(VALUE(D587),$D$3:F$106,3,FALSE)</f>
        <v>School Clericals</v>
      </c>
      <c r="C587" t="s">
        <v>314</v>
      </c>
      <c r="D587">
        <v>804</v>
      </c>
      <c r="E587" t="s">
        <v>426</v>
      </c>
      <c r="F587" t="s">
        <v>316</v>
      </c>
      <c r="G587">
        <v>1</v>
      </c>
      <c r="H587" s="502">
        <v>51000</v>
      </c>
      <c r="I587" s="415">
        <v>45970.294188</v>
      </c>
      <c r="J587" s="415">
        <v>6796.06</v>
      </c>
      <c r="K587" s="415">
        <v>54806.63</v>
      </c>
      <c r="L587" s="415">
        <v>51460.49</v>
      </c>
      <c r="M587" s="415">
        <v>50547.76</v>
      </c>
      <c r="N587" s="415">
        <v>49553.09</v>
      </c>
      <c r="O587" s="415">
        <v>49876</v>
      </c>
      <c r="P587" s="415">
        <v>49682.04</v>
      </c>
      <c r="Q587" s="481">
        <f t="shared" si="55"/>
        <v>-39174.234188000002</v>
      </c>
    </row>
    <row r="588" spans="1:17" outlineLevel="2" x14ac:dyDescent="0.3">
      <c r="A588" s="366" t="str">
        <f>IFERROR(VLOOKUP(RIGHT(E588,3)+0,[1]SchLocTable!$A$2:$B$47,2,FALSE)," ")</f>
        <v>Hallen</v>
      </c>
      <c r="B588" s="366" t="str">
        <f>VLOOKUP(VALUE(D588),$D$3:F$106,3,FALSE)</f>
        <v>School Clericals</v>
      </c>
      <c r="C588" t="s">
        <v>314</v>
      </c>
      <c r="D588">
        <v>804</v>
      </c>
      <c r="E588" t="s">
        <v>426</v>
      </c>
      <c r="F588" t="s">
        <v>321</v>
      </c>
      <c r="G588" t="s">
        <v>319</v>
      </c>
      <c r="H588" s="502">
        <v>52917</v>
      </c>
      <c r="I588" s="415">
        <v>0</v>
      </c>
      <c r="J588" s="415">
        <v>3348.66</v>
      </c>
      <c r="K588" s="415">
        <v>23572.33</v>
      </c>
      <c r="L588" s="415">
        <v>23361.26</v>
      </c>
      <c r="M588" s="415">
        <v>22285.1</v>
      </c>
      <c r="N588" s="415">
        <v>20896.71</v>
      </c>
      <c r="O588" s="415">
        <v>20088.38</v>
      </c>
      <c r="P588" s="415">
        <v>19356.43</v>
      </c>
      <c r="Q588" s="481">
        <f t="shared" si="55"/>
        <v>3348.66</v>
      </c>
    </row>
    <row r="589" spans="1:17" outlineLevel="2" x14ac:dyDescent="0.3">
      <c r="A589" s="366" t="str">
        <f>IFERROR(VLOOKUP(RIGHT(E589,3)+0,[1]SchLocTable!$A$2:$B$47,2,FALSE)," ")</f>
        <v>Hallen</v>
      </c>
      <c r="B589" s="366" t="str">
        <f>VLOOKUP(VALUE(D589),$D$3:F$106,3,FALSE)</f>
        <v>School Clericals</v>
      </c>
      <c r="C589" t="s">
        <v>314</v>
      </c>
      <c r="D589">
        <v>804</v>
      </c>
      <c r="E589" t="s">
        <v>426</v>
      </c>
      <c r="F589" t="s">
        <v>318</v>
      </c>
      <c r="G589" t="s">
        <v>319</v>
      </c>
      <c r="H589" s="502">
        <v>51140</v>
      </c>
      <c r="I589" s="415">
        <v>0</v>
      </c>
      <c r="J589" s="415">
        <v>0</v>
      </c>
      <c r="K589" s="415">
        <v>840</v>
      </c>
      <c r="L589" s="415">
        <v>770</v>
      </c>
      <c r="M589" s="415">
        <v>700</v>
      </c>
      <c r="N589" s="415">
        <v>0</v>
      </c>
      <c r="O589" s="415">
        <v>0</v>
      </c>
      <c r="P589" s="415">
        <v>0</v>
      </c>
      <c r="Q589" s="481">
        <f t="shared" si="55"/>
        <v>0</v>
      </c>
    </row>
    <row r="590" spans="1:17" outlineLevel="2" x14ac:dyDescent="0.3">
      <c r="A590" s="366" t="str">
        <f>IFERROR(VLOOKUP(RIGHT(E590,3)+0,[1]SchLocTable!$A$2:$B$47,2,FALSE)," ")</f>
        <v>Hallen</v>
      </c>
      <c r="B590" s="366" t="str">
        <f>VLOOKUP(VALUE(D590),$D$3:F$106,3,FALSE)</f>
        <v>School Clericals</v>
      </c>
      <c r="C590" t="s">
        <v>314</v>
      </c>
      <c r="D590">
        <v>804</v>
      </c>
      <c r="E590" t="s">
        <v>426</v>
      </c>
      <c r="F590" t="s">
        <v>320</v>
      </c>
      <c r="G590" t="s">
        <v>319</v>
      </c>
      <c r="H590" s="502">
        <v>52360</v>
      </c>
      <c r="I590" s="415">
        <v>701.40371059200004</v>
      </c>
      <c r="J590" s="415">
        <v>69.81</v>
      </c>
      <c r="K590" s="415">
        <v>617.74</v>
      </c>
      <c r="L590" s="415">
        <v>577.29999999999995</v>
      </c>
      <c r="M590" s="415">
        <v>575.35</v>
      </c>
      <c r="N590" s="415">
        <v>583.5</v>
      </c>
      <c r="O590" s="415">
        <v>585.88</v>
      </c>
      <c r="P590" s="415">
        <v>594.36</v>
      </c>
      <c r="Q590" s="481">
        <f t="shared" si="55"/>
        <v>-631.59371059199998</v>
      </c>
    </row>
    <row r="591" spans="1:17" outlineLevel="2" x14ac:dyDescent="0.3">
      <c r="A591" s="366" t="str">
        <f>IFERROR(VLOOKUP(RIGHT(E591,3)+0,[1]SchLocTable!$A$2:$B$47,2,FALSE)," ")</f>
        <v>Hallen</v>
      </c>
      <c r="B591" s="366" t="str">
        <f>VLOOKUP(VALUE(D591),$D$3:F$106,3,FALSE)</f>
        <v>School Clericals</v>
      </c>
      <c r="C591" t="s">
        <v>314</v>
      </c>
      <c r="D591">
        <v>804</v>
      </c>
      <c r="E591" t="s">
        <v>426</v>
      </c>
      <c r="F591" t="s">
        <v>392</v>
      </c>
      <c r="G591" t="s">
        <v>319</v>
      </c>
      <c r="H591" s="502">
        <v>52504</v>
      </c>
      <c r="I591" s="415">
        <v>10051.840762828801</v>
      </c>
      <c r="J591" s="415">
        <v>1412.22</v>
      </c>
      <c r="K591" s="415">
        <v>11656.19</v>
      </c>
      <c r="L591" s="415">
        <v>10651.81</v>
      </c>
      <c r="M591" s="415">
        <v>11047.62</v>
      </c>
      <c r="N591" s="415">
        <v>9469.2999999999993</v>
      </c>
      <c r="O591" s="415">
        <v>8214.2099999999991</v>
      </c>
      <c r="P591" s="415">
        <v>7097.44</v>
      </c>
      <c r="Q591" s="481">
        <f t="shared" si="55"/>
        <v>-8639.6207628288012</v>
      </c>
    </row>
    <row r="592" spans="1:17" outlineLevel="2" x14ac:dyDescent="0.3">
      <c r="A592" s="366" t="str">
        <f>IFERROR(VLOOKUP(RIGHT(E592,3)+0,[1]SchLocTable!$A$2:$B$47,2,FALSE)," ")</f>
        <v>Hallen</v>
      </c>
      <c r="B592" s="366" t="str">
        <f>VLOOKUP(VALUE(D592),$D$3:F$106,3,FALSE)</f>
        <v>School Clericals</v>
      </c>
      <c r="C592" t="s">
        <v>314</v>
      </c>
      <c r="D592">
        <v>804</v>
      </c>
      <c r="E592" t="s">
        <v>426</v>
      </c>
      <c r="F592" t="s">
        <v>427</v>
      </c>
      <c r="G592" t="s">
        <v>319</v>
      </c>
      <c r="H592" s="502">
        <v>51106</v>
      </c>
      <c r="I592" s="415">
        <v>0</v>
      </c>
      <c r="J592" s="415">
        <v>0</v>
      </c>
      <c r="K592" s="415">
        <v>953.3</v>
      </c>
      <c r="L592" s="415">
        <v>0</v>
      </c>
      <c r="M592" s="415">
        <v>0</v>
      </c>
      <c r="N592" s="415">
        <v>0</v>
      </c>
      <c r="O592" s="415">
        <v>0</v>
      </c>
      <c r="P592" s="415">
        <v>0</v>
      </c>
      <c r="Q592" s="481">
        <f t="shared" si="55"/>
        <v>0</v>
      </c>
    </row>
    <row r="593" spans="1:17" outlineLevel="2" x14ac:dyDescent="0.3">
      <c r="A593" s="366" t="str">
        <f>IFERROR(VLOOKUP(RIGHT(E593,3)+0,[1]SchLocTable!$A$2:$B$47,2,FALSE)," ")</f>
        <v>Hallen</v>
      </c>
      <c r="B593" s="366" t="str">
        <f>VLOOKUP(VALUE(D593),$D$3:F$106,3,FALSE)</f>
        <v>School Clericals</v>
      </c>
      <c r="C593" t="s">
        <v>314</v>
      </c>
      <c r="D593">
        <v>804</v>
      </c>
      <c r="E593" t="s">
        <v>426</v>
      </c>
      <c r="F593" t="s">
        <v>324</v>
      </c>
      <c r="G593" t="s">
        <v>319</v>
      </c>
      <c r="H593" s="502">
        <v>52385</v>
      </c>
      <c r="I593" s="415">
        <v>0</v>
      </c>
      <c r="J593" s="415">
        <v>0</v>
      </c>
      <c r="K593" s="415">
        <v>0</v>
      </c>
      <c r="L593" s="415">
        <v>0</v>
      </c>
      <c r="M593" s="415">
        <v>0</v>
      </c>
      <c r="N593" s="415">
        <v>0</v>
      </c>
      <c r="O593" s="415">
        <v>0</v>
      </c>
      <c r="P593" s="415">
        <v>0</v>
      </c>
      <c r="Q593" s="481">
        <f t="shared" si="55"/>
        <v>0</v>
      </c>
    </row>
    <row r="594" spans="1:17" outlineLevel="2" x14ac:dyDescent="0.3">
      <c r="A594" s="366" t="str">
        <f>IFERROR(VLOOKUP(RIGHT(E594,3)+0,[1]SchLocTable!$A$2:$B$47,2,FALSE)," ")</f>
        <v>Hallen</v>
      </c>
      <c r="B594" s="366" t="str">
        <f>VLOOKUP(VALUE(D594),$D$3:F$106,3,FALSE)</f>
        <v>School Clericals</v>
      </c>
      <c r="C594" t="s">
        <v>314</v>
      </c>
      <c r="D594">
        <v>804</v>
      </c>
      <c r="E594" t="s">
        <v>426</v>
      </c>
      <c r="F594" t="s">
        <v>356</v>
      </c>
      <c r="G594" t="s">
        <v>319</v>
      </c>
      <c r="H594" s="502">
        <v>51156</v>
      </c>
      <c r="I594" s="415">
        <v>0</v>
      </c>
      <c r="J594" s="415">
        <v>0</v>
      </c>
      <c r="K594" s="415">
        <v>0</v>
      </c>
      <c r="L594" s="415">
        <v>999.42</v>
      </c>
      <c r="M594" s="415">
        <v>970.81</v>
      </c>
      <c r="N594" s="415">
        <v>951.86</v>
      </c>
      <c r="O594" s="415">
        <v>0</v>
      </c>
      <c r="P594" s="415">
        <v>0</v>
      </c>
      <c r="Q594" s="481">
        <f t="shared" si="55"/>
        <v>0</v>
      </c>
    </row>
    <row r="595" spans="1:17" outlineLevel="2" x14ac:dyDescent="0.3">
      <c r="A595" s="366" t="str">
        <f>IFERROR(VLOOKUP(RIGHT(E595,3)+0,[1]SchLocTable!$A$2:$B$47,2,FALSE)," ")</f>
        <v>Hooker</v>
      </c>
      <c r="B595" s="366" t="str">
        <f>VLOOKUP(VALUE(D595),$D$3:F$106,3,FALSE)</f>
        <v>School Clericals</v>
      </c>
      <c r="C595" t="s">
        <v>314</v>
      </c>
      <c r="D595">
        <v>804</v>
      </c>
      <c r="E595" t="s">
        <v>428</v>
      </c>
      <c r="F595" t="s">
        <v>316</v>
      </c>
      <c r="G595">
        <v>1</v>
      </c>
      <c r="H595" s="502">
        <v>51000</v>
      </c>
      <c r="I595" s="415">
        <v>57618.961607999998</v>
      </c>
      <c r="J595" s="415">
        <v>51970</v>
      </c>
      <c r="K595" s="415">
        <v>52169.71</v>
      </c>
      <c r="L595" s="415">
        <v>48562.19</v>
      </c>
      <c r="M595" s="415">
        <v>50584.71</v>
      </c>
      <c r="N595" s="415">
        <v>48575.78</v>
      </c>
      <c r="O595" s="415">
        <v>49880.1</v>
      </c>
      <c r="P595" s="415">
        <v>47902.48</v>
      </c>
      <c r="Q595" s="481">
        <f t="shared" si="55"/>
        <v>-5648.9616079999978</v>
      </c>
    </row>
    <row r="596" spans="1:17" outlineLevel="2" x14ac:dyDescent="0.3">
      <c r="A596" s="366" t="str">
        <f>IFERROR(VLOOKUP(RIGHT(E596,3)+0,[1]SchLocTable!$A$2:$B$47,2,FALSE)," ")</f>
        <v>Hooker</v>
      </c>
      <c r="B596" s="366" t="str">
        <f>VLOOKUP(VALUE(D596),$D$3:F$106,3,FALSE)</f>
        <v>School Clericals</v>
      </c>
      <c r="C596" t="s">
        <v>314</v>
      </c>
      <c r="D596">
        <v>804</v>
      </c>
      <c r="E596" t="s">
        <v>428</v>
      </c>
      <c r="F596" t="s">
        <v>321</v>
      </c>
      <c r="G596" t="s">
        <v>319</v>
      </c>
      <c r="H596" s="502">
        <v>52917</v>
      </c>
      <c r="I596" s="415">
        <v>45495.840000000004</v>
      </c>
      <c r="J596" s="415">
        <v>37710</v>
      </c>
      <c r="K596" s="415">
        <v>34371.18</v>
      </c>
      <c r="L596" s="415">
        <v>32266.28</v>
      </c>
      <c r="M596" s="415">
        <v>31543.65</v>
      </c>
      <c r="N596" s="415">
        <v>28601.34</v>
      </c>
      <c r="O596" s="415">
        <v>27630.59</v>
      </c>
      <c r="P596" s="415">
        <v>26257.43</v>
      </c>
      <c r="Q596" s="481">
        <f t="shared" si="55"/>
        <v>-7785.8400000000038</v>
      </c>
    </row>
    <row r="597" spans="1:17" outlineLevel="2" x14ac:dyDescent="0.3">
      <c r="A597" s="366" t="str">
        <f>IFERROR(VLOOKUP(RIGHT(E597,3)+0,[1]SchLocTable!$A$2:$B$47,2,FALSE)," ")</f>
        <v>Hooker</v>
      </c>
      <c r="B597" s="366" t="str">
        <f>VLOOKUP(VALUE(D597),$D$3:F$106,3,FALSE)</f>
        <v>School Clericals</v>
      </c>
      <c r="C597" t="s">
        <v>314</v>
      </c>
      <c r="D597">
        <v>804</v>
      </c>
      <c r="E597" t="s">
        <v>428</v>
      </c>
      <c r="F597" t="s">
        <v>318</v>
      </c>
      <c r="G597" t="s">
        <v>319</v>
      </c>
      <c r="H597" s="502">
        <v>51140</v>
      </c>
      <c r="I597" s="415">
        <v>1610</v>
      </c>
      <c r="J597" s="415">
        <v>0</v>
      </c>
      <c r="K597" s="415">
        <v>1540</v>
      </c>
      <c r="L597" s="415">
        <v>1470</v>
      </c>
      <c r="M597" s="415">
        <v>1400</v>
      </c>
      <c r="N597" s="415">
        <v>1330</v>
      </c>
      <c r="O597" s="415">
        <v>1260</v>
      </c>
      <c r="P597" s="415">
        <v>1190</v>
      </c>
      <c r="Q597" s="481">
        <f t="shared" si="55"/>
        <v>-1610</v>
      </c>
    </row>
    <row r="598" spans="1:17" outlineLevel="2" x14ac:dyDescent="0.3">
      <c r="A598" s="366" t="str">
        <f>IFERROR(VLOOKUP(RIGHT(E598,3)+0,[1]SchLocTable!$A$2:$B$47,2,FALSE)," ")</f>
        <v>Hooker</v>
      </c>
      <c r="B598" s="366" t="str">
        <f>VLOOKUP(VALUE(D598),$D$3:F$106,3,FALSE)</f>
        <v>School Clericals</v>
      </c>
      <c r="C598" t="s">
        <v>314</v>
      </c>
      <c r="D598">
        <v>804</v>
      </c>
      <c r="E598" t="s">
        <v>428</v>
      </c>
      <c r="F598" t="s">
        <v>320</v>
      </c>
      <c r="G598" t="s">
        <v>319</v>
      </c>
      <c r="H598" s="502">
        <v>52360</v>
      </c>
      <c r="I598" s="415">
        <v>835.47494331600001</v>
      </c>
      <c r="J598" s="415">
        <v>601</v>
      </c>
      <c r="K598" s="415">
        <v>619.17999999999995</v>
      </c>
      <c r="L598" s="415">
        <v>576.29999999999995</v>
      </c>
      <c r="M598" s="415">
        <v>608.41999999999996</v>
      </c>
      <c r="N598" s="415">
        <v>592.38</v>
      </c>
      <c r="O598" s="415">
        <v>640.85</v>
      </c>
      <c r="P598" s="415">
        <v>591.41999999999996</v>
      </c>
      <c r="Q598" s="481">
        <f t="shared" si="55"/>
        <v>-234.47494331600001</v>
      </c>
    </row>
    <row r="599" spans="1:17" outlineLevel="2" x14ac:dyDescent="0.3">
      <c r="A599" s="366" t="str">
        <f>IFERROR(VLOOKUP(RIGHT(E599,3)+0,[1]SchLocTable!$A$2:$B$47,2,FALSE)," ")</f>
        <v>Hooker</v>
      </c>
      <c r="B599" s="366" t="str">
        <f>VLOOKUP(VALUE(D599),$D$3:F$106,3,FALSE)</f>
        <v>School Clericals</v>
      </c>
      <c r="C599" t="s">
        <v>314</v>
      </c>
      <c r="D599">
        <v>804</v>
      </c>
      <c r="E599" t="s">
        <v>428</v>
      </c>
      <c r="F599" t="s">
        <v>392</v>
      </c>
      <c r="G599" t="s">
        <v>319</v>
      </c>
      <c r="H599" s="502">
        <v>52504</v>
      </c>
      <c r="I599" s="415">
        <v>11973.2202221424</v>
      </c>
      <c r="J599" s="415">
        <v>10972.91</v>
      </c>
      <c r="K599" s="415">
        <v>11061.09</v>
      </c>
      <c r="L599" s="415">
        <v>10203.59</v>
      </c>
      <c r="M599" s="415">
        <v>11206.66</v>
      </c>
      <c r="N599" s="415">
        <v>9536.3799999999992</v>
      </c>
      <c r="O599" s="415">
        <v>8421.4</v>
      </c>
      <c r="P599" s="415">
        <v>7013.66</v>
      </c>
      <c r="Q599" s="481">
        <f t="shared" si="55"/>
        <v>-1000.3102221423997</v>
      </c>
    </row>
    <row r="600" spans="1:17" outlineLevel="2" x14ac:dyDescent="0.3">
      <c r="A600" s="366" t="str">
        <f>IFERROR(VLOOKUP(RIGHT(E600,3)+0,[1]SchLocTable!$A$2:$B$47,2,FALSE)," ")</f>
        <v>Batalla</v>
      </c>
      <c r="B600" s="366" t="str">
        <f>VLOOKUP(VALUE(D600),$D$3:F$106,3,FALSE)</f>
        <v>School Clericals</v>
      </c>
      <c r="C600" t="s">
        <v>314</v>
      </c>
      <c r="D600">
        <v>804</v>
      </c>
      <c r="E600" t="s">
        <v>429</v>
      </c>
      <c r="F600" t="s">
        <v>316</v>
      </c>
      <c r="G600">
        <v>2</v>
      </c>
      <c r="H600" s="502">
        <v>51000</v>
      </c>
      <c r="I600" s="415">
        <v>107028.221456</v>
      </c>
      <c r="J600" s="415">
        <v>93005.5</v>
      </c>
      <c r="K600" s="415">
        <v>132594.35999999999</v>
      </c>
      <c r="L600" s="415">
        <v>132501.14000000001</v>
      </c>
      <c r="M600" s="415">
        <v>162088.81</v>
      </c>
      <c r="N600" s="415">
        <v>128938.71</v>
      </c>
      <c r="O600" s="415">
        <v>139041.26999999999</v>
      </c>
      <c r="P600" s="415">
        <v>121664.28</v>
      </c>
      <c r="Q600" s="481">
        <f t="shared" si="55"/>
        <v>-14022.721455999999</v>
      </c>
    </row>
    <row r="601" spans="1:17" outlineLevel="2" x14ac:dyDescent="0.3">
      <c r="A601" s="366" t="str">
        <f>IFERROR(VLOOKUP(RIGHT(E601,3)+0,[1]SchLocTable!$A$2:$B$47,2,FALSE)," ")</f>
        <v>Batalla</v>
      </c>
      <c r="B601" s="366" t="str">
        <f>VLOOKUP(VALUE(D601),$D$3:F$106,3,FALSE)</f>
        <v>School Clericals</v>
      </c>
      <c r="C601" t="s">
        <v>314</v>
      </c>
      <c r="D601">
        <v>804</v>
      </c>
      <c r="E601" t="s">
        <v>429</v>
      </c>
      <c r="F601" t="s">
        <v>360</v>
      </c>
      <c r="G601" t="s">
        <v>319</v>
      </c>
      <c r="H601" s="502">
        <v>52920</v>
      </c>
      <c r="I601" s="415">
        <v>0</v>
      </c>
      <c r="J601" s="415">
        <v>0</v>
      </c>
      <c r="K601" s="415">
        <v>500</v>
      </c>
      <c r="L601" s="415">
        <v>500</v>
      </c>
      <c r="M601" s="415">
        <v>0</v>
      </c>
      <c r="N601" s="415">
        <v>500</v>
      </c>
      <c r="O601" s="415">
        <v>500</v>
      </c>
      <c r="P601" s="415">
        <v>500</v>
      </c>
      <c r="Q601" s="481">
        <f t="shared" si="55"/>
        <v>0</v>
      </c>
    </row>
    <row r="602" spans="1:17" outlineLevel="2" x14ac:dyDescent="0.3">
      <c r="A602" s="366" t="str">
        <f>IFERROR(VLOOKUP(RIGHT(E602,3)+0,[1]SchLocTable!$A$2:$B$47,2,FALSE)," ")</f>
        <v>Batalla</v>
      </c>
      <c r="B602" s="366" t="str">
        <f>VLOOKUP(VALUE(D602),$D$3:F$106,3,FALSE)</f>
        <v>School Clericals</v>
      </c>
      <c r="C602" t="s">
        <v>314</v>
      </c>
      <c r="D602">
        <v>804</v>
      </c>
      <c r="E602" t="s">
        <v>429</v>
      </c>
      <c r="F602" t="s">
        <v>321</v>
      </c>
      <c r="G602" t="s">
        <v>319</v>
      </c>
      <c r="H602" s="502">
        <v>52917</v>
      </c>
      <c r="I602" s="415">
        <v>60856.848000000005</v>
      </c>
      <c r="J602" s="415">
        <v>44171</v>
      </c>
      <c r="K602" s="415">
        <v>38950.54</v>
      </c>
      <c r="L602" s="415">
        <v>37423.050000000003</v>
      </c>
      <c r="M602" s="415">
        <v>80754.09</v>
      </c>
      <c r="N602" s="415">
        <v>55094.41</v>
      </c>
      <c r="O602" s="415">
        <v>50331.91</v>
      </c>
      <c r="P602" s="415">
        <v>40313.599999999999</v>
      </c>
      <c r="Q602" s="481">
        <f t="shared" si="55"/>
        <v>-16685.848000000005</v>
      </c>
    </row>
    <row r="603" spans="1:17" outlineLevel="2" x14ac:dyDescent="0.3">
      <c r="A603" s="366" t="str">
        <f>IFERROR(VLOOKUP(RIGHT(E603,3)+0,[1]SchLocTable!$A$2:$B$47,2,FALSE)," ")</f>
        <v>Batalla</v>
      </c>
      <c r="B603" s="366" t="str">
        <f>VLOOKUP(VALUE(D603),$D$3:F$106,3,FALSE)</f>
        <v>School Clericals</v>
      </c>
      <c r="C603" t="s">
        <v>314</v>
      </c>
      <c r="D603">
        <v>804</v>
      </c>
      <c r="E603" t="s">
        <v>429</v>
      </c>
      <c r="F603" t="s">
        <v>318</v>
      </c>
      <c r="G603" t="s">
        <v>319</v>
      </c>
      <c r="H603" s="502">
        <v>51140</v>
      </c>
      <c r="I603" s="415">
        <v>2870</v>
      </c>
      <c r="J603" s="415">
        <v>0</v>
      </c>
      <c r="K603" s="415">
        <v>4340</v>
      </c>
      <c r="L603" s="415">
        <v>4130</v>
      </c>
      <c r="M603" s="415">
        <v>5635</v>
      </c>
      <c r="N603" s="415">
        <v>4270</v>
      </c>
      <c r="O603" s="415">
        <v>4060</v>
      </c>
      <c r="P603" s="415">
        <v>3850</v>
      </c>
      <c r="Q603" s="481">
        <f t="shared" si="55"/>
        <v>-2870</v>
      </c>
    </row>
    <row r="604" spans="1:17" outlineLevel="2" x14ac:dyDescent="0.3">
      <c r="A604" s="366" t="str">
        <f>IFERROR(VLOOKUP(RIGHT(E604,3)+0,[1]SchLocTable!$A$2:$B$47,2,FALSE)," ")</f>
        <v>Batalla</v>
      </c>
      <c r="B604" s="366" t="str">
        <f>VLOOKUP(VALUE(D604),$D$3:F$106,3,FALSE)</f>
        <v>School Clericals</v>
      </c>
      <c r="C604" t="s">
        <v>314</v>
      </c>
      <c r="D604">
        <v>804</v>
      </c>
      <c r="E604" t="s">
        <v>429</v>
      </c>
      <c r="F604" t="s">
        <v>320</v>
      </c>
      <c r="G604" t="s">
        <v>319</v>
      </c>
      <c r="H604" s="502">
        <v>52360</v>
      </c>
      <c r="I604" s="415">
        <v>1551.9092111120001</v>
      </c>
      <c r="J604" s="415">
        <v>1281.6400000000001</v>
      </c>
      <c r="K604" s="415">
        <v>1802.29</v>
      </c>
      <c r="L604" s="415">
        <v>1852.5</v>
      </c>
      <c r="M604" s="415">
        <v>2172.7800000000002</v>
      </c>
      <c r="N604" s="415">
        <v>1960.45</v>
      </c>
      <c r="O604" s="415">
        <v>2122.11</v>
      </c>
      <c r="P604" s="415">
        <v>1848.18</v>
      </c>
      <c r="Q604" s="481">
        <f t="shared" si="55"/>
        <v>-270.26921111199999</v>
      </c>
    </row>
    <row r="605" spans="1:17" outlineLevel="2" x14ac:dyDescent="0.3">
      <c r="A605" s="366" t="str">
        <f>IFERROR(VLOOKUP(RIGHT(E605,3)+0,[1]SchLocTable!$A$2:$B$47,2,FALSE)," ")</f>
        <v>Batalla</v>
      </c>
      <c r="B605" s="366" t="str">
        <f>VLOOKUP(VALUE(D605),$D$3:F$106,3,FALSE)</f>
        <v>School Clericals</v>
      </c>
      <c r="C605" t="s">
        <v>314</v>
      </c>
      <c r="D605">
        <v>804</v>
      </c>
      <c r="E605" t="s">
        <v>429</v>
      </c>
      <c r="F605" t="s">
        <v>392</v>
      </c>
      <c r="G605" t="s">
        <v>319</v>
      </c>
      <c r="H605" s="502">
        <v>52504</v>
      </c>
      <c r="I605" s="415">
        <v>22240.464418556803</v>
      </c>
      <c r="J605" s="415">
        <v>19148.47</v>
      </c>
      <c r="K605" s="415">
        <v>28200.35</v>
      </c>
      <c r="L605" s="415">
        <v>27177.15</v>
      </c>
      <c r="M605" s="415">
        <v>36158.559999999998</v>
      </c>
      <c r="N605" s="415">
        <v>27100.41</v>
      </c>
      <c r="O605" s="415">
        <v>25041.41</v>
      </c>
      <c r="P605" s="415">
        <v>18892.04</v>
      </c>
      <c r="Q605" s="481">
        <f t="shared" si="55"/>
        <v>-3091.994418556802</v>
      </c>
    </row>
    <row r="606" spans="1:17" outlineLevel="2" x14ac:dyDescent="0.3">
      <c r="A606" s="366" t="str">
        <f>IFERROR(VLOOKUP(RIGHT(E606,3)+0,[1]SchLocTable!$A$2:$B$47,2,FALSE)," ")</f>
        <v>Batalla</v>
      </c>
      <c r="B606" s="366" t="str">
        <f>VLOOKUP(VALUE(D606),$D$3:F$106,3,FALSE)</f>
        <v>School Clericals</v>
      </c>
      <c r="C606" t="s">
        <v>314</v>
      </c>
      <c r="D606">
        <v>804</v>
      </c>
      <c r="E606" t="s">
        <v>429</v>
      </c>
      <c r="F606" t="s">
        <v>419</v>
      </c>
      <c r="G606" t="s">
        <v>319</v>
      </c>
      <c r="H606" s="502">
        <v>51318</v>
      </c>
      <c r="I606" s="415">
        <v>0</v>
      </c>
      <c r="J606" s="415">
        <v>0</v>
      </c>
      <c r="K606" s="415">
        <v>0</v>
      </c>
      <c r="L606" s="415">
        <v>0</v>
      </c>
      <c r="M606" s="415">
        <v>391.95</v>
      </c>
      <c r="N606" s="415">
        <v>0</v>
      </c>
      <c r="O606" s="415">
        <v>0</v>
      </c>
      <c r="P606" s="415">
        <v>0</v>
      </c>
      <c r="Q606" s="481">
        <f t="shared" si="55"/>
        <v>0</v>
      </c>
    </row>
    <row r="607" spans="1:17" outlineLevel="2" x14ac:dyDescent="0.3">
      <c r="A607" s="366" t="str">
        <f>IFERROR(VLOOKUP(RIGHT(E607,3)+0,[1]SchLocTable!$A$2:$B$47,2,FALSE)," ")</f>
        <v>Batalla</v>
      </c>
      <c r="B607" s="366" t="str">
        <f>VLOOKUP(VALUE(D607),$D$3:F$106,3,FALSE)</f>
        <v>School Clericals</v>
      </c>
      <c r="C607" t="s">
        <v>314</v>
      </c>
      <c r="D607">
        <v>804</v>
      </c>
      <c r="E607" t="s">
        <v>429</v>
      </c>
      <c r="F607" t="s">
        <v>324</v>
      </c>
      <c r="G607" t="s">
        <v>319</v>
      </c>
      <c r="H607" s="502">
        <v>52385</v>
      </c>
      <c r="I607" s="415">
        <v>0</v>
      </c>
      <c r="J607" s="415">
        <v>0</v>
      </c>
      <c r="K607" s="415">
        <v>0</v>
      </c>
      <c r="L607" s="415">
        <v>500.16</v>
      </c>
      <c r="M607" s="415">
        <v>0</v>
      </c>
      <c r="N607" s="415">
        <v>0</v>
      </c>
      <c r="O607" s="415">
        <v>0</v>
      </c>
      <c r="P607" s="415">
        <v>0</v>
      </c>
      <c r="Q607" s="481">
        <f t="shared" si="55"/>
        <v>0</v>
      </c>
    </row>
    <row r="608" spans="1:17" outlineLevel="2" x14ac:dyDescent="0.3">
      <c r="A608" s="366" t="str">
        <f>IFERROR(VLOOKUP(RIGHT(E608,3)+0,[1]SchLocTable!$A$2:$B$47,2,FALSE)," ")</f>
        <v>Batalla</v>
      </c>
      <c r="B608" s="366" t="str">
        <f>VLOOKUP(VALUE(D608),$D$3:F$106,3,FALSE)</f>
        <v>School Clericals</v>
      </c>
      <c r="C608" t="s">
        <v>314</v>
      </c>
      <c r="D608">
        <v>804</v>
      </c>
      <c r="E608" t="s">
        <v>429</v>
      </c>
      <c r="F608" t="s">
        <v>329</v>
      </c>
      <c r="G608" t="s">
        <v>319</v>
      </c>
      <c r="H608" s="502">
        <v>51154</v>
      </c>
      <c r="I608" s="415">
        <v>0</v>
      </c>
      <c r="J608" s="415">
        <v>0</v>
      </c>
      <c r="K608" s="415">
        <v>0</v>
      </c>
      <c r="L608" s="415">
        <v>0</v>
      </c>
      <c r="M608" s="415">
        <v>24.12</v>
      </c>
      <c r="N608" s="415">
        <v>0</v>
      </c>
      <c r="O608" s="415">
        <v>0</v>
      </c>
      <c r="P608" s="415">
        <v>0</v>
      </c>
      <c r="Q608" s="481">
        <f t="shared" si="55"/>
        <v>0</v>
      </c>
    </row>
    <row r="609" spans="1:17" outlineLevel="2" x14ac:dyDescent="0.3">
      <c r="A609" s="366" t="str">
        <f>IFERROR(VLOOKUP(RIGHT(E609,3)+0,[1]SchLocTable!$A$2:$B$47,2,FALSE)," ")</f>
        <v>Info Tech HS</v>
      </c>
      <c r="B609" s="366" t="str">
        <f>VLOOKUP(VALUE(D609),$D$3:F$106,3,FALSE)</f>
        <v>School Clericals</v>
      </c>
      <c r="C609" t="s">
        <v>314</v>
      </c>
      <c r="D609">
        <v>804</v>
      </c>
      <c r="E609" t="s">
        <v>430</v>
      </c>
      <c r="F609" t="s">
        <v>318</v>
      </c>
      <c r="G609" t="s">
        <v>319</v>
      </c>
      <c r="H609" s="502">
        <v>51140</v>
      </c>
      <c r="I609" s="415">
        <v>0</v>
      </c>
      <c r="J609" s="415">
        <v>0</v>
      </c>
      <c r="K609" s="415">
        <v>0</v>
      </c>
      <c r="L609" s="415">
        <v>1470</v>
      </c>
      <c r="M609" s="415">
        <v>0</v>
      </c>
      <c r="N609" s="415">
        <v>0</v>
      </c>
      <c r="O609" s="415">
        <v>0</v>
      </c>
      <c r="P609" s="415">
        <v>0</v>
      </c>
      <c r="Q609" s="481">
        <f t="shared" si="55"/>
        <v>0</v>
      </c>
    </row>
    <row r="610" spans="1:17" outlineLevel="2" x14ac:dyDescent="0.3">
      <c r="A610" s="366" t="str">
        <f>IFERROR(VLOOKUP(RIGHT(E610,3)+0,[1]SchLocTable!$A$2:$B$47,2,FALSE)," ")</f>
        <v>Info Tech HS</v>
      </c>
      <c r="B610" s="366" t="str">
        <f>VLOOKUP(VALUE(D610),$D$3:F$106,3,FALSE)</f>
        <v>School Clericals</v>
      </c>
      <c r="C610" t="s">
        <v>314</v>
      </c>
      <c r="D610">
        <v>804</v>
      </c>
      <c r="E610" t="s">
        <v>430</v>
      </c>
      <c r="F610" t="s">
        <v>320</v>
      </c>
      <c r="G610" t="s">
        <v>319</v>
      </c>
      <c r="H610" s="502">
        <v>52360</v>
      </c>
      <c r="I610" s="415">
        <v>0</v>
      </c>
      <c r="J610" s="415">
        <v>0</v>
      </c>
      <c r="K610" s="415">
        <v>0</v>
      </c>
      <c r="L610" s="415">
        <v>21.32</v>
      </c>
      <c r="M610" s="415">
        <v>0</v>
      </c>
      <c r="N610" s="415">
        <v>0</v>
      </c>
      <c r="O610" s="415">
        <v>0</v>
      </c>
      <c r="P610" s="415">
        <v>0</v>
      </c>
      <c r="Q610" s="481">
        <f t="shared" si="55"/>
        <v>0</v>
      </c>
    </row>
    <row r="611" spans="1:17" outlineLevel="2" x14ac:dyDescent="0.3">
      <c r="A611" s="366" t="str">
        <f>IFERROR(VLOOKUP(RIGHT(E611,3)+0,[1]SchLocTable!$A$2:$B$47,2,FALSE)," ")</f>
        <v>Info Tech HS</v>
      </c>
      <c r="B611" s="366" t="str">
        <f>VLOOKUP(VALUE(D611),$D$3:F$106,3,FALSE)</f>
        <v>School Clericals</v>
      </c>
      <c r="C611" t="s">
        <v>314</v>
      </c>
      <c r="D611">
        <v>804</v>
      </c>
      <c r="E611" t="s">
        <v>430</v>
      </c>
      <c r="F611" t="s">
        <v>392</v>
      </c>
      <c r="G611" t="s">
        <v>319</v>
      </c>
      <c r="H611" s="502">
        <v>52504</v>
      </c>
      <c r="I611" s="415">
        <v>0</v>
      </c>
      <c r="J611" s="415">
        <v>0</v>
      </c>
      <c r="K611" s="415">
        <v>0</v>
      </c>
      <c r="L611" s="415">
        <v>299.73</v>
      </c>
      <c r="M611" s="415">
        <v>0</v>
      </c>
      <c r="N611" s="415">
        <v>0</v>
      </c>
      <c r="O611" s="415">
        <v>0</v>
      </c>
      <c r="P611" s="415">
        <v>0</v>
      </c>
      <c r="Q611" s="481">
        <f t="shared" si="55"/>
        <v>0</v>
      </c>
    </row>
    <row r="612" spans="1:17" outlineLevel="2" x14ac:dyDescent="0.3">
      <c r="A612" s="366" t="str">
        <f>IFERROR(VLOOKUP(RIGHT(E612,3)+0,[1]SchLocTable!$A$2:$B$47,2,FALSE)," ")</f>
        <v>BMA HS</v>
      </c>
      <c r="B612" s="366" t="str">
        <f>VLOOKUP(VALUE(D612),$D$3:F$106,3,FALSE)</f>
        <v>School Clericals</v>
      </c>
      <c r="C612" t="s">
        <v>314</v>
      </c>
      <c r="D612">
        <v>804</v>
      </c>
      <c r="E612" t="s">
        <v>431</v>
      </c>
      <c r="F612" t="s">
        <v>316</v>
      </c>
      <c r="G612">
        <v>1</v>
      </c>
      <c r="H612" s="502">
        <v>51000</v>
      </c>
      <c r="I612" s="415">
        <v>57618.961607999998</v>
      </c>
      <c r="J612" s="415">
        <v>51970</v>
      </c>
      <c r="K612" s="415">
        <v>52169.71</v>
      </c>
      <c r="L612" s="415">
        <v>51460.51</v>
      </c>
      <c r="M612" s="415">
        <v>50643.82</v>
      </c>
      <c r="N612" s="415">
        <v>35143.68</v>
      </c>
      <c r="O612" s="415">
        <v>16748.2</v>
      </c>
      <c r="P612" s="415">
        <v>35376.300000000003</v>
      </c>
      <c r="Q612" s="481">
        <f t="shared" si="55"/>
        <v>-5648.9616079999978</v>
      </c>
    </row>
    <row r="613" spans="1:17" outlineLevel="2" x14ac:dyDescent="0.3">
      <c r="A613" s="366" t="str">
        <f>IFERROR(VLOOKUP(RIGHT(E613,3)+0,[1]SchLocTable!$A$2:$B$47,2,FALSE)," ")</f>
        <v>BMA HS</v>
      </c>
      <c r="B613" s="366" t="str">
        <f>VLOOKUP(VALUE(D613),$D$3:F$106,3,FALSE)</f>
        <v>School Clericals</v>
      </c>
      <c r="C613" t="s">
        <v>314</v>
      </c>
      <c r="D613">
        <v>804</v>
      </c>
      <c r="E613" t="s">
        <v>431</v>
      </c>
      <c r="F613" t="s">
        <v>321</v>
      </c>
      <c r="G613" t="s">
        <v>319</v>
      </c>
      <c r="H613" s="502">
        <v>52917</v>
      </c>
      <c r="I613" s="415">
        <v>15361.008</v>
      </c>
      <c r="J613" s="415">
        <v>12732</v>
      </c>
      <c r="K613" s="415">
        <v>11604.16</v>
      </c>
      <c r="L613" s="415">
        <v>11327.94</v>
      </c>
      <c r="M613" s="415">
        <v>10648.31</v>
      </c>
      <c r="N613" s="415">
        <v>6939.01</v>
      </c>
      <c r="O613" s="415">
        <v>3407.18</v>
      </c>
      <c r="P613" s="415">
        <v>7001.91</v>
      </c>
      <c r="Q613" s="481">
        <f t="shared" si="55"/>
        <v>-2629.0079999999998</v>
      </c>
    </row>
    <row r="614" spans="1:17" outlineLevel="2" x14ac:dyDescent="0.3">
      <c r="A614" s="366" t="str">
        <f>IFERROR(VLOOKUP(RIGHT(E614,3)+0,[1]SchLocTable!$A$2:$B$47,2,FALSE)," ")</f>
        <v>BMA HS</v>
      </c>
      <c r="B614" s="366" t="str">
        <f>VLOOKUP(VALUE(D614),$D$3:F$106,3,FALSE)</f>
        <v>School Clericals</v>
      </c>
      <c r="C614" t="s">
        <v>314</v>
      </c>
      <c r="D614">
        <v>804</v>
      </c>
      <c r="E614" t="s">
        <v>431</v>
      </c>
      <c r="F614" t="s">
        <v>318</v>
      </c>
      <c r="G614" t="s">
        <v>319</v>
      </c>
      <c r="H614" s="502">
        <v>51140</v>
      </c>
      <c r="I614" s="415">
        <v>1800</v>
      </c>
      <c r="J614" s="415">
        <v>0</v>
      </c>
      <c r="K614" s="415">
        <v>1750</v>
      </c>
      <c r="L614" s="415">
        <v>3150</v>
      </c>
      <c r="M614" s="415">
        <v>1400</v>
      </c>
      <c r="N614" s="415">
        <v>1540</v>
      </c>
      <c r="O614" s="415">
        <v>0</v>
      </c>
      <c r="P614" s="415">
        <v>1050</v>
      </c>
      <c r="Q614" s="481">
        <f t="shared" si="55"/>
        <v>-1800</v>
      </c>
    </row>
    <row r="615" spans="1:17" outlineLevel="2" x14ac:dyDescent="0.3">
      <c r="A615" s="366" t="str">
        <f>IFERROR(VLOOKUP(RIGHT(E615,3)+0,[1]SchLocTable!$A$2:$B$47,2,FALSE)," ")</f>
        <v>BMA HS</v>
      </c>
      <c r="B615" s="366" t="str">
        <f>VLOOKUP(VALUE(D615),$D$3:F$106,3,FALSE)</f>
        <v>School Clericals</v>
      </c>
      <c r="C615" t="s">
        <v>314</v>
      </c>
      <c r="D615">
        <v>804</v>
      </c>
      <c r="E615" t="s">
        <v>431</v>
      </c>
      <c r="F615" t="s">
        <v>320</v>
      </c>
      <c r="G615" t="s">
        <v>319</v>
      </c>
      <c r="H615" s="502">
        <v>52360</v>
      </c>
      <c r="I615" s="415">
        <v>835.47494331600001</v>
      </c>
      <c r="J615" s="415">
        <v>773.59</v>
      </c>
      <c r="K615" s="415">
        <v>781.83</v>
      </c>
      <c r="L615" s="415">
        <v>791.85</v>
      </c>
      <c r="M615" s="415">
        <v>734.34</v>
      </c>
      <c r="N615" s="415">
        <v>545.16999999999996</v>
      </c>
      <c r="O615" s="415">
        <v>227.62</v>
      </c>
      <c r="P615" s="415">
        <v>496.04</v>
      </c>
      <c r="Q615" s="481">
        <f t="shared" si="55"/>
        <v>-61.884943315999976</v>
      </c>
    </row>
    <row r="616" spans="1:17" outlineLevel="2" x14ac:dyDescent="0.3">
      <c r="A616" s="366" t="str">
        <f>IFERROR(VLOOKUP(RIGHT(E616,3)+0,[1]SchLocTable!$A$2:$B$47,2,FALSE)," ")</f>
        <v>BMA HS</v>
      </c>
      <c r="B616" s="366" t="str">
        <f>VLOOKUP(VALUE(D616),$D$3:F$106,3,FALSE)</f>
        <v>School Clericals</v>
      </c>
      <c r="C616" t="s">
        <v>314</v>
      </c>
      <c r="D616">
        <v>804</v>
      </c>
      <c r="E616" t="s">
        <v>431</v>
      </c>
      <c r="F616" t="s">
        <v>392</v>
      </c>
      <c r="G616" t="s">
        <v>319</v>
      </c>
      <c r="H616" s="502">
        <v>52504</v>
      </c>
      <c r="I616" s="415">
        <v>11973.2202221424</v>
      </c>
      <c r="J616" s="415">
        <v>11086.35</v>
      </c>
      <c r="K616" s="415">
        <v>11104.33</v>
      </c>
      <c r="L616" s="415">
        <v>11137.1</v>
      </c>
      <c r="M616" s="415">
        <v>10917.3</v>
      </c>
      <c r="N616" s="415">
        <v>7021.52</v>
      </c>
      <c r="O616" s="415">
        <v>2744.98</v>
      </c>
      <c r="P616" s="415">
        <v>5209.4799999999996</v>
      </c>
      <c r="Q616" s="481">
        <f t="shared" si="55"/>
        <v>-886.87022214239914</v>
      </c>
    </row>
    <row r="617" spans="1:17" outlineLevel="2" x14ac:dyDescent="0.3">
      <c r="A617" s="366" t="str">
        <f>IFERROR(VLOOKUP(RIGHT(E617,3)+0,[1]SchLocTable!$A$2:$B$47,2,FALSE)," ")</f>
        <v>Park City Magnet</v>
      </c>
      <c r="B617" s="366" t="str">
        <f>VLOOKUP(VALUE(D617),$D$3:F$106,3,FALSE)</f>
        <v>School Clericals</v>
      </c>
      <c r="C617" t="s">
        <v>314</v>
      </c>
      <c r="D617">
        <v>804</v>
      </c>
      <c r="E617" t="s">
        <v>432</v>
      </c>
      <c r="F617" t="s">
        <v>316</v>
      </c>
      <c r="G617">
        <v>2</v>
      </c>
      <c r="H617" s="502">
        <v>51000</v>
      </c>
      <c r="I617" s="415">
        <v>121636.19972399999</v>
      </c>
      <c r="J617" s="415">
        <v>115789.59</v>
      </c>
      <c r="K617" s="415">
        <v>112941.49</v>
      </c>
      <c r="L617" s="415">
        <v>107921.36</v>
      </c>
      <c r="M617" s="415">
        <v>100866.59</v>
      </c>
      <c r="N617" s="415">
        <v>93531.1</v>
      </c>
      <c r="O617" s="415">
        <v>57947.99</v>
      </c>
      <c r="P617" s="415">
        <v>43408.6</v>
      </c>
      <c r="Q617" s="481">
        <f t="shared" si="55"/>
        <v>-5846.6097239999945</v>
      </c>
    </row>
    <row r="618" spans="1:17" outlineLevel="2" x14ac:dyDescent="0.3">
      <c r="A618" s="366" t="str">
        <f>IFERROR(VLOOKUP(RIGHT(E618,3)+0,[1]SchLocTable!$A$2:$B$47,2,FALSE)," ")</f>
        <v>Park City Magnet</v>
      </c>
      <c r="B618" s="366" t="str">
        <f>VLOOKUP(VALUE(D618),$D$3:F$106,3,FALSE)</f>
        <v>School Clericals</v>
      </c>
      <c r="C618" t="s">
        <v>314</v>
      </c>
      <c r="D618">
        <v>804</v>
      </c>
      <c r="E618" t="s">
        <v>432</v>
      </c>
      <c r="F618" t="s">
        <v>360</v>
      </c>
      <c r="G618" t="s">
        <v>319</v>
      </c>
      <c r="H618" s="502">
        <v>52920</v>
      </c>
      <c r="I618" s="415">
        <v>500</v>
      </c>
      <c r="J618" s="415">
        <v>500</v>
      </c>
      <c r="K618" s="415">
        <v>500</v>
      </c>
      <c r="L618" s="415">
        <v>500</v>
      </c>
      <c r="M618" s="415">
        <v>500</v>
      </c>
      <c r="N618" s="415">
        <v>375</v>
      </c>
      <c r="O618" s="415">
        <v>0</v>
      </c>
      <c r="P618" s="415">
        <v>0</v>
      </c>
      <c r="Q618" s="481">
        <f t="shared" si="55"/>
        <v>0</v>
      </c>
    </row>
    <row r="619" spans="1:17" outlineLevel="2" x14ac:dyDescent="0.3">
      <c r="A619" s="366" t="str">
        <f>IFERROR(VLOOKUP(RIGHT(E619,3)+0,[1]SchLocTable!$A$2:$B$47,2,FALSE)," ")</f>
        <v>Park City Magnet</v>
      </c>
      <c r="B619" s="366" t="str">
        <f>VLOOKUP(VALUE(D619),$D$3:F$106,3,FALSE)</f>
        <v>School Clericals</v>
      </c>
      <c r="C619" t="s">
        <v>314</v>
      </c>
      <c r="D619">
        <v>804</v>
      </c>
      <c r="E619" t="s">
        <v>432</v>
      </c>
      <c r="F619" t="s">
        <v>321</v>
      </c>
      <c r="G619" t="s">
        <v>319</v>
      </c>
      <c r="H619" s="502">
        <v>52917</v>
      </c>
      <c r="I619" s="415">
        <v>15361.008</v>
      </c>
      <c r="J619" s="415">
        <v>12737</v>
      </c>
      <c r="K619" s="415">
        <v>11604.16</v>
      </c>
      <c r="L619" s="415">
        <v>11327.94</v>
      </c>
      <c r="M619" s="415">
        <v>10648.31</v>
      </c>
      <c r="N619" s="415">
        <v>9842.83</v>
      </c>
      <c r="O619" s="415">
        <v>11526.1</v>
      </c>
      <c r="P619" s="415">
        <v>21259.06</v>
      </c>
      <c r="Q619" s="481">
        <f t="shared" si="55"/>
        <v>-2624.0079999999998</v>
      </c>
    </row>
    <row r="620" spans="1:17" outlineLevel="2" x14ac:dyDescent="0.3">
      <c r="A620" s="366" t="str">
        <f>IFERROR(VLOOKUP(RIGHT(E620,3)+0,[1]SchLocTable!$A$2:$B$47,2,FALSE)," ")</f>
        <v>Park City Magnet</v>
      </c>
      <c r="B620" s="366" t="str">
        <f>VLOOKUP(VALUE(D620),$D$3:F$106,3,FALSE)</f>
        <v>School Clericals</v>
      </c>
      <c r="C620" t="s">
        <v>314</v>
      </c>
      <c r="D620">
        <v>804</v>
      </c>
      <c r="E620" t="s">
        <v>432</v>
      </c>
      <c r="F620" t="s">
        <v>318</v>
      </c>
      <c r="G620" t="s">
        <v>319</v>
      </c>
      <c r="H620" s="502">
        <v>51140</v>
      </c>
      <c r="I620" s="415">
        <v>1725</v>
      </c>
      <c r="J620" s="415">
        <v>1725</v>
      </c>
      <c r="K620" s="415">
        <v>1650</v>
      </c>
      <c r="L620" s="415">
        <v>1575</v>
      </c>
      <c r="M620" s="415">
        <v>1500</v>
      </c>
      <c r="N620" s="415">
        <v>1425</v>
      </c>
      <c r="O620" s="415">
        <v>0</v>
      </c>
      <c r="P620" s="415">
        <v>840</v>
      </c>
      <c r="Q620" s="481">
        <f t="shared" si="55"/>
        <v>0</v>
      </c>
    </row>
    <row r="621" spans="1:17" outlineLevel="2" x14ac:dyDescent="0.3">
      <c r="A621" s="366" t="str">
        <f>IFERROR(VLOOKUP(RIGHT(E621,3)+0,[1]SchLocTable!$A$2:$B$47,2,FALSE)," ")</f>
        <v>Park City Magnet</v>
      </c>
      <c r="B621" s="366" t="str">
        <f>VLOOKUP(VALUE(D621),$D$3:F$106,3,FALSE)</f>
        <v>School Clericals</v>
      </c>
      <c r="C621" t="s">
        <v>314</v>
      </c>
      <c r="D621">
        <v>804</v>
      </c>
      <c r="E621" t="s">
        <v>432</v>
      </c>
      <c r="F621" t="s">
        <v>320</v>
      </c>
      <c r="G621" t="s">
        <v>319</v>
      </c>
      <c r="H621" s="502">
        <v>52360</v>
      </c>
      <c r="I621" s="415">
        <v>1770.9748959979997</v>
      </c>
      <c r="J621" s="415">
        <v>1651</v>
      </c>
      <c r="K621" s="415">
        <v>1614.9</v>
      </c>
      <c r="L621" s="415">
        <v>1542.54</v>
      </c>
      <c r="M621" s="415">
        <v>1460.05</v>
      </c>
      <c r="N621" s="415">
        <v>1337.08</v>
      </c>
      <c r="O621" s="415">
        <v>786.54</v>
      </c>
      <c r="P621" s="415">
        <v>543.15</v>
      </c>
      <c r="Q621" s="481">
        <f t="shared" si="55"/>
        <v>-119.97489599799974</v>
      </c>
    </row>
    <row r="622" spans="1:17" outlineLevel="2" x14ac:dyDescent="0.3">
      <c r="A622" s="366" t="str">
        <f>IFERROR(VLOOKUP(RIGHT(E622,3)+0,[1]SchLocTable!$A$2:$B$47,2,FALSE)," ")</f>
        <v>Park City Magnet</v>
      </c>
      <c r="B622" s="366" t="str">
        <f>VLOOKUP(VALUE(D622),$D$3:F$106,3,FALSE)</f>
        <v>School Clericals</v>
      </c>
      <c r="C622" t="s">
        <v>314</v>
      </c>
      <c r="D622">
        <v>804</v>
      </c>
      <c r="E622" t="s">
        <v>432</v>
      </c>
      <c r="F622" t="s">
        <v>392</v>
      </c>
      <c r="G622" t="s">
        <v>319</v>
      </c>
      <c r="H622" s="502">
        <v>52504</v>
      </c>
      <c r="I622" s="415">
        <v>25379.902302647199</v>
      </c>
      <c r="J622" s="415">
        <v>24419.54</v>
      </c>
      <c r="K622" s="415">
        <v>23599.35</v>
      </c>
      <c r="L622" s="415">
        <v>22330.74</v>
      </c>
      <c r="M622" s="415">
        <v>22066.59</v>
      </c>
      <c r="N622" s="415">
        <v>14708.64</v>
      </c>
      <c r="O622" s="415">
        <v>9542.3799999999992</v>
      </c>
      <c r="P622" s="415">
        <v>6322.63</v>
      </c>
      <c r="Q622" s="481">
        <f t="shared" si="55"/>
        <v>-960.36230264719779</v>
      </c>
    </row>
    <row r="623" spans="1:17" outlineLevel="2" x14ac:dyDescent="0.3">
      <c r="A623" s="366" t="str">
        <f>IFERROR(VLOOKUP(RIGHT(E623,3)+0,[1]SchLocTable!$A$2:$B$47,2,FALSE)," ")</f>
        <v>Park City Magnet</v>
      </c>
      <c r="B623" s="366" t="str">
        <f>VLOOKUP(VALUE(D623),$D$3:F$106,3,FALSE)</f>
        <v>School Clericals</v>
      </c>
      <c r="C623" t="s">
        <v>314</v>
      </c>
      <c r="D623">
        <v>804</v>
      </c>
      <c r="E623" t="s">
        <v>432</v>
      </c>
      <c r="F623" t="s">
        <v>356</v>
      </c>
      <c r="G623" t="s">
        <v>319</v>
      </c>
      <c r="H623" s="502">
        <v>51156</v>
      </c>
      <c r="I623" s="415">
        <v>0</v>
      </c>
      <c r="J623" s="415">
        <v>0</v>
      </c>
      <c r="K623" s="415">
        <v>0</v>
      </c>
      <c r="L623" s="415">
        <v>0</v>
      </c>
      <c r="M623" s="415">
        <v>1212.98</v>
      </c>
      <c r="N623" s="415">
        <v>0</v>
      </c>
      <c r="O623" s="415">
        <v>0</v>
      </c>
      <c r="P623" s="415">
        <v>0</v>
      </c>
      <c r="Q623" s="481">
        <f t="shared" si="55"/>
        <v>0</v>
      </c>
    </row>
    <row r="624" spans="1:17" outlineLevel="2" x14ac:dyDescent="0.3">
      <c r="A624" s="366" t="str">
        <f>IFERROR(VLOOKUP(RIGHT(E624,3)+0,[1]SchLocTable!$A$2:$B$47,2,FALSE)," ")</f>
        <v>Zoo Science HS</v>
      </c>
      <c r="B624" s="366" t="str">
        <f>VLOOKUP(VALUE(D624),$D$3:F$106,3,FALSE)</f>
        <v>School Clericals</v>
      </c>
      <c r="C624" t="s">
        <v>314</v>
      </c>
      <c r="D624">
        <v>804</v>
      </c>
      <c r="E624" t="s">
        <v>433</v>
      </c>
      <c r="F624" t="s">
        <v>318</v>
      </c>
      <c r="G624" t="s">
        <v>319</v>
      </c>
      <c r="H624" s="502">
        <v>51140</v>
      </c>
      <c r="I624" s="415">
        <v>0</v>
      </c>
      <c r="J624" s="415">
        <v>0</v>
      </c>
      <c r="K624" s="415">
        <v>0</v>
      </c>
      <c r="L624" s="415">
        <v>1120</v>
      </c>
      <c r="M624" s="415">
        <v>0</v>
      </c>
      <c r="N624" s="415">
        <v>0</v>
      </c>
      <c r="O624" s="415">
        <v>0</v>
      </c>
      <c r="P624" s="415">
        <v>0</v>
      </c>
      <c r="Q624" s="481">
        <f t="shared" si="55"/>
        <v>0</v>
      </c>
    </row>
    <row r="625" spans="1:17" outlineLevel="2" x14ac:dyDescent="0.3">
      <c r="A625" s="366" t="str">
        <f>IFERROR(VLOOKUP(RIGHT(E625,3)+0,[1]SchLocTable!$A$2:$B$47,2,FALSE)," ")</f>
        <v>Zoo Science HS</v>
      </c>
      <c r="B625" s="366" t="str">
        <f>VLOOKUP(VALUE(D625),$D$3:F$106,3,FALSE)</f>
        <v>School Clericals</v>
      </c>
      <c r="C625" t="s">
        <v>314</v>
      </c>
      <c r="D625">
        <v>804</v>
      </c>
      <c r="E625" t="s">
        <v>433</v>
      </c>
      <c r="F625" t="s">
        <v>320</v>
      </c>
      <c r="G625" t="s">
        <v>319</v>
      </c>
      <c r="H625" s="502">
        <v>52360</v>
      </c>
      <c r="I625" s="415">
        <v>0</v>
      </c>
      <c r="J625" s="415">
        <v>0</v>
      </c>
      <c r="K625" s="415">
        <v>0</v>
      </c>
      <c r="L625" s="415">
        <v>16.239999999999998</v>
      </c>
      <c r="M625" s="415">
        <v>0</v>
      </c>
      <c r="N625" s="415">
        <v>0</v>
      </c>
      <c r="O625" s="415">
        <v>0</v>
      </c>
      <c r="P625" s="415">
        <v>0</v>
      </c>
      <c r="Q625" s="481">
        <f t="shared" si="55"/>
        <v>0</v>
      </c>
    </row>
    <row r="626" spans="1:17" outlineLevel="2" x14ac:dyDescent="0.3">
      <c r="A626" s="366" t="str">
        <f>IFERROR(VLOOKUP(RIGHT(E626,3)+0,[1]SchLocTable!$A$2:$B$47,2,FALSE)," ")</f>
        <v>Zoo Science HS</v>
      </c>
      <c r="B626" s="366" t="str">
        <f>VLOOKUP(VALUE(D626),$D$3:F$106,3,FALSE)</f>
        <v>School Clericals</v>
      </c>
      <c r="C626" t="s">
        <v>314</v>
      </c>
      <c r="D626">
        <v>804</v>
      </c>
      <c r="E626" t="s">
        <v>433</v>
      </c>
      <c r="F626" t="s">
        <v>392</v>
      </c>
      <c r="G626" t="s">
        <v>319</v>
      </c>
      <c r="H626" s="502">
        <v>52504</v>
      </c>
      <c r="I626" s="415">
        <v>0</v>
      </c>
      <c r="J626" s="415">
        <v>0</v>
      </c>
      <c r="K626" s="415">
        <v>0</v>
      </c>
      <c r="L626" s="415">
        <v>228.37</v>
      </c>
      <c r="M626" s="415">
        <v>0</v>
      </c>
      <c r="N626" s="415">
        <v>0</v>
      </c>
      <c r="O626" s="415">
        <v>0</v>
      </c>
      <c r="P626" s="415">
        <v>0</v>
      </c>
      <c r="Q626" s="481">
        <f t="shared" si="55"/>
        <v>0</v>
      </c>
    </row>
    <row r="627" spans="1:17" outlineLevel="2" x14ac:dyDescent="0.3">
      <c r="A627" s="366" t="str">
        <f>IFERROR(VLOOKUP(RIGHT(E627,3)+0,[1]SchLocTable!$A$2:$B$47,2,FALSE)," ")</f>
        <v>Madison</v>
      </c>
      <c r="B627" s="366" t="str">
        <f>VLOOKUP(VALUE(D627),$D$3:F$106,3,FALSE)</f>
        <v>School Clericals</v>
      </c>
      <c r="C627" t="s">
        <v>314</v>
      </c>
      <c r="D627">
        <v>804</v>
      </c>
      <c r="E627" t="s">
        <v>434</v>
      </c>
      <c r="F627" t="s">
        <v>316</v>
      </c>
      <c r="G627">
        <v>1</v>
      </c>
      <c r="H627" s="502">
        <v>51000</v>
      </c>
      <c r="I627" s="415">
        <v>45970.294188</v>
      </c>
      <c r="J627" s="415">
        <v>39262.31</v>
      </c>
      <c r="K627" s="415">
        <v>71048.72</v>
      </c>
      <c r="L627" s="415">
        <v>94444.36</v>
      </c>
      <c r="M627" s="415">
        <v>96179.21</v>
      </c>
      <c r="N627" s="415">
        <v>94344.29</v>
      </c>
      <c r="O627" s="415">
        <v>86060.9</v>
      </c>
      <c r="P627" s="415">
        <v>87665.94</v>
      </c>
      <c r="Q627" s="481">
        <f t="shared" si="55"/>
        <v>-6707.9841880000022</v>
      </c>
    </row>
    <row r="628" spans="1:17" outlineLevel="2" x14ac:dyDescent="0.3">
      <c r="A628" s="366" t="str">
        <f>IFERROR(VLOOKUP(RIGHT(E628,3)+0,[1]SchLocTable!$A$2:$B$47,2,FALSE)," ")</f>
        <v>Madison</v>
      </c>
      <c r="B628" s="366" t="str">
        <f>VLOOKUP(VALUE(D628),$D$3:F$106,3,FALSE)</f>
        <v>School Clericals</v>
      </c>
      <c r="C628" t="s">
        <v>314</v>
      </c>
      <c r="D628">
        <v>804</v>
      </c>
      <c r="E628" t="s">
        <v>434</v>
      </c>
      <c r="F628" t="s">
        <v>360</v>
      </c>
      <c r="G628" t="s">
        <v>319</v>
      </c>
      <c r="H628" s="502">
        <v>52920</v>
      </c>
      <c r="I628" s="415">
        <v>0</v>
      </c>
      <c r="J628" s="415">
        <v>0</v>
      </c>
      <c r="K628" s="415">
        <v>166.67</v>
      </c>
      <c r="L628" s="415">
        <v>0</v>
      </c>
      <c r="M628" s="415">
        <v>0</v>
      </c>
      <c r="N628" s="415">
        <v>0</v>
      </c>
      <c r="O628" s="415">
        <v>0</v>
      </c>
      <c r="P628" s="415">
        <v>0</v>
      </c>
      <c r="Q628" s="481">
        <f t="shared" si="55"/>
        <v>0</v>
      </c>
    </row>
    <row r="629" spans="1:17" outlineLevel="2" x14ac:dyDescent="0.3">
      <c r="A629" s="366" t="str">
        <f>IFERROR(VLOOKUP(RIGHT(E629,3)+0,[1]SchLocTable!$A$2:$B$47,2,FALSE)," ")</f>
        <v>Madison</v>
      </c>
      <c r="B629" s="366" t="str">
        <f>VLOOKUP(VALUE(D629),$D$3:F$106,3,FALSE)</f>
        <v>School Clericals</v>
      </c>
      <c r="C629" t="s">
        <v>314</v>
      </c>
      <c r="D629">
        <v>804</v>
      </c>
      <c r="E629" t="s">
        <v>434</v>
      </c>
      <c r="F629" t="s">
        <v>321</v>
      </c>
      <c r="G629" t="s">
        <v>319</v>
      </c>
      <c r="H629" s="502">
        <v>52917</v>
      </c>
      <c r="I629" s="415">
        <v>0</v>
      </c>
      <c r="J629" s="415">
        <v>0</v>
      </c>
      <c r="K629" s="415">
        <v>11554.92</v>
      </c>
      <c r="L629" s="415">
        <v>21784.68</v>
      </c>
      <c r="M629" s="415">
        <v>21296.62</v>
      </c>
      <c r="N629" s="415">
        <v>19685.66</v>
      </c>
      <c r="O629" s="415">
        <v>18982.439999999999</v>
      </c>
      <c r="P629" s="415">
        <v>30283.56</v>
      </c>
      <c r="Q629" s="481">
        <f t="shared" si="55"/>
        <v>0</v>
      </c>
    </row>
    <row r="630" spans="1:17" outlineLevel="2" x14ac:dyDescent="0.3">
      <c r="A630" s="366" t="str">
        <f>IFERROR(VLOOKUP(RIGHT(E630,3)+0,[1]SchLocTable!$A$2:$B$47,2,FALSE)," ")</f>
        <v>Madison</v>
      </c>
      <c r="B630" s="366" t="str">
        <f>VLOOKUP(VALUE(D630),$D$3:F$106,3,FALSE)</f>
        <v>School Clericals</v>
      </c>
      <c r="C630" t="s">
        <v>314</v>
      </c>
      <c r="D630">
        <v>804</v>
      </c>
      <c r="E630" t="s">
        <v>434</v>
      </c>
      <c r="F630" t="s">
        <v>318</v>
      </c>
      <c r="G630" t="s">
        <v>319</v>
      </c>
      <c r="H630" s="502">
        <v>51140</v>
      </c>
      <c r="I630" s="415">
        <v>1207.5</v>
      </c>
      <c r="J630" s="415">
        <v>1207.5</v>
      </c>
      <c r="K630" s="415">
        <v>1540</v>
      </c>
      <c r="L630" s="415">
        <v>2800</v>
      </c>
      <c r="M630" s="415">
        <v>2660</v>
      </c>
      <c r="N630" s="415">
        <v>2520</v>
      </c>
      <c r="O630" s="415">
        <v>2380</v>
      </c>
      <c r="P630" s="415">
        <v>2870</v>
      </c>
      <c r="Q630" s="481">
        <f t="shared" si="55"/>
        <v>0</v>
      </c>
    </row>
    <row r="631" spans="1:17" outlineLevel="2" x14ac:dyDescent="0.3">
      <c r="A631" s="366" t="str">
        <f>IFERROR(VLOOKUP(RIGHT(E631,3)+0,[1]SchLocTable!$A$2:$B$47,2,FALSE)," ")</f>
        <v>Madison</v>
      </c>
      <c r="B631" s="366" t="str">
        <f>VLOOKUP(VALUE(D631),$D$3:F$106,3,FALSE)</f>
        <v>School Clericals</v>
      </c>
      <c r="C631" t="s">
        <v>314</v>
      </c>
      <c r="D631">
        <v>804</v>
      </c>
      <c r="E631" t="s">
        <v>434</v>
      </c>
      <c r="F631" t="s">
        <v>320</v>
      </c>
      <c r="G631" t="s">
        <v>319</v>
      </c>
      <c r="H631" s="502">
        <v>52360</v>
      </c>
      <c r="I631" s="415">
        <v>666.56926572600003</v>
      </c>
      <c r="J631" s="415">
        <v>780.99</v>
      </c>
      <c r="K631" s="415">
        <v>1015.76</v>
      </c>
      <c r="L631" s="415">
        <v>1323.47</v>
      </c>
      <c r="M631" s="415">
        <v>1348.88</v>
      </c>
      <c r="N631" s="415">
        <v>1327.38</v>
      </c>
      <c r="O631" s="415">
        <v>1225.3499999999999</v>
      </c>
      <c r="P631" s="415">
        <v>1285.3599999999999</v>
      </c>
      <c r="Q631" s="481">
        <f t="shared" si="55"/>
        <v>114.42073427399998</v>
      </c>
    </row>
    <row r="632" spans="1:17" outlineLevel="2" x14ac:dyDescent="0.3">
      <c r="A632" s="366" t="str">
        <f>IFERROR(VLOOKUP(RIGHT(E632,3)+0,[1]SchLocTable!$A$2:$B$47,2,FALSE)," ")</f>
        <v>Madison</v>
      </c>
      <c r="B632" s="366" t="str">
        <f>VLOOKUP(VALUE(D632),$D$3:F$106,3,FALSE)</f>
        <v>School Clericals</v>
      </c>
      <c r="C632" t="s">
        <v>314</v>
      </c>
      <c r="D632">
        <v>804</v>
      </c>
      <c r="E632" t="s">
        <v>434</v>
      </c>
      <c r="F632" t="s">
        <v>392</v>
      </c>
      <c r="G632" t="s">
        <v>319</v>
      </c>
      <c r="H632" s="502">
        <v>52504</v>
      </c>
      <c r="I632" s="415">
        <v>9552.6271322663997</v>
      </c>
      <c r="J632" s="415">
        <v>8409.66</v>
      </c>
      <c r="K632" s="415">
        <v>11205.39</v>
      </c>
      <c r="L632" s="415">
        <v>19830.29</v>
      </c>
      <c r="M632" s="415">
        <v>21307.03</v>
      </c>
      <c r="N632" s="415">
        <v>18504.47</v>
      </c>
      <c r="O632" s="415">
        <v>14571.96</v>
      </c>
      <c r="P632" s="415">
        <v>12924.06</v>
      </c>
      <c r="Q632" s="481">
        <f t="shared" si="55"/>
        <v>-1142.9671322663999</v>
      </c>
    </row>
    <row r="633" spans="1:17" outlineLevel="2" x14ac:dyDescent="0.3">
      <c r="A633" s="366" t="str">
        <f>IFERROR(VLOOKUP(RIGHT(E633,3)+0,[1]SchLocTable!$A$2:$B$47,2,FALSE)," ")</f>
        <v>Madison</v>
      </c>
      <c r="B633" s="366" t="str">
        <f>VLOOKUP(VALUE(D633),$D$3:F$106,3,FALSE)</f>
        <v>School Clericals</v>
      </c>
      <c r="C633" t="s">
        <v>314</v>
      </c>
      <c r="D633">
        <v>804</v>
      </c>
      <c r="E633" t="s">
        <v>434</v>
      </c>
      <c r="F633" t="s">
        <v>324</v>
      </c>
      <c r="G633" t="s">
        <v>319</v>
      </c>
      <c r="H633" s="502">
        <v>52385</v>
      </c>
      <c r="I633" s="415">
        <v>0</v>
      </c>
      <c r="J633" s="415">
        <v>0</v>
      </c>
      <c r="K633" s="415">
        <v>1137.78</v>
      </c>
      <c r="L633" s="415">
        <v>0</v>
      </c>
      <c r="M633" s="415">
        <v>0</v>
      </c>
      <c r="N633" s="415">
        <v>0</v>
      </c>
      <c r="O633" s="415">
        <v>0</v>
      </c>
      <c r="P633" s="415">
        <v>0</v>
      </c>
      <c r="Q633" s="481">
        <f t="shared" si="55"/>
        <v>0</v>
      </c>
    </row>
    <row r="634" spans="1:17" outlineLevel="2" x14ac:dyDescent="0.3">
      <c r="A634" s="366" t="str">
        <f>IFERROR(VLOOKUP(RIGHT(E634,3)+0,[1]SchLocTable!$A$2:$B$47,2,FALSE)," ")</f>
        <v>Madison</v>
      </c>
      <c r="B634" s="366" t="str">
        <f>VLOOKUP(VALUE(D634),$D$3:F$106,3,FALSE)</f>
        <v>School Clericals</v>
      </c>
      <c r="C634" t="s">
        <v>314</v>
      </c>
      <c r="D634">
        <v>804</v>
      </c>
      <c r="E634" t="s">
        <v>434</v>
      </c>
      <c r="F634" t="s">
        <v>329</v>
      </c>
      <c r="G634" t="s">
        <v>319</v>
      </c>
      <c r="H634" s="502">
        <v>51154</v>
      </c>
      <c r="I634" s="415">
        <v>7768.0334000000003</v>
      </c>
      <c r="J634" s="415">
        <v>0</v>
      </c>
      <c r="K634" s="415">
        <v>0</v>
      </c>
      <c r="L634" s="415">
        <v>0</v>
      </c>
      <c r="M634" s="415">
        <v>0</v>
      </c>
      <c r="N634" s="415">
        <v>0</v>
      </c>
      <c r="O634" s="415">
        <v>0</v>
      </c>
      <c r="P634" s="415">
        <v>0</v>
      </c>
      <c r="Q634" s="481">
        <f t="shared" si="55"/>
        <v>-7768.0334000000003</v>
      </c>
    </row>
    <row r="635" spans="1:17" outlineLevel="2" x14ac:dyDescent="0.3">
      <c r="A635" s="366" t="str">
        <f>IFERROR(VLOOKUP(RIGHT(E635,3)+0,[1]SchLocTable!$A$2:$B$47,2,FALSE)," ")</f>
        <v>Madison</v>
      </c>
      <c r="B635" s="366" t="str">
        <f>VLOOKUP(VALUE(D635),$D$3:F$106,3,FALSE)</f>
        <v>School Clericals</v>
      </c>
      <c r="C635" t="s">
        <v>314</v>
      </c>
      <c r="D635">
        <v>804</v>
      </c>
      <c r="E635" t="s">
        <v>434</v>
      </c>
      <c r="F635" t="s">
        <v>418</v>
      </c>
      <c r="G635" t="s">
        <v>319</v>
      </c>
      <c r="H635" s="502">
        <v>51314</v>
      </c>
      <c r="I635" s="415">
        <v>6025.5</v>
      </c>
      <c r="J635" s="415">
        <v>0</v>
      </c>
      <c r="K635" s="415">
        <v>0</v>
      </c>
      <c r="L635" s="415">
        <v>0</v>
      </c>
      <c r="M635" s="415">
        <v>0</v>
      </c>
      <c r="N635" s="415">
        <v>0</v>
      </c>
      <c r="O635" s="415">
        <v>0</v>
      </c>
      <c r="P635" s="415">
        <v>0</v>
      </c>
      <c r="Q635" s="481">
        <f t="shared" si="55"/>
        <v>-6025.5</v>
      </c>
    </row>
    <row r="636" spans="1:17" outlineLevel="2" x14ac:dyDescent="0.3">
      <c r="A636" s="366" t="str">
        <f>IFERROR(VLOOKUP(RIGHT(E636,3)+0,[1]SchLocTable!$A$2:$B$47,2,FALSE)," ")</f>
        <v>Madison</v>
      </c>
      <c r="B636" s="366" t="str">
        <f>VLOOKUP(VALUE(D636),$D$3:F$106,3,FALSE)</f>
        <v>School Clericals</v>
      </c>
      <c r="C636" t="s">
        <v>314</v>
      </c>
      <c r="D636">
        <v>804</v>
      </c>
      <c r="E636" t="s">
        <v>434</v>
      </c>
      <c r="F636" t="s">
        <v>356</v>
      </c>
      <c r="G636" t="s">
        <v>319</v>
      </c>
      <c r="H636" s="502">
        <v>51156</v>
      </c>
      <c r="I636" s="415">
        <v>0</v>
      </c>
      <c r="J636" s="415">
        <v>0</v>
      </c>
      <c r="K636" s="415">
        <v>999.42</v>
      </c>
      <c r="L636" s="415">
        <v>979.83</v>
      </c>
      <c r="M636" s="415">
        <v>960.7</v>
      </c>
      <c r="N636" s="415">
        <v>914.39</v>
      </c>
      <c r="O636" s="415">
        <v>914.17</v>
      </c>
      <c r="P636" s="415">
        <v>914.17</v>
      </c>
      <c r="Q636" s="481">
        <f t="shared" si="55"/>
        <v>0</v>
      </c>
    </row>
    <row r="637" spans="1:17" outlineLevel="2" x14ac:dyDescent="0.3">
      <c r="A637" s="366" t="str">
        <f>IFERROR(VLOOKUP(RIGHT(E637,3)+0,[1]SchLocTable!$A$2:$B$47,2,FALSE)," ")</f>
        <v>Classical Studies Academy</v>
      </c>
      <c r="B637" s="366" t="str">
        <f>VLOOKUP(VALUE(D637),$D$3:F$106,3,FALSE)</f>
        <v>School Clericals</v>
      </c>
      <c r="C637" t="s">
        <v>314</v>
      </c>
      <c r="D637">
        <v>804</v>
      </c>
      <c r="E637" t="s">
        <v>435</v>
      </c>
      <c r="F637" t="s">
        <v>316</v>
      </c>
      <c r="G637">
        <v>2</v>
      </c>
      <c r="H637" s="502">
        <v>51000</v>
      </c>
      <c r="I637" s="415">
        <v>106727.85245199999</v>
      </c>
      <c r="J637" s="415">
        <v>91161.12</v>
      </c>
      <c r="K637" s="415">
        <v>74417.59</v>
      </c>
      <c r="L637" s="415">
        <v>86691.87</v>
      </c>
      <c r="M637" s="415">
        <v>89052.35</v>
      </c>
      <c r="N637" s="415">
        <v>90389.61</v>
      </c>
      <c r="O637" s="415">
        <v>95059.48</v>
      </c>
      <c r="P637" s="415">
        <v>92592.86</v>
      </c>
      <c r="Q637" s="481">
        <f t="shared" si="55"/>
        <v>-15566.732451999997</v>
      </c>
    </row>
    <row r="638" spans="1:17" outlineLevel="2" x14ac:dyDescent="0.3">
      <c r="A638" s="366" t="str">
        <f>IFERROR(VLOOKUP(RIGHT(E638,3)+0,[1]SchLocTable!$A$2:$B$47,2,FALSE)," ")</f>
        <v>Classical Studies Academy</v>
      </c>
      <c r="B638" s="366" t="str">
        <f>VLOOKUP(VALUE(D638),$D$3:F$106,3,FALSE)</f>
        <v>School Clericals</v>
      </c>
      <c r="C638" t="s">
        <v>314</v>
      </c>
      <c r="D638">
        <v>804</v>
      </c>
      <c r="E638" t="s">
        <v>435</v>
      </c>
      <c r="F638" t="s">
        <v>360</v>
      </c>
      <c r="G638" t="s">
        <v>319</v>
      </c>
      <c r="H638" s="502">
        <v>52920</v>
      </c>
      <c r="I638" s="415">
        <v>500</v>
      </c>
      <c r="J638" s="415">
        <v>750</v>
      </c>
      <c r="K638" s="415">
        <v>750</v>
      </c>
      <c r="L638" s="415">
        <v>1000</v>
      </c>
      <c r="M638" s="415">
        <v>1000</v>
      </c>
      <c r="N638" s="415">
        <v>708.35</v>
      </c>
      <c r="O638" s="415">
        <v>500</v>
      </c>
      <c r="P638" s="415">
        <v>833.34</v>
      </c>
      <c r="Q638" s="481">
        <f t="shared" si="55"/>
        <v>250</v>
      </c>
    </row>
    <row r="639" spans="1:17" outlineLevel="2" x14ac:dyDescent="0.3">
      <c r="A639" s="366" t="str">
        <f>IFERROR(VLOOKUP(RIGHT(E639,3)+0,[1]SchLocTable!$A$2:$B$47,2,FALSE)," ")</f>
        <v>Classical Studies Academy</v>
      </c>
      <c r="B639" s="366" t="str">
        <f>VLOOKUP(VALUE(D639),$D$3:F$106,3,FALSE)</f>
        <v>School Clericals</v>
      </c>
      <c r="C639" t="s">
        <v>314</v>
      </c>
      <c r="D639">
        <v>804</v>
      </c>
      <c r="E639" t="s">
        <v>435</v>
      </c>
      <c r="F639" t="s">
        <v>321</v>
      </c>
      <c r="G639" t="s">
        <v>319</v>
      </c>
      <c r="H639" s="502">
        <v>52917</v>
      </c>
      <c r="I639" s="415">
        <v>17797.104000000003</v>
      </c>
      <c r="J639" s="415">
        <v>0</v>
      </c>
      <c r="K639" s="415">
        <v>0</v>
      </c>
      <c r="L639" s="415">
        <v>760.28</v>
      </c>
      <c r="M639" s="415">
        <v>1324.84</v>
      </c>
      <c r="N639" s="415">
        <v>15719.7</v>
      </c>
      <c r="O639" s="415">
        <v>12908.11</v>
      </c>
      <c r="P639" s="415">
        <v>10166.540000000001</v>
      </c>
      <c r="Q639" s="481">
        <f t="shared" ref="Q639:Q702" si="56">J639-I639</f>
        <v>-17797.104000000003</v>
      </c>
    </row>
    <row r="640" spans="1:17" outlineLevel="2" x14ac:dyDescent="0.3">
      <c r="A640" s="366" t="str">
        <f>IFERROR(VLOOKUP(RIGHT(E640,3)+0,[1]SchLocTable!$A$2:$B$47,2,FALSE)," ")</f>
        <v>Classical Studies Academy</v>
      </c>
      <c r="B640" s="366" t="str">
        <f>VLOOKUP(VALUE(D640),$D$3:F$106,3,FALSE)</f>
        <v>School Clericals</v>
      </c>
      <c r="C640" t="s">
        <v>314</v>
      </c>
      <c r="D640">
        <v>804</v>
      </c>
      <c r="E640" t="s">
        <v>435</v>
      </c>
      <c r="F640" t="s">
        <v>318</v>
      </c>
      <c r="G640" t="s">
        <v>319</v>
      </c>
      <c r="H640" s="502">
        <v>51140</v>
      </c>
      <c r="I640" s="415">
        <v>1800</v>
      </c>
      <c r="J640" s="415">
        <v>0</v>
      </c>
      <c r="K640" s="415">
        <v>1120</v>
      </c>
      <c r="L640" s="415">
        <v>1050</v>
      </c>
      <c r="M640" s="415">
        <v>980</v>
      </c>
      <c r="N640" s="415">
        <v>2710</v>
      </c>
      <c r="O640" s="415">
        <v>2170</v>
      </c>
      <c r="P640" s="415">
        <v>2030</v>
      </c>
      <c r="Q640" s="481">
        <f t="shared" si="56"/>
        <v>-1800</v>
      </c>
    </row>
    <row r="641" spans="1:17" outlineLevel="2" x14ac:dyDescent="0.3">
      <c r="A641" s="366" t="str">
        <f>IFERROR(VLOOKUP(RIGHT(E641,3)+0,[1]SchLocTable!$A$2:$B$47,2,FALSE)," ")</f>
        <v>Classical Studies Academy</v>
      </c>
      <c r="B641" s="366" t="str">
        <f>VLOOKUP(VALUE(D641),$D$3:F$106,3,FALSE)</f>
        <v>School Clericals</v>
      </c>
      <c r="C641" t="s">
        <v>314</v>
      </c>
      <c r="D641">
        <v>804</v>
      </c>
      <c r="E641" t="s">
        <v>435</v>
      </c>
      <c r="F641" t="s">
        <v>320</v>
      </c>
      <c r="G641" t="s">
        <v>319</v>
      </c>
      <c r="H641" s="502">
        <v>52360</v>
      </c>
      <c r="I641" s="415">
        <v>1554.803860554</v>
      </c>
      <c r="J641" s="415">
        <v>1321.83</v>
      </c>
      <c r="K641" s="415">
        <v>1106.18</v>
      </c>
      <c r="L641" s="415">
        <v>1286.75</v>
      </c>
      <c r="M641" s="415">
        <v>1319.97</v>
      </c>
      <c r="N641" s="415">
        <v>1293.29</v>
      </c>
      <c r="O641" s="415">
        <v>1363.46</v>
      </c>
      <c r="P641" s="415">
        <v>1343.43</v>
      </c>
      <c r="Q641" s="481">
        <f t="shared" si="56"/>
        <v>-232.97386055400011</v>
      </c>
    </row>
    <row r="642" spans="1:17" outlineLevel="2" x14ac:dyDescent="0.3">
      <c r="A642" s="366" t="str">
        <f>IFERROR(VLOOKUP(RIGHT(E642,3)+0,[1]SchLocTable!$A$2:$B$47,2,FALSE)," ")</f>
        <v>Classical Studies Academy</v>
      </c>
      <c r="B642" s="366" t="str">
        <f>VLOOKUP(VALUE(D642),$D$3:F$106,3,FALSE)</f>
        <v>School Clericals</v>
      </c>
      <c r="C642" t="s">
        <v>314</v>
      </c>
      <c r="D642">
        <v>804</v>
      </c>
      <c r="E642" t="s">
        <v>435</v>
      </c>
      <c r="F642" t="s">
        <v>392</v>
      </c>
      <c r="G642" t="s">
        <v>319</v>
      </c>
      <c r="H642" s="502">
        <v>52504</v>
      </c>
      <c r="I642" s="415">
        <v>22281.947739525604</v>
      </c>
      <c r="J642" s="415">
        <v>18943.310000000001</v>
      </c>
      <c r="K642" s="415">
        <v>15554.86</v>
      </c>
      <c r="L642" s="415">
        <v>17894.23</v>
      </c>
      <c r="M642" s="415">
        <v>18604.3</v>
      </c>
      <c r="N642" s="415">
        <v>14836.17</v>
      </c>
      <c r="O642" s="415">
        <v>16016.04</v>
      </c>
      <c r="P642" s="415">
        <v>13518.71</v>
      </c>
      <c r="Q642" s="481">
        <f t="shared" si="56"/>
        <v>-3338.6377395256022</v>
      </c>
    </row>
    <row r="643" spans="1:17" outlineLevel="2" x14ac:dyDescent="0.3">
      <c r="A643" s="366" t="str">
        <f>IFERROR(VLOOKUP(RIGHT(E643,3)+0,[1]SchLocTable!$A$2:$B$47,2,FALSE)," ")</f>
        <v>Classical Studies Academy</v>
      </c>
      <c r="B643" s="366" t="str">
        <f>VLOOKUP(VALUE(D643),$D$3:F$106,3,FALSE)</f>
        <v>School Clericals</v>
      </c>
      <c r="C643" t="s">
        <v>314</v>
      </c>
      <c r="D643">
        <v>804</v>
      </c>
      <c r="E643" t="s">
        <v>435</v>
      </c>
      <c r="F643" t="s">
        <v>324</v>
      </c>
      <c r="G643" t="s">
        <v>319</v>
      </c>
      <c r="H643" s="502">
        <v>52385</v>
      </c>
      <c r="I643" s="415">
        <v>0</v>
      </c>
      <c r="J643" s="415">
        <v>0</v>
      </c>
      <c r="K643" s="415">
        <v>0</v>
      </c>
      <c r="L643" s="415">
        <v>0</v>
      </c>
      <c r="M643" s="415">
        <v>230.94</v>
      </c>
      <c r="N643" s="415">
        <v>963.35</v>
      </c>
      <c r="O643" s="415">
        <v>0</v>
      </c>
      <c r="P643" s="415">
        <v>0</v>
      </c>
      <c r="Q643" s="481">
        <f t="shared" si="56"/>
        <v>0</v>
      </c>
    </row>
    <row r="644" spans="1:17" outlineLevel="2" x14ac:dyDescent="0.3">
      <c r="A644" s="366" t="str">
        <f>IFERROR(VLOOKUP(RIGHT(E644,3)+0,[1]SchLocTable!$A$2:$B$47,2,FALSE)," ")</f>
        <v>Tisdale</v>
      </c>
      <c r="B644" s="366" t="str">
        <f>VLOOKUP(VALUE(D644),$D$3:F$106,3,FALSE)</f>
        <v>School Clericals</v>
      </c>
      <c r="C644" t="s">
        <v>314</v>
      </c>
      <c r="D644">
        <v>804</v>
      </c>
      <c r="E644" t="s">
        <v>436</v>
      </c>
      <c r="F644" t="s">
        <v>316</v>
      </c>
      <c r="G644">
        <v>2</v>
      </c>
      <c r="H644" s="502">
        <v>51000</v>
      </c>
      <c r="I644" s="415">
        <v>111478.41021199999</v>
      </c>
      <c r="J644" s="415">
        <v>72891.25</v>
      </c>
      <c r="K644" s="415">
        <v>100935.47</v>
      </c>
      <c r="L644" s="415">
        <v>99366.86</v>
      </c>
      <c r="M644" s="415">
        <v>97982.18</v>
      </c>
      <c r="N644" s="415">
        <v>94572.02</v>
      </c>
      <c r="O644" s="415">
        <v>92128.24</v>
      </c>
      <c r="P644" s="415">
        <v>76811.240000000005</v>
      </c>
      <c r="Q644" s="481">
        <f t="shared" si="56"/>
        <v>-38587.160211999988</v>
      </c>
    </row>
    <row r="645" spans="1:17" outlineLevel="2" x14ac:dyDescent="0.3">
      <c r="A645" s="366" t="str">
        <f>IFERROR(VLOOKUP(RIGHT(E645,3)+0,[1]SchLocTable!$A$2:$B$47,2,FALSE)," ")</f>
        <v>Tisdale</v>
      </c>
      <c r="B645" s="366" t="str">
        <f>VLOOKUP(VALUE(D645),$D$3:F$106,3,FALSE)</f>
        <v>School Clericals</v>
      </c>
      <c r="C645" t="s">
        <v>314</v>
      </c>
      <c r="D645">
        <v>804</v>
      </c>
      <c r="E645" t="s">
        <v>436</v>
      </c>
      <c r="F645" t="s">
        <v>321</v>
      </c>
      <c r="G645" t="s">
        <v>319</v>
      </c>
      <c r="H645" s="502">
        <v>52917</v>
      </c>
      <c r="I645" s="415">
        <v>45037.2</v>
      </c>
      <c r="J645" s="415">
        <v>25469</v>
      </c>
      <c r="K645" s="415">
        <v>23208.32</v>
      </c>
      <c r="L645" s="415">
        <v>22655.88</v>
      </c>
      <c r="M645" s="415">
        <v>21296.62</v>
      </c>
      <c r="N645" s="415">
        <v>19685.66</v>
      </c>
      <c r="O645" s="415">
        <v>27291.5</v>
      </c>
      <c r="P645" s="415">
        <v>30319.51</v>
      </c>
      <c r="Q645" s="481">
        <f t="shared" si="56"/>
        <v>-19568.199999999997</v>
      </c>
    </row>
    <row r="646" spans="1:17" outlineLevel="2" x14ac:dyDescent="0.3">
      <c r="A646" s="366" t="str">
        <f>IFERROR(VLOOKUP(RIGHT(E646,3)+0,[1]SchLocTable!$A$2:$B$47,2,FALSE)," ")</f>
        <v>Tisdale</v>
      </c>
      <c r="B646" s="366" t="str">
        <f>VLOOKUP(VALUE(D646),$D$3:F$106,3,FALSE)</f>
        <v>School Clericals</v>
      </c>
      <c r="C646" t="s">
        <v>314</v>
      </c>
      <c r="D646">
        <v>804</v>
      </c>
      <c r="E646" t="s">
        <v>436</v>
      </c>
      <c r="F646" t="s">
        <v>318</v>
      </c>
      <c r="G646" t="s">
        <v>319</v>
      </c>
      <c r="H646" s="502">
        <v>51140</v>
      </c>
      <c r="I646" s="415">
        <v>1680</v>
      </c>
      <c r="J646" s="415">
        <v>0</v>
      </c>
      <c r="K646" s="415">
        <v>2940</v>
      </c>
      <c r="L646" s="415">
        <v>2800</v>
      </c>
      <c r="M646" s="415">
        <v>2660</v>
      </c>
      <c r="N646" s="415">
        <v>2520</v>
      </c>
      <c r="O646" s="415">
        <v>2380</v>
      </c>
      <c r="P646" s="415">
        <v>2240</v>
      </c>
      <c r="Q646" s="481">
        <f t="shared" si="56"/>
        <v>-1680</v>
      </c>
    </row>
    <row r="647" spans="1:17" outlineLevel="2" x14ac:dyDescent="0.3">
      <c r="A647" s="366" t="str">
        <f>IFERROR(VLOOKUP(RIGHT(E647,3)+0,[1]SchLocTable!$A$2:$B$47,2,FALSE)," ")</f>
        <v>Tisdale</v>
      </c>
      <c r="B647" s="366" t="str">
        <f>VLOOKUP(VALUE(D647),$D$3:F$106,3,FALSE)</f>
        <v>School Clericals</v>
      </c>
      <c r="C647" t="s">
        <v>314</v>
      </c>
      <c r="D647">
        <v>804</v>
      </c>
      <c r="E647" t="s">
        <v>436</v>
      </c>
      <c r="F647" t="s">
        <v>320</v>
      </c>
      <c r="G647" t="s">
        <v>319</v>
      </c>
      <c r="H647" s="502">
        <v>52360</v>
      </c>
      <c r="I647" s="415">
        <v>1616.4369480740002</v>
      </c>
      <c r="J647" s="415">
        <v>1042.22</v>
      </c>
      <c r="K647" s="415">
        <v>1466.76</v>
      </c>
      <c r="L647" s="415">
        <v>1456.77</v>
      </c>
      <c r="M647" s="415">
        <v>1416.89</v>
      </c>
      <c r="N647" s="415">
        <v>1362.62</v>
      </c>
      <c r="O647" s="415">
        <v>1338.74</v>
      </c>
      <c r="P647" s="415">
        <v>1107.1099999999999</v>
      </c>
      <c r="Q647" s="481">
        <f t="shared" si="56"/>
        <v>-574.21694807400013</v>
      </c>
    </row>
    <row r="648" spans="1:17" outlineLevel="2" x14ac:dyDescent="0.3">
      <c r="A648" s="366" t="str">
        <f>IFERROR(VLOOKUP(RIGHT(E648,3)+0,[1]SchLocTable!$A$2:$B$47,2,FALSE)," ")</f>
        <v>Tisdale</v>
      </c>
      <c r="B648" s="366" t="str">
        <f>VLOOKUP(VALUE(D648),$D$3:F$106,3,FALSE)</f>
        <v>School Clericals</v>
      </c>
      <c r="C648" t="s">
        <v>314</v>
      </c>
      <c r="D648">
        <v>804</v>
      </c>
      <c r="E648" t="s">
        <v>436</v>
      </c>
      <c r="F648" t="s">
        <v>392</v>
      </c>
      <c r="G648" t="s">
        <v>319</v>
      </c>
      <c r="H648" s="502">
        <v>52504</v>
      </c>
      <c r="I648" s="415">
        <v>23165.213642053597</v>
      </c>
      <c r="J648" s="415">
        <v>15146.82</v>
      </c>
      <c r="K648" s="415">
        <v>21392.16</v>
      </c>
      <c r="L648" s="415">
        <v>20835.87</v>
      </c>
      <c r="M648" s="415">
        <v>21696.09</v>
      </c>
      <c r="N648" s="415">
        <v>18552.28</v>
      </c>
      <c r="O648" s="415">
        <v>15564.92</v>
      </c>
      <c r="P648" s="415">
        <v>11299.12</v>
      </c>
      <c r="Q648" s="481">
        <f t="shared" si="56"/>
        <v>-8018.3936420535974</v>
      </c>
    </row>
    <row r="649" spans="1:17" outlineLevel="2" x14ac:dyDescent="0.3">
      <c r="A649" s="366" t="str">
        <f>IFERROR(VLOOKUP(RIGHT(E649,3)+0,[1]SchLocTable!$A$2:$B$47,2,FALSE)," ")</f>
        <v>Tisdale</v>
      </c>
      <c r="B649" s="366" t="str">
        <f>VLOOKUP(VALUE(D649),$D$3:F$106,3,FALSE)</f>
        <v>School Clericals</v>
      </c>
      <c r="C649" t="s">
        <v>314</v>
      </c>
      <c r="D649">
        <v>804</v>
      </c>
      <c r="E649" t="s">
        <v>436</v>
      </c>
      <c r="F649" t="s">
        <v>356</v>
      </c>
      <c r="G649" t="s">
        <v>319</v>
      </c>
      <c r="H649" s="502">
        <v>51156</v>
      </c>
      <c r="I649" s="415">
        <v>0</v>
      </c>
      <c r="J649" s="415">
        <v>0</v>
      </c>
      <c r="K649" s="415">
        <v>999.42</v>
      </c>
      <c r="L649" s="415">
        <v>1915.3</v>
      </c>
      <c r="M649" s="415">
        <v>960.7</v>
      </c>
      <c r="N649" s="415">
        <v>0</v>
      </c>
      <c r="O649" s="415">
        <v>838.79</v>
      </c>
      <c r="P649" s="415">
        <v>0</v>
      </c>
      <c r="Q649" s="481">
        <f t="shared" si="56"/>
        <v>0</v>
      </c>
    </row>
    <row r="650" spans="1:17" outlineLevel="2" x14ac:dyDescent="0.3">
      <c r="A650" s="366" t="str">
        <f>IFERROR(VLOOKUP(RIGHT(E650,3)+0,[1]SchLocTable!$A$2:$B$47,2,FALSE)," ")</f>
        <v>Read</v>
      </c>
      <c r="B650" s="366" t="str">
        <f>VLOOKUP(VALUE(D650),$D$3:F$106,3,FALSE)</f>
        <v>School Clericals</v>
      </c>
      <c r="C650" t="s">
        <v>314</v>
      </c>
      <c r="D650">
        <v>804</v>
      </c>
      <c r="E650" t="s">
        <v>437</v>
      </c>
      <c r="F650" t="s">
        <v>316</v>
      </c>
      <c r="G650">
        <v>2</v>
      </c>
      <c r="H650" s="502">
        <v>51000</v>
      </c>
      <c r="I650" s="415">
        <v>96826.052751999989</v>
      </c>
      <c r="J650" s="415">
        <v>89057.77</v>
      </c>
      <c r="K650" s="415">
        <v>116215.27</v>
      </c>
      <c r="L650" s="415">
        <v>129261.97</v>
      </c>
      <c r="M650" s="415">
        <v>134016.53</v>
      </c>
      <c r="N650" s="415">
        <v>126045.45</v>
      </c>
      <c r="O650" s="415">
        <v>138864.04</v>
      </c>
      <c r="P650" s="415">
        <v>132358.51999999999</v>
      </c>
      <c r="Q650" s="481">
        <f t="shared" si="56"/>
        <v>-7768.2827519999846</v>
      </c>
    </row>
    <row r="651" spans="1:17" outlineLevel="2" x14ac:dyDescent="0.3">
      <c r="A651" s="366" t="str">
        <f>IFERROR(VLOOKUP(RIGHT(E651,3)+0,[1]SchLocTable!$A$2:$B$47,2,FALSE)," ")</f>
        <v>Read</v>
      </c>
      <c r="B651" s="366" t="str">
        <f>VLOOKUP(VALUE(D651),$D$3:F$106,3,FALSE)</f>
        <v>School Clericals</v>
      </c>
      <c r="C651" t="s">
        <v>314</v>
      </c>
      <c r="D651">
        <v>804</v>
      </c>
      <c r="E651" t="s">
        <v>437</v>
      </c>
      <c r="F651" t="s">
        <v>360</v>
      </c>
      <c r="G651" t="s">
        <v>319</v>
      </c>
      <c r="H651" s="502">
        <v>52920</v>
      </c>
      <c r="I651" s="415">
        <v>1000</v>
      </c>
      <c r="J651" s="415">
        <v>750</v>
      </c>
      <c r="K651" s="415">
        <v>750</v>
      </c>
      <c r="L651" s="415">
        <v>1000</v>
      </c>
      <c r="M651" s="415">
        <v>1000</v>
      </c>
      <c r="N651" s="415">
        <v>875</v>
      </c>
      <c r="O651" s="415">
        <v>500</v>
      </c>
      <c r="P651" s="415">
        <v>500</v>
      </c>
      <c r="Q651" s="481">
        <f t="shared" si="56"/>
        <v>-250</v>
      </c>
    </row>
    <row r="652" spans="1:17" outlineLevel="2" x14ac:dyDescent="0.3">
      <c r="A652" s="366" t="str">
        <f>IFERROR(VLOOKUP(RIGHT(E652,3)+0,[1]SchLocTable!$A$2:$B$47,2,FALSE)," ")</f>
        <v>Read</v>
      </c>
      <c r="B652" s="366" t="str">
        <f>VLOOKUP(VALUE(D652),$D$3:F$106,3,FALSE)</f>
        <v>School Clericals</v>
      </c>
      <c r="C652" t="s">
        <v>314</v>
      </c>
      <c r="D652">
        <v>804</v>
      </c>
      <c r="E652" t="s">
        <v>437</v>
      </c>
      <c r="F652" t="s">
        <v>321</v>
      </c>
      <c r="G652" t="s">
        <v>319</v>
      </c>
      <c r="H652" s="502">
        <v>52917</v>
      </c>
      <c r="I652" s="415">
        <v>0</v>
      </c>
      <c r="J652" s="415">
        <v>0</v>
      </c>
      <c r="K652" s="415">
        <v>4577.07</v>
      </c>
      <c r="L652" s="415">
        <v>28701.45</v>
      </c>
      <c r="M652" s="415">
        <v>32000.400000000001</v>
      </c>
      <c r="N652" s="415">
        <v>30702.37</v>
      </c>
      <c r="O652" s="415">
        <v>50421.57</v>
      </c>
      <c r="P652" s="415">
        <v>47929.34</v>
      </c>
      <c r="Q652" s="481">
        <f t="shared" si="56"/>
        <v>0</v>
      </c>
    </row>
    <row r="653" spans="1:17" outlineLevel="2" x14ac:dyDescent="0.3">
      <c r="A653" s="366" t="str">
        <f>IFERROR(VLOOKUP(RIGHT(E653,3)+0,[1]SchLocTable!$A$2:$B$47,2,FALSE)," ")</f>
        <v>Read</v>
      </c>
      <c r="B653" s="366" t="str">
        <f>VLOOKUP(VALUE(D653),$D$3:F$106,3,FALSE)</f>
        <v>School Clericals</v>
      </c>
      <c r="C653" t="s">
        <v>314</v>
      </c>
      <c r="D653">
        <v>804</v>
      </c>
      <c r="E653" t="s">
        <v>437</v>
      </c>
      <c r="F653" t="s">
        <v>318</v>
      </c>
      <c r="G653" t="s">
        <v>319</v>
      </c>
      <c r="H653" s="502">
        <v>51140</v>
      </c>
      <c r="I653" s="415">
        <v>700</v>
      </c>
      <c r="J653" s="415">
        <v>0</v>
      </c>
      <c r="K653" s="415">
        <v>630</v>
      </c>
      <c r="L653" s="415">
        <v>1470</v>
      </c>
      <c r="M653" s="415">
        <v>1400</v>
      </c>
      <c r="N653" s="415">
        <v>2555</v>
      </c>
      <c r="O653" s="415">
        <v>2660</v>
      </c>
      <c r="P653" s="415">
        <v>2520</v>
      </c>
      <c r="Q653" s="481">
        <f t="shared" si="56"/>
        <v>-700</v>
      </c>
    </row>
    <row r="654" spans="1:17" outlineLevel="2" x14ac:dyDescent="0.3">
      <c r="A654" s="366" t="str">
        <f>IFERROR(VLOOKUP(RIGHT(E654,3)+0,[1]SchLocTable!$A$2:$B$47,2,FALSE)," ")</f>
        <v>Read</v>
      </c>
      <c r="B654" s="366" t="str">
        <f>VLOOKUP(VALUE(D654),$D$3:F$106,3,FALSE)</f>
        <v>School Clericals</v>
      </c>
      <c r="C654" t="s">
        <v>314</v>
      </c>
      <c r="D654">
        <v>804</v>
      </c>
      <c r="E654" t="s">
        <v>437</v>
      </c>
      <c r="F654" t="s">
        <v>320</v>
      </c>
      <c r="G654" t="s">
        <v>319</v>
      </c>
      <c r="H654" s="502">
        <v>52360</v>
      </c>
      <c r="I654" s="415">
        <v>1418.4777649040002</v>
      </c>
      <c r="J654" s="415">
        <v>1291.33</v>
      </c>
      <c r="K654" s="415">
        <v>1683.74</v>
      </c>
      <c r="L654" s="415">
        <v>1778.81</v>
      </c>
      <c r="M654" s="415">
        <v>1832.65</v>
      </c>
      <c r="N654" s="415">
        <v>1774.71</v>
      </c>
      <c r="O654" s="415">
        <v>1828.17</v>
      </c>
      <c r="P654" s="415">
        <v>1744.11</v>
      </c>
      <c r="Q654" s="481">
        <f t="shared" si="56"/>
        <v>-127.14776490400027</v>
      </c>
    </row>
    <row r="655" spans="1:17" outlineLevel="2" x14ac:dyDescent="0.3">
      <c r="A655" s="366" t="str">
        <f>IFERROR(VLOOKUP(RIGHT(E655,3)+0,[1]SchLocTable!$A$2:$B$47,2,FALSE)," ")</f>
        <v>Read</v>
      </c>
      <c r="B655" s="366" t="str">
        <f>VLOOKUP(VALUE(D655),$D$3:F$106,3,FALSE)</f>
        <v>School Clericals</v>
      </c>
      <c r="C655" t="s">
        <v>314</v>
      </c>
      <c r="D655">
        <v>804</v>
      </c>
      <c r="E655" t="s">
        <v>437</v>
      </c>
      <c r="F655" t="s">
        <v>392</v>
      </c>
      <c r="G655" t="s">
        <v>319</v>
      </c>
      <c r="H655" s="502">
        <v>52504</v>
      </c>
      <c r="I655" s="415">
        <v>20328.253761865599</v>
      </c>
      <c r="J655" s="415">
        <v>16647.810000000001</v>
      </c>
      <c r="K655" s="415">
        <v>23293.040000000001</v>
      </c>
      <c r="L655" s="415">
        <v>26660.14</v>
      </c>
      <c r="M655" s="415">
        <v>29191.93</v>
      </c>
      <c r="N655" s="415">
        <v>20945.150000000001</v>
      </c>
      <c r="O655" s="415">
        <v>23306.59</v>
      </c>
      <c r="P655" s="415">
        <v>19270.080000000002</v>
      </c>
      <c r="Q655" s="481">
        <f t="shared" si="56"/>
        <v>-3680.4437618655975</v>
      </c>
    </row>
    <row r="656" spans="1:17" outlineLevel="1" x14ac:dyDescent="0.3">
      <c r="A656" s="366" t="str">
        <f>IFERROR(VLOOKUP(RIGHT(E656,3)+0,[1]SchLocTable!$A$2:$B$47,2,FALSE)," ")</f>
        <v>Roosevelt</v>
      </c>
      <c r="B656" s="366" t="str">
        <f>VLOOKUP(VALUE(D656),$D$3:F$106,3,FALSE)</f>
        <v>School Clericals</v>
      </c>
      <c r="C656" t="s">
        <v>314</v>
      </c>
      <c r="D656">
        <v>804</v>
      </c>
      <c r="E656" t="s">
        <v>438</v>
      </c>
      <c r="F656" t="s">
        <v>316</v>
      </c>
      <c r="G656">
        <v>2</v>
      </c>
      <c r="H656" s="502">
        <v>51000</v>
      </c>
      <c r="I656" s="415">
        <v>95835.007996</v>
      </c>
      <c r="J656" s="415">
        <v>80117.47</v>
      </c>
      <c r="K656" s="415">
        <v>93769.38</v>
      </c>
      <c r="L656" s="415">
        <v>43939.59</v>
      </c>
      <c r="M656" s="415">
        <v>88408.56</v>
      </c>
      <c r="N656" s="415">
        <v>87923.46</v>
      </c>
      <c r="O656" s="415">
        <v>88735.03</v>
      </c>
      <c r="P656" s="415">
        <v>79342.03</v>
      </c>
      <c r="Q656" s="481">
        <f t="shared" si="56"/>
        <v>-15717.537995999999</v>
      </c>
    </row>
    <row r="657" spans="1:17" outlineLevel="1" x14ac:dyDescent="0.3">
      <c r="A657" s="366" t="str">
        <f>IFERROR(VLOOKUP(RIGHT(E657,3)+0,[1]SchLocTable!$A$2:$B$47,2,FALSE)," ")</f>
        <v>Roosevelt</v>
      </c>
      <c r="B657" s="366" t="str">
        <f>VLOOKUP(VALUE(D657),$D$3:F$106,3,FALSE)</f>
        <v>School Clericals</v>
      </c>
      <c r="C657" t="s">
        <v>314</v>
      </c>
      <c r="D657">
        <v>804</v>
      </c>
      <c r="E657" t="s">
        <v>438</v>
      </c>
      <c r="F657" t="s">
        <v>360</v>
      </c>
      <c r="G657" t="s">
        <v>319</v>
      </c>
      <c r="H657" s="502">
        <v>52920</v>
      </c>
      <c r="I657" s="415">
        <v>500</v>
      </c>
      <c r="J657" s="415">
        <v>500</v>
      </c>
      <c r="K657" s="415">
        <v>500</v>
      </c>
      <c r="L657" s="415">
        <v>500</v>
      </c>
      <c r="M657" s="415">
        <v>500</v>
      </c>
      <c r="N657" s="415">
        <v>0</v>
      </c>
      <c r="O657" s="415">
        <v>0</v>
      </c>
      <c r="P657" s="415">
        <v>0</v>
      </c>
      <c r="Q657" s="481">
        <f t="shared" si="56"/>
        <v>0</v>
      </c>
    </row>
    <row r="658" spans="1:17" outlineLevel="2" x14ac:dyDescent="0.3">
      <c r="A658" s="366" t="str">
        <f>IFERROR(VLOOKUP(RIGHT(E658,3)+0,[1]SchLocTable!$A$2:$B$47,2,FALSE)," ")</f>
        <v>Roosevelt</v>
      </c>
      <c r="B658" s="366" t="str">
        <f>VLOOKUP(VALUE(D658),$D$3:F$106,3,FALSE)</f>
        <v>School Clericals</v>
      </c>
      <c r="C658" t="s">
        <v>314</v>
      </c>
      <c r="D658">
        <v>804</v>
      </c>
      <c r="E658" t="s">
        <v>438</v>
      </c>
      <c r="F658" t="s">
        <v>321</v>
      </c>
      <c r="G658" t="s">
        <v>319</v>
      </c>
      <c r="H658" s="502">
        <v>52917</v>
      </c>
      <c r="I658" s="415">
        <v>1586.2079999999999</v>
      </c>
      <c r="J658" s="415">
        <v>1326.93</v>
      </c>
      <c r="K658" s="415">
        <v>28589.91</v>
      </c>
      <c r="L658" s="415">
        <v>24123.69</v>
      </c>
      <c r="M658" s="415">
        <v>33015.17</v>
      </c>
      <c r="N658" s="415">
        <v>53205.5</v>
      </c>
      <c r="O658" s="415">
        <v>49859.839999999997</v>
      </c>
      <c r="P658" s="415">
        <v>44531.5</v>
      </c>
      <c r="Q658" s="481">
        <f t="shared" si="56"/>
        <v>-259.27799999999979</v>
      </c>
    </row>
    <row r="659" spans="1:17" outlineLevel="2" x14ac:dyDescent="0.3">
      <c r="A659" s="366" t="str">
        <f>IFERROR(VLOOKUP(RIGHT(E659,3)+0,[1]SchLocTable!$A$2:$B$47,2,FALSE)," ")</f>
        <v>Roosevelt</v>
      </c>
      <c r="B659" s="366" t="str">
        <f>VLOOKUP(VALUE(D659),$D$3:F$106,3,FALSE)</f>
        <v>School Clericals</v>
      </c>
      <c r="C659" t="s">
        <v>314</v>
      </c>
      <c r="D659">
        <v>804</v>
      </c>
      <c r="E659" t="s">
        <v>438</v>
      </c>
      <c r="F659" t="s">
        <v>318</v>
      </c>
      <c r="G659" t="s">
        <v>319</v>
      </c>
      <c r="H659" s="502">
        <v>51140</v>
      </c>
      <c r="I659" s="415">
        <v>700</v>
      </c>
      <c r="J659" s="415">
        <v>0</v>
      </c>
      <c r="K659" s="415">
        <v>2950</v>
      </c>
      <c r="L659" s="415">
        <v>1680</v>
      </c>
      <c r="M659" s="415">
        <v>1610</v>
      </c>
      <c r="N659" s="415">
        <v>1540</v>
      </c>
      <c r="O659" s="415">
        <v>1470</v>
      </c>
      <c r="P659" s="415">
        <v>1400</v>
      </c>
      <c r="Q659" s="481">
        <f t="shared" si="56"/>
        <v>-700</v>
      </c>
    </row>
    <row r="660" spans="1:17" outlineLevel="2" x14ac:dyDescent="0.3">
      <c r="A660" s="366" t="str">
        <f>IFERROR(VLOOKUP(RIGHT(E660,3)+0,[1]SchLocTable!$A$2:$B$47,2,FALSE)," ")</f>
        <v>Roosevelt</v>
      </c>
      <c r="B660" s="366" t="str">
        <f>VLOOKUP(VALUE(D660),$D$3:F$106,3,FALSE)</f>
        <v>School Clericals</v>
      </c>
      <c r="C660" t="s">
        <v>314</v>
      </c>
      <c r="D660">
        <v>804</v>
      </c>
      <c r="E660" t="s">
        <v>438</v>
      </c>
      <c r="F660" t="s">
        <v>320</v>
      </c>
      <c r="G660" t="s">
        <v>319</v>
      </c>
      <c r="H660" s="502">
        <v>52360</v>
      </c>
      <c r="I660" s="415">
        <v>1396.8576159420002</v>
      </c>
      <c r="J660" s="415">
        <v>1161.71</v>
      </c>
      <c r="K660" s="415">
        <v>1778.78</v>
      </c>
      <c r="L660" s="415">
        <v>1387.89</v>
      </c>
      <c r="M660" s="415">
        <v>1337.06</v>
      </c>
      <c r="N660" s="415">
        <v>1144.8</v>
      </c>
      <c r="O660" s="415">
        <v>1295.8499999999999</v>
      </c>
      <c r="P660" s="415">
        <v>1167.4000000000001</v>
      </c>
      <c r="Q660" s="481">
        <f t="shared" si="56"/>
        <v>-235.14761594200013</v>
      </c>
    </row>
    <row r="661" spans="1:17" outlineLevel="2" x14ac:dyDescent="0.3">
      <c r="A661" s="366" t="str">
        <f>IFERROR(VLOOKUP(RIGHT(E661,3)+0,[1]SchLocTable!$A$2:$B$47,2,FALSE)," ")</f>
        <v>Roosevelt</v>
      </c>
      <c r="B661" s="366" t="str">
        <f>VLOOKUP(VALUE(D661),$D$3:F$106,3,FALSE)</f>
        <v>School Clericals</v>
      </c>
      <c r="C661" t="s">
        <v>314</v>
      </c>
      <c r="D661">
        <v>804</v>
      </c>
      <c r="E661" t="s">
        <v>438</v>
      </c>
      <c r="F661" t="s">
        <v>392</v>
      </c>
      <c r="G661" t="s">
        <v>319</v>
      </c>
      <c r="H661" s="502">
        <v>52504</v>
      </c>
      <c r="I661" s="415">
        <v>20018.414661568801</v>
      </c>
      <c r="J661" s="415">
        <v>16648.439999999999</v>
      </c>
      <c r="K661" s="415">
        <v>19918.43</v>
      </c>
      <c r="L661" s="415">
        <v>19055.189999999999</v>
      </c>
      <c r="M661" s="415">
        <v>19405.47</v>
      </c>
      <c r="N661" s="415">
        <v>17712.84</v>
      </c>
      <c r="O661" s="415">
        <v>16481.89</v>
      </c>
      <c r="P661" s="415">
        <v>12904.3</v>
      </c>
      <c r="Q661" s="481">
        <f t="shared" si="56"/>
        <v>-3369.9746615688018</v>
      </c>
    </row>
    <row r="662" spans="1:17" outlineLevel="2" x14ac:dyDescent="0.3">
      <c r="A662" s="366" t="str">
        <f>IFERROR(VLOOKUP(RIGHT(E662,3)+0,[1]SchLocTable!$A$2:$B$47,2,FALSE)," ")</f>
        <v>Roosevelt</v>
      </c>
      <c r="B662" s="366" t="str">
        <f>VLOOKUP(VALUE(D662),$D$3:F$106,3,FALSE)</f>
        <v>School Clericals</v>
      </c>
      <c r="C662" t="s">
        <v>314</v>
      </c>
      <c r="D662">
        <v>804</v>
      </c>
      <c r="E662" t="s">
        <v>438</v>
      </c>
      <c r="F662" t="s">
        <v>419</v>
      </c>
      <c r="G662" t="s">
        <v>319</v>
      </c>
      <c r="H662" s="502">
        <v>51318</v>
      </c>
      <c r="I662" s="415">
        <v>0</v>
      </c>
      <c r="J662" s="415">
        <v>0</v>
      </c>
      <c r="K662" s="415">
        <v>599.65</v>
      </c>
      <c r="L662" s="415">
        <v>0</v>
      </c>
      <c r="M662" s="415">
        <v>0</v>
      </c>
      <c r="N662" s="415">
        <v>0</v>
      </c>
      <c r="O662" s="415">
        <v>0</v>
      </c>
      <c r="P662" s="415">
        <v>0</v>
      </c>
      <c r="Q662" s="481">
        <f t="shared" si="56"/>
        <v>0</v>
      </c>
    </row>
    <row r="663" spans="1:17" outlineLevel="2" x14ac:dyDescent="0.3">
      <c r="A663" s="366" t="str">
        <f>IFERROR(VLOOKUP(RIGHT(E663,3)+0,[1]SchLocTable!$A$2:$B$47,2,FALSE)," ")</f>
        <v>Roosevelt</v>
      </c>
      <c r="B663" s="366" t="str">
        <f>VLOOKUP(VALUE(D663),$D$3:F$106,3,FALSE)</f>
        <v>School Clericals</v>
      </c>
      <c r="C663" t="s">
        <v>314</v>
      </c>
      <c r="D663">
        <v>804</v>
      </c>
      <c r="E663" t="s">
        <v>438</v>
      </c>
      <c r="F663" t="s">
        <v>329</v>
      </c>
      <c r="G663" t="s">
        <v>319</v>
      </c>
      <c r="H663" s="502">
        <v>51154</v>
      </c>
      <c r="I663" s="415">
        <v>0</v>
      </c>
      <c r="J663" s="415">
        <v>0</v>
      </c>
      <c r="K663" s="415">
        <v>17439.89</v>
      </c>
      <c r="L663" s="415">
        <v>0</v>
      </c>
      <c r="M663" s="415">
        <v>0</v>
      </c>
      <c r="N663" s="415">
        <v>0</v>
      </c>
      <c r="O663" s="415">
        <v>0</v>
      </c>
      <c r="P663" s="415">
        <v>0</v>
      </c>
      <c r="Q663" s="481">
        <f t="shared" si="56"/>
        <v>0</v>
      </c>
    </row>
    <row r="664" spans="1:17" outlineLevel="2" x14ac:dyDescent="0.3">
      <c r="A664" s="366" t="str">
        <f>IFERROR(VLOOKUP(RIGHT(E664,3)+0,[1]SchLocTable!$A$2:$B$47,2,FALSE)," ")</f>
        <v>Roosevelt</v>
      </c>
      <c r="B664" s="366" t="str">
        <f>VLOOKUP(VALUE(D664),$D$3:F$106,3,FALSE)</f>
        <v>School Clericals</v>
      </c>
      <c r="C664" t="s">
        <v>314</v>
      </c>
      <c r="D664">
        <v>804</v>
      </c>
      <c r="E664" t="s">
        <v>438</v>
      </c>
      <c r="F664" t="s">
        <v>418</v>
      </c>
      <c r="G664" t="s">
        <v>319</v>
      </c>
      <c r="H664" s="502">
        <v>51314</v>
      </c>
      <c r="I664" s="415">
        <v>5764.6525000000001</v>
      </c>
      <c r="J664" s="415">
        <v>0</v>
      </c>
      <c r="K664" s="415">
        <v>5596.75</v>
      </c>
      <c r="L664" s="415">
        <v>0</v>
      </c>
      <c r="M664" s="415">
        <v>0</v>
      </c>
      <c r="N664" s="415">
        <v>0</v>
      </c>
      <c r="O664" s="415">
        <v>0</v>
      </c>
      <c r="P664" s="415">
        <v>0</v>
      </c>
      <c r="Q664" s="481">
        <f t="shared" si="56"/>
        <v>-5764.6525000000001</v>
      </c>
    </row>
    <row r="665" spans="1:17" outlineLevel="2" x14ac:dyDescent="0.3">
      <c r="A665" s="366" t="str">
        <f>IFERROR(VLOOKUP(RIGHT(E665,3)+0,[1]SchLocTable!$A$2:$B$47,2,FALSE)," ")</f>
        <v>Roosevelt</v>
      </c>
      <c r="B665" s="366" t="str">
        <f>VLOOKUP(VALUE(D665),$D$3:F$106,3,FALSE)</f>
        <v>School Clericals</v>
      </c>
      <c r="C665" t="s">
        <v>314</v>
      </c>
      <c r="D665">
        <v>804</v>
      </c>
      <c r="E665" t="s">
        <v>438</v>
      </c>
      <c r="F665" t="s">
        <v>356</v>
      </c>
      <c r="G665" t="s">
        <v>319</v>
      </c>
      <c r="H665" s="502">
        <v>51156</v>
      </c>
      <c r="I665" s="415">
        <v>0</v>
      </c>
      <c r="J665" s="415">
        <v>0</v>
      </c>
      <c r="K665" s="415">
        <v>1819.21</v>
      </c>
      <c r="L665" s="415">
        <v>1782</v>
      </c>
      <c r="M665" s="415">
        <v>1691.35</v>
      </c>
      <c r="N665" s="415">
        <v>875.23</v>
      </c>
      <c r="O665" s="415">
        <v>875.27</v>
      </c>
      <c r="P665" s="415">
        <v>838.83</v>
      </c>
      <c r="Q665" s="481">
        <f t="shared" si="56"/>
        <v>0</v>
      </c>
    </row>
    <row r="666" spans="1:17" outlineLevel="2" x14ac:dyDescent="0.3">
      <c r="A666" s="366" t="str">
        <f>IFERROR(VLOOKUP(RIGHT(E666,3)+0,[1]SchLocTable!$A$2:$B$47,2,FALSE)," ")</f>
        <v>Bridgeport Learning Center</v>
      </c>
      <c r="B666" s="366" t="str">
        <f>VLOOKUP(VALUE(D666),$D$3:F$106,3,FALSE)</f>
        <v>School Clericals</v>
      </c>
      <c r="C666" t="s">
        <v>314</v>
      </c>
      <c r="D666">
        <v>804</v>
      </c>
      <c r="E666" t="s">
        <v>439</v>
      </c>
      <c r="F666" t="s">
        <v>316</v>
      </c>
      <c r="G666">
        <v>1</v>
      </c>
      <c r="H666" s="502">
        <v>51000</v>
      </c>
      <c r="I666" s="415">
        <v>71170.734752000004</v>
      </c>
      <c r="J666" s="415">
        <v>64193</v>
      </c>
      <c r="K666" s="415">
        <v>62823.45</v>
      </c>
      <c r="L666" s="415">
        <v>59115.66</v>
      </c>
      <c r="M666" s="415">
        <v>56351.71</v>
      </c>
      <c r="N666" s="415">
        <v>52709.48</v>
      </c>
      <c r="O666" s="415">
        <v>48800.63</v>
      </c>
      <c r="P666" s="415">
        <v>45535.82</v>
      </c>
      <c r="Q666" s="481">
        <f t="shared" si="56"/>
        <v>-6977.7347520000039</v>
      </c>
    </row>
    <row r="667" spans="1:17" outlineLevel="2" x14ac:dyDescent="0.3">
      <c r="A667" s="366" t="str">
        <f>IFERROR(VLOOKUP(RIGHT(E667,3)+0,[1]SchLocTable!$A$2:$B$47,2,FALSE)," ")</f>
        <v>Bridgeport Learning Center</v>
      </c>
      <c r="B667" s="366" t="str">
        <f>VLOOKUP(VALUE(D667),$D$3:F$106,3,FALSE)</f>
        <v>School Clericals</v>
      </c>
      <c r="C667" t="s">
        <v>314</v>
      </c>
      <c r="D667">
        <v>804</v>
      </c>
      <c r="E667" t="s">
        <v>439</v>
      </c>
      <c r="F667" t="s">
        <v>321</v>
      </c>
      <c r="G667" t="s">
        <v>319</v>
      </c>
      <c r="H667" s="502">
        <v>52917</v>
      </c>
      <c r="I667" s="415">
        <v>15361.008</v>
      </c>
      <c r="J667" s="415">
        <v>12732</v>
      </c>
      <c r="K667" s="415">
        <v>11604.16</v>
      </c>
      <c r="L667" s="415">
        <v>11327.94</v>
      </c>
      <c r="M667" s="415">
        <v>10648.31</v>
      </c>
      <c r="N667" s="415">
        <v>9842.83</v>
      </c>
      <c r="O667" s="415">
        <v>9326.7800000000007</v>
      </c>
      <c r="P667" s="415">
        <v>8862.34</v>
      </c>
      <c r="Q667" s="481">
        <f t="shared" si="56"/>
        <v>-2629.0079999999998</v>
      </c>
    </row>
    <row r="668" spans="1:17" outlineLevel="2" x14ac:dyDescent="0.3">
      <c r="A668" s="366" t="str">
        <f>IFERROR(VLOOKUP(RIGHT(E668,3)+0,[1]SchLocTable!$A$2:$B$47,2,FALSE)," ")</f>
        <v>Bridgeport Learning Center</v>
      </c>
      <c r="B668" s="366" t="str">
        <f>VLOOKUP(VALUE(D668),$D$3:F$106,3,FALSE)</f>
        <v>School Clericals</v>
      </c>
      <c r="C668" t="s">
        <v>314</v>
      </c>
      <c r="D668">
        <v>804</v>
      </c>
      <c r="E668" t="s">
        <v>439</v>
      </c>
      <c r="F668" t="s">
        <v>318</v>
      </c>
      <c r="G668" t="s">
        <v>319</v>
      </c>
      <c r="H668" s="502">
        <v>51140</v>
      </c>
      <c r="I668" s="415">
        <v>1800</v>
      </c>
      <c r="J668" s="415">
        <v>0</v>
      </c>
      <c r="K668" s="415">
        <v>1800</v>
      </c>
      <c r="L668" s="415">
        <v>1800</v>
      </c>
      <c r="M668" s="415">
        <v>1800</v>
      </c>
      <c r="N668" s="415">
        <v>1800</v>
      </c>
      <c r="O668" s="415">
        <v>1800</v>
      </c>
      <c r="P668" s="415">
        <v>1800</v>
      </c>
      <c r="Q668" s="481">
        <f t="shared" si="56"/>
        <v>-1800</v>
      </c>
    </row>
    <row r="669" spans="1:17" outlineLevel="2" x14ac:dyDescent="0.3">
      <c r="A669" s="366" t="str">
        <f>IFERROR(VLOOKUP(RIGHT(E669,3)+0,[1]SchLocTable!$A$2:$B$47,2,FALSE)," ")</f>
        <v>Bridgeport Learning Center</v>
      </c>
      <c r="B669" s="366" t="str">
        <f>VLOOKUP(VALUE(D669),$D$3:F$106,3,FALSE)</f>
        <v>School Clericals</v>
      </c>
      <c r="C669" t="s">
        <v>314</v>
      </c>
      <c r="D669">
        <v>804</v>
      </c>
      <c r="E669" t="s">
        <v>439</v>
      </c>
      <c r="F669" t="s">
        <v>320</v>
      </c>
      <c r="G669" t="s">
        <v>319</v>
      </c>
      <c r="H669" s="502">
        <v>52360</v>
      </c>
      <c r="I669" s="415">
        <v>1031.9756539040002</v>
      </c>
      <c r="J669" s="415">
        <v>897</v>
      </c>
      <c r="K669" s="415">
        <v>901.01</v>
      </c>
      <c r="L669" s="415">
        <v>847.87</v>
      </c>
      <c r="M669" s="415">
        <v>809.07</v>
      </c>
      <c r="N669" s="415">
        <v>757.87</v>
      </c>
      <c r="O669" s="415">
        <v>703.43</v>
      </c>
      <c r="P669" s="415">
        <v>657.85</v>
      </c>
      <c r="Q669" s="481">
        <f t="shared" si="56"/>
        <v>-134.97565390400018</v>
      </c>
    </row>
    <row r="670" spans="1:17" outlineLevel="2" x14ac:dyDescent="0.3">
      <c r="A670" s="366" t="str">
        <f>IFERROR(VLOOKUP(RIGHT(E670,3)+0,[1]SchLocTable!$A$2:$B$47,2,FALSE)," ")</f>
        <v>Bridgeport Learning Center</v>
      </c>
      <c r="B670" s="366" t="str">
        <f>VLOOKUP(VALUE(D670),$D$3:F$106,3,FALSE)</f>
        <v>School Clericals</v>
      </c>
      <c r="C670" t="s">
        <v>314</v>
      </c>
      <c r="D670">
        <v>804</v>
      </c>
      <c r="E670" t="s">
        <v>439</v>
      </c>
      <c r="F670" t="s">
        <v>392</v>
      </c>
      <c r="G670" t="s">
        <v>319</v>
      </c>
      <c r="H670" s="502">
        <v>52504</v>
      </c>
      <c r="I670" s="415">
        <v>14789.278681465601</v>
      </c>
      <c r="J670" s="415">
        <v>13693.76</v>
      </c>
      <c r="K670" s="415">
        <v>13308.82</v>
      </c>
      <c r="L670" s="415">
        <v>12422.97</v>
      </c>
      <c r="M670" s="415">
        <v>12535.95</v>
      </c>
      <c r="N670" s="415">
        <v>10415.35</v>
      </c>
      <c r="O670" s="415">
        <v>8333.1299999999992</v>
      </c>
      <c r="P670" s="415">
        <v>6762.32</v>
      </c>
      <c r="Q670" s="481">
        <f t="shared" si="56"/>
        <v>-1095.5186814656008</v>
      </c>
    </row>
    <row r="671" spans="1:17" outlineLevel="2" x14ac:dyDescent="0.3">
      <c r="A671" s="366" t="str">
        <f>IFERROR(VLOOKUP(RIGHT(E671,3)+0,[1]SchLocTable!$A$2:$B$47,2,FALSE)," ")</f>
        <v>Bridgeport Learning Center</v>
      </c>
      <c r="B671" s="366" t="str">
        <f>VLOOKUP(VALUE(D671),$D$3:F$106,3,FALSE)</f>
        <v>School Clericals</v>
      </c>
      <c r="C671" t="s">
        <v>314</v>
      </c>
      <c r="D671">
        <v>804</v>
      </c>
      <c r="E671" t="s">
        <v>439</v>
      </c>
      <c r="F671" t="s">
        <v>356</v>
      </c>
      <c r="G671" t="s">
        <v>319</v>
      </c>
      <c r="H671" s="502">
        <v>51156</v>
      </c>
      <c r="I671" s="415">
        <v>0</v>
      </c>
      <c r="J671" s="415">
        <v>0</v>
      </c>
      <c r="K671" s="415">
        <v>1234.48</v>
      </c>
      <c r="L671" s="415">
        <v>1172.31</v>
      </c>
      <c r="M671" s="415">
        <v>1032.8499999999999</v>
      </c>
      <c r="N671" s="415">
        <v>875.23</v>
      </c>
      <c r="O671" s="415">
        <v>875.27</v>
      </c>
      <c r="P671" s="415">
        <v>838.83</v>
      </c>
      <c r="Q671" s="481">
        <f t="shared" si="56"/>
        <v>0</v>
      </c>
    </row>
    <row r="672" spans="1:17" outlineLevel="2" x14ac:dyDescent="0.3">
      <c r="A672" s="366" t="str">
        <f>IFERROR(VLOOKUP(RIGHT(E672,3)+0,[1]SchLocTable!$A$2:$B$47,2,FALSE)," ")</f>
        <v>Waltersville</v>
      </c>
      <c r="B672" s="366" t="str">
        <f>VLOOKUP(VALUE(D672),$D$3:F$106,3,FALSE)</f>
        <v>School Clericals</v>
      </c>
      <c r="C672" t="s">
        <v>314</v>
      </c>
      <c r="D672">
        <v>804</v>
      </c>
      <c r="E672" t="s">
        <v>440</v>
      </c>
      <c r="F672" t="s">
        <v>316</v>
      </c>
      <c r="G672">
        <v>1</v>
      </c>
      <c r="H672" s="502">
        <v>51000</v>
      </c>
      <c r="I672" s="415">
        <v>57618.961607999998</v>
      </c>
      <c r="J672" s="415">
        <v>53351.01</v>
      </c>
      <c r="K672" s="415">
        <v>94879.86</v>
      </c>
      <c r="L672" s="415">
        <v>93872.98</v>
      </c>
      <c r="M672" s="415">
        <v>92224.83</v>
      </c>
      <c r="N672" s="415">
        <v>87723.29</v>
      </c>
      <c r="O672" s="415">
        <v>96084.2</v>
      </c>
      <c r="P672" s="415">
        <v>87063.52</v>
      </c>
      <c r="Q672" s="481">
        <f t="shared" si="56"/>
        <v>-4267.9516079999958</v>
      </c>
    </row>
    <row r="673" spans="1:17" outlineLevel="2" x14ac:dyDescent="0.3">
      <c r="A673" s="366" t="str">
        <f>IFERROR(VLOOKUP(RIGHT(E673,3)+0,[1]SchLocTable!$A$2:$B$47,2,FALSE)," ")</f>
        <v>Waltersville</v>
      </c>
      <c r="B673" s="366" t="str">
        <f>VLOOKUP(VALUE(D673),$D$3:F$106,3,FALSE)</f>
        <v>School Clericals</v>
      </c>
      <c r="C673" t="s">
        <v>314</v>
      </c>
      <c r="D673">
        <v>804</v>
      </c>
      <c r="E673" t="s">
        <v>440</v>
      </c>
      <c r="F673" t="s">
        <v>321</v>
      </c>
      <c r="G673" t="s">
        <v>319</v>
      </c>
      <c r="H673" s="502">
        <v>52917</v>
      </c>
      <c r="I673" s="415">
        <v>15361.008</v>
      </c>
      <c r="J673" s="415">
        <v>12850.07</v>
      </c>
      <c r="K673" s="415">
        <v>23194.69</v>
      </c>
      <c r="L673" s="415">
        <v>22655.759999999998</v>
      </c>
      <c r="M673" s="415">
        <v>21258.35</v>
      </c>
      <c r="N673" s="415">
        <v>19270.189999999999</v>
      </c>
      <c r="O673" s="415">
        <v>18678.439999999999</v>
      </c>
      <c r="P673" s="415">
        <v>17656.93</v>
      </c>
      <c r="Q673" s="481">
        <f t="shared" si="56"/>
        <v>-2510.9380000000001</v>
      </c>
    </row>
    <row r="674" spans="1:17" outlineLevel="2" x14ac:dyDescent="0.3">
      <c r="A674" s="366" t="str">
        <f>IFERROR(VLOOKUP(RIGHT(E674,3)+0,[1]SchLocTable!$A$2:$B$47,2,FALSE)," ")</f>
        <v>Waltersville</v>
      </c>
      <c r="B674" s="366" t="str">
        <f>VLOOKUP(VALUE(D674),$D$3:F$106,3,FALSE)</f>
        <v>School Clericals</v>
      </c>
      <c r="C674" t="s">
        <v>314</v>
      </c>
      <c r="D674">
        <v>804</v>
      </c>
      <c r="E674" t="s">
        <v>440</v>
      </c>
      <c r="F674" t="s">
        <v>318</v>
      </c>
      <c r="G674" t="s">
        <v>319</v>
      </c>
      <c r="H674" s="502">
        <v>51140</v>
      </c>
      <c r="I674" s="415">
        <v>1680</v>
      </c>
      <c r="J674" s="415">
        <v>0</v>
      </c>
      <c r="K674" s="415">
        <v>3410</v>
      </c>
      <c r="L674" s="415">
        <v>3340</v>
      </c>
      <c r="M674" s="415">
        <v>3270</v>
      </c>
      <c r="N674" s="415">
        <v>3200</v>
      </c>
      <c r="O674" s="415">
        <v>3130</v>
      </c>
      <c r="P674" s="415">
        <v>3060</v>
      </c>
      <c r="Q674" s="481">
        <f t="shared" si="56"/>
        <v>-1680</v>
      </c>
    </row>
    <row r="675" spans="1:17" outlineLevel="2" x14ac:dyDescent="0.3">
      <c r="A675" s="366" t="str">
        <f>IFERROR(VLOOKUP(RIGHT(E675,3)+0,[1]SchLocTable!$A$2:$B$47,2,FALSE)," ")</f>
        <v>Waltersville</v>
      </c>
      <c r="B675" s="366" t="str">
        <f>VLOOKUP(VALUE(D675),$D$3:F$106,3,FALSE)</f>
        <v>School Clericals</v>
      </c>
      <c r="C675" t="s">
        <v>314</v>
      </c>
      <c r="D675">
        <v>804</v>
      </c>
      <c r="E675" t="s">
        <v>440</v>
      </c>
      <c r="F675" t="s">
        <v>320</v>
      </c>
      <c r="G675" t="s">
        <v>319</v>
      </c>
      <c r="H675" s="502">
        <v>52360</v>
      </c>
      <c r="I675" s="415">
        <v>835.47494331600001</v>
      </c>
      <c r="J675" s="415">
        <v>773.59</v>
      </c>
      <c r="K675" s="415">
        <v>1439.69</v>
      </c>
      <c r="L675" s="415">
        <v>1409.58</v>
      </c>
      <c r="M675" s="415">
        <v>1384.12</v>
      </c>
      <c r="N675" s="415">
        <v>1329.91</v>
      </c>
      <c r="O675" s="415">
        <v>1451.87</v>
      </c>
      <c r="P675" s="415">
        <v>1320.04</v>
      </c>
      <c r="Q675" s="481">
        <f t="shared" si="56"/>
        <v>-61.884943315999976</v>
      </c>
    </row>
    <row r="676" spans="1:17" outlineLevel="2" x14ac:dyDescent="0.3">
      <c r="A676" s="366" t="str">
        <f>IFERROR(VLOOKUP(RIGHT(E676,3)+0,[1]SchLocTable!$A$2:$B$47,2,FALSE)," ")</f>
        <v>Waltersville</v>
      </c>
      <c r="B676" s="366" t="str">
        <f>VLOOKUP(VALUE(D676),$D$3:F$106,3,FALSE)</f>
        <v>School Clericals</v>
      </c>
      <c r="C676" t="s">
        <v>314</v>
      </c>
      <c r="D676">
        <v>804</v>
      </c>
      <c r="E676" t="s">
        <v>440</v>
      </c>
      <c r="F676" t="s">
        <v>392</v>
      </c>
      <c r="G676" t="s">
        <v>319</v>
      </c>
      <c r="H676" s="502">
        <v>52504</v>
      </c>
      <c r="I676" s="415">
        <v>11973.2202221424</v>
      </c>
      <c r="J676" s="415">
        <v>11086.35</v>
      </c>
      <c r="K676" s="415">
        <v>20240.09</v>
      </c>
      <c r="L676" s="415">
        <v>19823.75</v>
      </c>
      <c r="M676" s="415">
        <v>20596.09</v>
      </c>
      <c r="N676" s="415">
        <v>17337.88</v>
      </c>
      <c r="O676" s="415">
        <v>16300.7</v>
      </c>
      <c r="P676" s="415">
        <v>12852.34</v>
      </c>
      <c r="Q676" s="481">
        <f t="shared" si="56"/>
        <v>-886.87022214239914</v>
      </c>
    </row>
    <row r="677" spans="1:17" outlineLevel="2" x14ac:dyDescent="0.3">
      <c r="A677" s="366" t="str">
        <f>IFERROR(VLOOKUP(RIGHT(E677,3)+0,[1]SchLocTable!$A$2:$B$47,2,FALSE)," ")</f>
        <v>Waltersville</v>
      </c>
      <c r="B677" s="366" t="str">
        <f>VLOOKUP(VALUE(D677),$D$3:F$106,3,FALSE)</f>
        <v>School Clericals</v>
      </c>
      <c r="C677" t="s">
        <v>314</v>
      </c>
      <c r="D677">
        <v>804</v>
      </c>
      <c r="E677" t="s">
        <v>440</v>
      </c>
      <c r="F677" t="s">
        <v>356</v>
      </c>
      <c r="G677" t="s">
        <v>319</v>
      </c>
      <c r="H677" s="502">
        <v>51156</v>
      </c>
      <c r="I677" s="415">
        <v>0</v>
      </c>
      <c r="J677" s="415">
        <v>0</v>
      </c>
      <c r="K677" s="415">
        <v>999.42</v>
      </c>
      <c r="L677" s="415">
        <v>0</v>
      </c>
      <c r="M677" s="415">
        <v>960.7</v>
      </c>
      <c r="N677" s="415">
        <v>913.9</v>
      </c>
      <c r="O677" s="415">
        <v>914.17</v>
      </c>
      <c r="P677" s="415">
        <v>914.17</v>
      </c>
      <c r="Q677" s="481">
        <f t="shared" si="56"/>
        <v>0</v>
      </c>
    </row>
    <row r="678" spans="1:17" outlineLevel="2" x14ac:dyDescent="0.3">
      <c r="A678" s="366" t="str">
        <f>IFERROR(VLOOKUP(RIGHT(E678,3)+0,[1]SchLocTable!$A$2:$B$47,2,FALSE)," ")</f>
        <v>Claytor</v>
      </c>
      <c r="B678" s="366" t="str">
        <f>VLOOKUP(VALUE(D678),$D$3:F$106,3,FALSE)</f>
        <v>School Clericals</v>
      </c>
      <c r="C678" t="s">
        <v>314</v>
      </c>
      <c r="D678">
        <v>804</v>
      </c>
      <c r="E678" t="s">
        <v>441</v>
      </c>
      <c r="F678" t="s">
        <v>316</v>
      </c>
      <c r="G678">
        <v>1</v>
      </c>
      <c r="H678" s="502">
        <v>51000</v>
      </c>
      <c r="I678" s="415">
        <v>52868.403848000002</v>
      </c>
      <c r="J678" s="415">
        <v>0</v>
      </c>
      <c r="K678" s="415">
        <v>67134.080000000002</v>
      </c>
      <c r="L678" s="415">
        <v>98376.57</v>
      </c>
      <c r="M678" s="415">
        <v>97721.53</v>
      </c>
      <c r="N678" s="415">
        <v>95877.72</v>
      </c>
      <c r="O678" s="415">
        <v>92232.35</v>
      </c>
      <c r="P678" s="415">
        <v>90824.7</v>
      </c>
      <c r="Q678" s="481">
        <f t="shared" si="56"/>
        <v>-52868.403848000002</v>
      </c>
    </row>
    <row r="679" spans="1:17" outlineLevel="2" x14ac:dyDescent="0.3">
      <c r="A679" s="366" t="str">
        <f>IFERROR(VLOOKUP(RIGHT(E679,3)+0,[1]SchLocTable!$A$2:$B$47,2,FALSE)," ")</f>
        <v>Claytor</v>
      </c>
      <c r="B679" s="366" t="str">
        <f>VLOOKUP(VALUE(D679),$D$3:F$106,3,FALSE)</f>
        <v>School Clericals</v>
      </c>
      <c r="C679" t="s">
        <v>314</v>
      </c>
      <c r="D679">
        <v>804</v>
      </c>
      <c r="E679" t="s">
        <v>441</v>
      </c>
      <c r="F679" t="s">
        <v>321</v>
      </c>
      <c r="G679" t="s">
        <v>319</v>
      </c>
      <c r="H679" s="502">
        <v>52917</v>
      </c>
      <c r="I679" s="415">
        <v>36951.407999999996</v>
      </c>
      <c r="J679" s="415">
        <v>0</v>
      </c>
      <c r="K679" s="415">
        <v>37923.230000000003</v>
      </c>
      <c r="L679" s="415">
        <v>53897.41</v>
      </c>
      <c r="M679" s="415">
        <v>51124.3</v>
      </c>
      <c r="N679" s="415">
        <v>47226.38</v>
      </c>
      <c r="O679" s="415">
        <v>45609.24</v>
      </c>
      <c r="P679" s="415">
        <v>52514.86</v>
      </c>
      <c r="Q679" s="481">
        <f t="shared" si="56"/>
        <v>-36951.407999999996</v>
      </c>
    </row>
    <row r="680" spans="1:17" outlineLevel="2" x14ac:dyDescent="0.3">
      <c r="A680" s="366" t="str">
        <f>IFERROR(VLOOKUP(RIGHT(E680,3)+0,[1]SchLocTable!$A$2:$B$47,2,FALSE)," ")</f>
        <v>Claytor</v>
      </c>
      <c r="B680" s="366" t="str">
        <f>VLOOKUP(VALUE(D680),$D$3:F$106,3,FALSE)</f>
        <v>School Clericals</v>
      </c>
      <c r="C680" t="s">
        <v>314</v>
      </c>
      <c r="D680">
        <v>804</v>
      </c>
      <c r="E680" t="s">
        <v>441</v>
      </c>
      <c r="F680" t="s">
        <v>318</v>
      </c>
      <c r="G680" t="s">
        <v>319</v>
      </c>
      <c r="H680" s="502">
        <v>51140</v>
      </c>
      <c r="I680" s="415">
        <v>1680</v>
      </c>
      <c r="J680" s="415">
        <v>0</v>
      </c>
      <c r="K680" s="415">
        <v>3045</v>
      </c>
      <c r="L680" s="415">
        <v>2590</v>
      </c>
      <c r="M680" s="415">
        <v>2450</v>
      </c>
      <c r="N680" s="415">
        <v>2310</v>
      </c>
      <c r="O680" s="415">
        <v>2170</v>
      </c>
      <c r="P680" s="415">
        <v>2030</v>
      </c>
      <c r="Q680" s="481">
        <f t="shared" si="56"/>
        <v>-1680</v>
      </c>
    </row>
    <row r="681" spans="1:17" outlineLevel="2" x14ac:dyDescent="0.3">
      <c r="A681" s="366" t="str">
        <f>IFERROR(VLOOKUP(RIGHT(E681,3)+0,[1]SchLocTable!$A$2:$B$47,2,FALSE)," ")</f>
        <v>Claytor</v>
      </c>
      <c r="B681" s="366" t="str">
        <f>VLOOKUP(VALUE(D681),$D$3:F$106,3,FALSE)</f>
        <v>School Clericals</v>
      </c>
      <c r="C681" t="s">
        <v>314</v>
      </c>
      <c r="D681">
        <v>804</v>
      </c>
      <c r="E681" t="s">
        <v>441</v>
      </c>
      <c r="F681" t="s">
        <v>320</v>
      </c>
      <c r="G681" t="s">
        <v>319</v>
      </c>
      <c r="H681" s="502">
        <v>52360</v>
      </c>
      <c r="I681" s="415">
        <v>766.59185579600012</v>
      </c>
      <c r="J681" s="415">
        <v>0</v>
      </c>
      <c r="K681" s="415">
        <v>864.68</v>
      </c>
      <c r="L681" s="415">
        <v>1226.99</v>
      </c>
      <c r="M681" s="415">
        <v>1214.83</v>
      </c>
      <c r="N681" s="415">
        <v>1204.9000000000001</v>
      </c>
      <c r="O681" s="415">
        <v>1157.6400000000001</v>
      </c>
      <c r="P681" s="415">
        <v>1105.58</v>
      </c>
      <c r="Q681" s="481">
        <f t="shared" si="56"/>
        <v>-766.59185579600012</v>
      </c>
    </row>
    <row r="682" spans="1:17" outlineLevel="2" x14ac:dyDescent="0.3">
      <c r="A682" s="366" t="str">
        <f>IFERROR(VLOOKUP(RIGHT(E682,3)+0,[1]SchLocTable!$A$2:$B$47,2,FALSE)," ")</f>
        <v>Claytor</v>
      </c>
      <c r="B682" s="366" t="str">
        <f>VLOOKUP(VALUE(D682),$D$3:F$106,3,FALSE)</f>
        <v>School Clericals</v>
      </c>
      <c r="C682" t="s">
        <v>314</v>
      </c>
      <c r="D682">
        <v>804</v>
      </c>
      <c r="E682" t="s">
        <v>441</v>
      </c>
      <c r="F682" t="s">
        <v>392</v>
      </c>
      <c r="G682" t="s">
        <v>319</v>
      </c>
      <c r="H682" s="502">
        <v>52504</v>
      </c>
      <c r="I682" s="415">
        <v>10986.054319614401</v>
      </c>
      <c r="J682" s="415">
        <v>0</v>
      </c>
      <c r="K682" s="415">
        <v>14449.75</v>
      </c>
      <c r="L682" s="415">
        <v>20591.13</v>
      </c>
      <c r="M682" s="415">
        <v>21594.51</v>
      </c>
      <c r="N682" s="415">
        <v>18760.75</v>
      </c>
      <c r="O682" s="415">
        <v>15549</v>
      </c>
      <c r="P682" s="415">
        <v>13267.08</v>
      </c>
      <c r="Q682" s="481">
        <f t="shared" si="56"/>
        <v>-10986.054319614401</v>
      </c>
    </row>
    <row r="683" spans="1:17" outlineLevel="2" x14ac:dyDescent="0.3">
      <c r="A683" s="366" t="str">
        <f>IFERROR(VLOOKUP(RIGHT(E683,3)+0,[1]SchLocTable!$A$2:$B$47,2,FALSE)," ")</f>
        <v>Claytor</v>
      </c>
      <c r="B683" s="366" t="str">
        <f>VLOOKUP(VALUE(D683),$D$3:F$106,3,FALSE)</f>
        <v>School Clericals</v>
      </c>
      <c r="C683" t="s">
        <v>314</v>
      </c>
      <c r="D683">
        <v>804</v>
      </c>
      <c r="E683" t="s">
        <v>441</v>
      </c>
      <c r="F683" t="s">
        <v>329</v>
      </c>
      <c r="G683" t="s">
        <v>319</v>
      </c>
      <c r="H683" s="502">
        <v>51154</v>
      </c>
      <c r="I683" s="415">
        <v>0</v>
      </c>
      <c r="J683" s="415">
        <v>0</v>
      </c>
      <c r="K683" s="415">
        <v>467.1</v>
      </c>
      <c r="L683" s="415">
        <v>0</v>
      </c>
      <c r="M683" s="415">
        <v>0</v>
      </c>
      <c r="N683" s="415">
        <v>0</v>
      </c>
      <c r="O683" s="415">
        <v>0</v>
      </c>
      <c r="P683" s="415">
        <v>0</v>
      </c>
      <c r="Q683" s="481">
        <f t="shared" si="56"/>
        <v>0</v>
      </c>
    </row>
    <row r="684" spans="1:17" outlineLevel="2" x14ac:dyDescent="0.3">
      <c r="A684" s="366" t="str">
        <f>IFERROR(VLOOKUP(RIGHT(E684,3)+0,[1]SchLocTable!$A$2:$B$47,2,FALSE)," ")</f>
        <v>Claytor</v>
      </c>
      <c r="B684" s="366" t="str">
        <f>VLOOKUP(VALUE(D684),$D$3:F$106,3,FALSE)</f>
        <v>School Clericals</v>
      </c>
      <c r="C684" t="s">
        <v>314</v>
      </c>
      <c r="D684">
        <v>804</v>
      </c>
      <c r="E684" t="s">
        <v>441</v>
      </c>
      <c r="F684" t="s">
        <v>418</v>
      </c>
      <c r="G684" t="s">
        <v>319</v>
      </c>
      <c r="H684" s="502">
        <v>51314</v>
      </c>
      <c r="I684" s="415">
        <v>1347.1267</v>
      </c>
      <c r="J684" s="415">
        <v>0</v>
      </c>
      <c r="K684" s="415">
        <v>1307.8900000000001</v>
      </c>
      <c r="L684" s="415">
        <v>0</v>
      </c>
      <c r="M684" s="415">
        <v>0</v>
      </c>
      <c r="N684" s="415">
        <v>0</v>
      </c>
      <c r="O684" s="415">
        <v>0</v>
      </c>
      <c r="P684" s="415">
        <v>0</v>
      </c>
      <c r="Q684" s="481">
        <f t="shared" si="56"/>
        <v>-1347.1267</v>
      </c>
    </row>
    <row r="685" spans="1:17" outlineLevel="2" x14ac:dyDescent="0.3">
      <c r="A685" s="366" t="str">
        <f>IFERROR(VLOOKUP(RIGHT(E685,3)+0,[1]SchLocTable!$A$2:$B$47,2,FALSE)," ")</f>
        <v>Claytor</v>
      </c>
      <c r="B685" s="366" t="str">
        <f>VLOOKUP(VALUE(D685),$D$3:F$106,3,FALSE)</f>
        <v>School Clericals</v>
      </c>
      <c r="C685" t="s">
        <v>314</v>
      </c>
      <c r="D685">
        <v>804</v>
      </c>
      <c r="E685" t="s">
        <v>441</v>
      </c>
      <c r="F685" t="s">
        <v>356</v>
      </c>
      <c r="G685" t="s">
        <v>319</v>
      </c>
      <c r="H685" s="502">
        <v>51156</v>
      </c>
      <c r="I685" s="415">
        <v>0</v>
      </c>
      <c r="J685" s="415">
        <v>0</v>
      </c>
      <c r="K685" s="415">
        <v>0</v>
      </c>
      <c r="L685" s="415">
        <v>979.83</v>
      </c>
      <c r="M685" s="415">
        <v>0</v>
      </c>
      <c r="N685" s="415">
        <v>0</v>
      </c>
      <c r="O685" s="415">
        <v>0</v>
      </c>
      <c r="P685" s="415">
        <v>0</v>
      </c>
      <c r="Q685" s="481">
        <f t="shared" si="56"/>
        <v>0</v>
      </c>
    </row>
    <row r="686" spans="1:17" outlineLevel="2" x14ac:dyDescent="0.3">
      <c r="A686" s="366" t="str">
        <f>IFERROR(VLOOKUP(RIGHT(E686,3)+0,[1]SchLocTable!$A$2:$B$47,2,FALSE)," ")</f>
        <v>Johnson</v>
      </c>
      <c r="B686" s="366" t="str">
        <f>VLOOKUP(VALUE(D686),$D$3:F$106,3,FALSE)</f>
        <v>School Clericals</v>
      </c>
      <c r="C686" t="s">
        <v>314</v>
      </c>
      <c r="D686">
        <v>804</v>
      </c>
      <c r="E686" t="s">
        <v>442</v>
      </c>
      <c r="F686" t="s">
        <v>316</v>
      </c>
      <c r="G686">
        <v>3</v>
      </c>
      <c r="H686" s="502">
        <v>51000</v>
      </c>
      <c r="I686" s="415">
        <v>211675.39879199999</v>
      </c>
      <c r="J686" s="415">
        <v>162910.03</v>
      </c>
      <c r="K686" s="415">
        <v>166472.66</v>
      </c>
      <c r="L686" s="415">
        <v>156968.51999999999</v>
      </c>
      <c r="M686" s="415">
        <v>152256.38</v>
      </c>
      <c r="N686" s="415">
        <v>138017.10999999999</v>
      </c>
      <c r="O686" s="415">
        <v>122517.12</v>
      </c>
      <c r="P686" s="415">
        <v>89256.19</v>
      </c>
      <c r="Q686" s="481">
        <f t="shared" si="56"/>
        <v>-48765.368791999994</v>
      </c>
    </row>
    <row r="687" spans="1:17" outlineLevel="2" x14ac:dyDescent="0.3">
      <c r="A687" s="366" t="str">
        <f>IFERROR(VLOOKUP(RIGHT(E687,3)+0,[1]SchLocTable!$A$2:$B$47,2,FALSE)," ")</f>
        <v>Johnson</v>
      </c>
      <c r="B687" s="366" t="str">
        <f>VLOOKUP(VALUE(D687),$D$3:F$106,3,FALSE)</f>
        <v>School Clericals</v>
      </c>
      <c r="C687" t="s">
        <v>314</v>
      </c>
      <c r="D687">
        <v>804</v>
      </c>
      <c r="E687" t="s">
        <v>442</v>
      </c>
      <c r="F687" t="s">
        <v>360</v>
      </c>
      <c r="G687" t="s">
        <v>319</v>
      </c>
      <c r="H687" s="502">
        <v>52920</v>
      </c>
      <c r="I687" s="415">
        <v>500</v>
      </c>
      <c r="J687" s="415">
        <v>0</v>
      </c>
      <c r="K687" s="415">
        <v>0</v>
      </c>
      <c r="L687" s="415">
        <v>0</v>
      </c>
      <c r="M687" s="415">
        <v>0</v>
      </c>
      <c r="N687" s="415">
        <v>0</v>
      </c>
      <c r="O687" s="415">
        <v>125</v>
      </c>
      <c r="P687" s="415">
        <v>0</v>
      </c>
      <c r="Q687" s="481">
        <f t="shared" si="56"/>
        <v>-500</v>
      </c>
    </row>
    <row r="688" spans="1:17" outlineLevel="2" x14ac:dyDescent="0.3">
      <c r="A688" s="366" t="str">
        <f>IFERROR(VLOOKUP(RIGHT(E688,3)+0,[1]SchLocTable!$A$2:$B$47,2,FALSE)," ")</f>
        <v>Johnson</v>
      </c>
      <c r="B688" s="366" t="str">
        <f>VLOOKUP(VALUE(D688),$D$3:F$106,3,FALSE)</f>
        <v>School Clericals</v>
      </c>
      <c r="C688" t="s">
        <v>314</v>
      </c>
      <c r="D688">
        <v>804</v>
      </c>
      <c r="E688" t="s">
        <v>442</v>
      </c>
      <c r="F688" t="s">
        <v>321</v>
      </c>
      <c r="G688" t="s">
        <v>319</v>
      </c>
      <c r="H688" s="502">
        <v>52917</v>
      </c>
      <c r="I688" s="415">
        <v>30722.016</v>
      </c>
      <c r="J688" s="415">
        <v>32095.58</v>
      </c>
      <c r="K688" s="415">
        <v>51101.51</v>
      </c>
      <c r="L688" s="415">
        <v>49866.18</v>
      </c>
      <c r="M688" s="415">
        <v>46858.77</v>
      </c>
      <c r="N688" s="415">
        <v>42621.69</v>
      </c>
      <c r="O688" s="415">
        <v>38210.879999999997</v>
      </c>
      <c r="P688" s="415">
        <v>30121.4</v>
      </c>
      <c r="Q688" s="481">
        <f t="shared" si="56"/>
        <v>1373.5640000000021</v>
      </c>
    </row>
    <row r="689" spans="1:17" outlineLevel="2" x14ac:dyDescent="0.3">
      <c r="A689" s="366" t="str">
        <f>IFERROR(VLOOKUP(RIGHT(E689,3)+0,[1]SchLocTable!$A$2:$B$47,2,FALSE)," ")</f>
        <v>Johnson</v>
      </c>
      <c r="B689" s="366" t="str">
        <f>VLOOKUP(VALUE(D689),$D$3:F$106,3,FALSE)</f>
        <v>School Clericals</v>
      </c>
      <c r="C689" t="s">
        <v>314</v>
      </c>
      <c r="D689">
        <v>804</v>
      </c>
      <c r="E689" t="s">
        <v>442</v>
      </c>
      <c r="F689" t="s">
        <v>318</v>
      </c>
      <c r="G689" t="s">
        <v>319</v>
      </c>
      <c r="H689" s="502">
        <v>51140</v>
      </c>
      <c r="I689" s="415">
        <v>3010</v>
      </c>
      <c r="J689" s="415">
        <v>0</v>
      </c>
      <c r="K689" s="415">
        <v>4220</v>
      </c>
      <c r="L689" s="415">
        <v>4005</v>
      </c>
      <c r="M689" s="415">
        <v>2320</v>
      </c>
      <c r="N689" s="415">
        <v>2175</v>
      </c>
      <c r="O689" s="415">
        <v>2030</v>
      </c>
      <c r="P689" s="415">
        <v>1885</v>
      </c>
      <c r="Q689" s="481">
        <f t="shared" si="56"/>
        <v>-3010</v>
      </c>
    </row>
    <row r="690" spans="1:17" outlineLevel="2" x14ac:dyDescent="0.3">
      <c r="A690" s="366" t="str">
        <f>IFERROR(VLOOKUP(RIGHT(E690,3)+0,[1]SchLocTable!$A$2:$B$47,2,FALSE)," ")</f>
        <v>Johnson</v>
      </c>
      <c r="B690" s="366" t="str">
        <f>VLOOKUP(VALUE(D690),$D$3:F$106,3,FALSE)</f>
        <v>School Clericals</v>
      </c>
      <c r="C690" t="s">
        <v>314</v>
      </c>
      <c r="D690">
        <v>804</v>
      </c>
      <c r="E690" t="s">
        <v>442</v>
      </c>
      <c r="F690" t="s">
        <v>320</v>
      </c>
      <c r="G690" t="s">
        <v>319</v>
      </c>
      <c r="H690" s="502">
        <v>52360</v>
      </c>
      <c r="I690" s="415">
        <v>3076.5432824840004</v>
      </c>
      <c r="J690" s="415">
        <v>2209</v>
      </c>
      <c r="K690" s="415">
        <v>2236.71</v>
      </c>
      <c r="L690" s="415">
        <v>2102.4899999999998</v>
      </c>
      <c r="M690" s="415">
        <v>2025.88</v>
      </c>
      <c r="N690" s="415">
        <v>1822.86</v>
      </c>
      <c r="O690" s="415">
        <v>1629.54</v>
      </c>
      <c r="P690" s="415">
        <v>1182.4100000000001</v>
      </c>
      <c r="Q690" s="481">
        <f t="shared" si="56"/>
        <v>-867.54328248400043</v>
      </c>
    </row>
    <row r="691" spans="1:17" outlineLevel="2" x14ac:dyDescent="0.3">
      <c r="A691" s="366" t="str">
        <f>IFERROR(VLOOKUP(RIGHT(E691,3)+0,[1]SchLocTable!$A$2:$B$47,2,FALSE)," ")</f>
        <v>Johnson</v>
      </c>
      <c r="B691" s="366" t="str">
        <f>VLOOKUP(VALUE(D691),$D$3:F$106,3,FALSE)</f>
        <v>School Clericals</v>
      </c>
      <c r="C691" t="s">
        <v>314</v>
      </c>
      <c r="D691">
        <v>804</v>
      </c>
      <c r="E691" t="s">
        <v>442</v>
      </c>
      <c r="F691" t="s">
        <v>392</v>
      </c>
      <c r="G691" t="s">
        <v>319</v>
      </c>
      <c r="H691" s="502">
        <v>52504</v>
      </c>
      <c r="I691" s="415">
        <v>44090.047868977606</v>
      </c>
      <c r="J691" s="415">
        <v>33852.85</v>
      </c>
      <c r="K691" s="415">
        <v>35154.080000000002</v>
      </c>
      <c r="L691" s="415">
        <v>32828.68</v>
      </c>
      <c r="M691" s="415">
        <v>33333.26</v>
      </c>
      <c r="N691" s="415">
        <v>26794.22</v>
      </c>
      <c r="O691" s="415">
        <v>20517.79</v>
      </c>
      <c r="P691" s="415">
        <v>13021.82</v>
      </c>
      <c r="Q691" s="481">
        <f t="shared" si="56"/>
        <v>-10237.197868977608</v>
      </c>
    </row>
    <row r="692" spans="1:17" outlineLevel="2" x14ac:dyDescent="0.3">
      <c r="A692" s="366" t="str">
        <f>IFERROR(VLOOKUP(RIGHT(E692,3)+0,[1]SchLocTable!$A$2:$B$47,2,FALSE)," ")</f>
        <v>Johnson</v>
      </c>
      <c r="B692" s="366" t="str">
        <f>VLOOKUP(VALUE(D692),$D$3:F$106,3,FALSE)</f>
        <v>School Clericals</v>
      </c>
      <c r="C692" t="s">
        <v>314</v>
      </c>
      <c r="D692">
        <v>804</v>
      </c>
      <c r="E692" t="s">
        <v>442</v>
      </c>
      <c r="F692" t="s">
        <v>427</v>
      </c>
      <c r="G692" t="s">
        <v>319</v>
      </c>
      <c r="H692" s="502">
        <v>51106</v>
      </c>
      <c r="I692" s="415">
        <v>0</v>
      </c>
      <c r="J692" s="415">
        <v>0</v>
      </c>
      <c r="K692" s="415">
        <v>0</v>
      </c>
      <c r="L692" s="415">
        <v>0</v>
      </c>
      <c r="M692" s="415">
        <v>49.07</v>
      </c>
      <c r="N692" s="415">
        <v>0</v>
      </c>
      <c r="O692" s="415">
        <v>0</v>
      </c>
      <c r="P692" s="415">
        <v>0</v>
      </c>
      <c r="Q692" s="481">
        <f t="shared" si="56"/>
        <v>0</v>
      </c>
    </row>
    <row r="693" spans="1:17" outlineLevel="2" x14ac:dyDescent="0.3">
      <c r="A693" s="366" t="str">
        <f>IFERROR(VLOOKUP(RIGHT(E693,3)+0,[1]SchLocTable!$A$2:$B$47,2,FALSE)," ")</f>
        <v>Winthrop</v>
      </c>
      <c r="B693" s="366" t="str">
        <f>VLOOKUP(VALUE(D693),$D$3:F$106,3,FALSE)</f>
        <v>School Clericals</v>
      </c>
      <c r="C693" t="s">
        <v>314</v>
      </c>
      <c r="D693">
        <v>804</v>
      </c>
      <c r="E693" t="s">
        <v>443</v>
      </c>
      <c r="F693" t="s">
        <v>316</v>
      </c>
      <c r="G693">
        <v>2</v>
      </c>
      <c r="H693" s="502">
        <v>51000</v>
      </c>
      <c r="I693" s="415">
        <v>48269.471900000004</v>
      </c>
      <c r="J693" s="415">
        <v>77707.73</v>
      </c>
      <c r="K693" s="415">
        <v>93780.5</v>
      </c>
      <c r="L693" s="415">
        <v>91572.65</v>
      </c>
      <c r="M693" s="415">
        <v>94144.77</v>
      </c>
      <c r="N693" s="415">
        <v>92207.64</v>
      </c>
      <c r="O693" s="415">
        <v>93998.01</v>
      </c>
      <c r="P693" s="415">
        <v>90440.03</v>
      </c>
      <c r="Q693" s="481">
        <f t="shared" si="56"/>
        <v>29438.258099999992</v>
      </c>
    </row>
    <row r="694" spans="1:17" outlineLevel="2" x14ac:dyDescent="0.3">
      <c r="A694" s="366" t="str">
        <f>IFERROR(VLOOKUP(RIGHT(E694,3)+0,[1]SchLocTable!$A$2:$B$47,2,FALSE)," ")</f>
        <v>Winthrop</v>
      </c>
      <c r="B694" s="366" t="str">
        <f>VLOOKUP(VALUE(D694),$D$3:F$106,3,FALSE)</f>
        <v>School Clericals</v>
      </c>
      <c r="C694" t="s">
        <v>314</v>
      </c>
      <c r="D694">
        <v>804</v>
      </c>
      <c r="E694" t="s">
        <v>443</v>
      </c>
      <c r="F694" t="s">
        <v>360</v>
      </c>
      <c r="G694" t="s">
        <v>319</v>
      </c>
      <c r="H694" s="502">
        <v>52920</v>
      </c>
      <c r="I694" s="415">
        <v>500</v>
      </c>
      <c r="J694" s="415">
        <v>0</v>
      </c>
      <c r="K694" s="415">
        <v>0</v>
      </c>
      <c r="L694" s="415">
        <v>0</v>
      </c>
      <c r="M694" s="415">
        <v>0</v>
      </c>
      <c r="N694" s="415">
        <v>0</v>
      </c>
      <c r="O694" s="415">
        <v>0</v>
      </c>
      <c r="P694" s="415">
        <v>0</v>
      </c>
      <c r="Q694" s="481">
        <f t="shared" si="56"/>
        <v>-500</v>
      </c>
    </row>
    <row r="695" spans="1:17" outlineLevel="2" x14ac:dyDescent="0.3">
      <c r="A695" s="366" t="str">
        <f>IFERROR(VLOOKUP(RIGHT(E695,3)+0,[1]SchLocTable!$A$2:$B$47,2,FALSE)," ")</f>
        <v>Winthrop</v>
      </c>
      <c r="B695" s="366" t="str">
        <f>VLOOKUP(VALUE(D695),$D$3:F$106,3,FALSE)</f>
        <v>School Clericals</v>
      </c>
      <c r="C695" t="s">
        <v>314</v>
      </c>
      <c r="D695">
        <v>804</v>
      </c>
      <c r="E695" t="s">
        <v>443</v>
      </c>
      <c r="F695" t="s">
        <v>321</v>
      </c>
      <c r="G695" t="s">
        <v>319</v>
      </c>
      <c r="H695" s="502">
        <v>52917</v>
      </c>
      <c r="I695" s="415">
        <v>37884.288000000008</v>
      </c>
      <c r="J695" s="415">
        <v>31691.67</v>
      </c>
      <c r="K695" s="415">
        <v>40640.86</v>
      </c>
      <c r="L695" s="415">
        <v>40177.019999999997</v>
      </c>
      <c r="M695" s="415">
        <v>34391.660000000003</v>
      </c>
      <c r="N695" s="415">
        <v>19421.419999999998</v>
      </c>
      <c r="O695" s="415">
        <v>18685.96</v>
      </c>
      <c r="P695" s="415">
        <v>17792.259999999998</v>
      </c>
      <c r="Q695" s="481">
        <f t="shared" si="56"/>
        <v>-6192.6180000000095</v>
      </c>
    </row>
    <row r="696" spans="1:17" outlineLevel="2" x14ac:dyDescent="0.3">
      <c r="A696" s="366" t="str">
        <f>IFERROR(VLOOKUP(RIGHT(E696,3)+0,[1]SchLocTable!$A$2:$B$47,2,FALSE)," ")</f>
        <v>Winthrop</v>
      </c>
      <c r="B696" s="366" t="str">
        <f>VLOOKUP(VALUE(D696),$D$3:F$106,3,FALSE)</f>
        <v>School Clericals</v>
      </c>
      <c r="C696" t="s">
        <v>314</v>
      </c>
      <c r="D696">
        <v>804</v>
      </c>
      <c r="E696" t="s">
        <v>443</v>
      </c>
      <c r="F696" t="s">
        <v>318</v>
      </c>
      <c r="G696" t="s">
        <v>319</v>
      </c>
      <c r="H696" s="502">
        <v>51140</v>
      </c>
      <c r="I696" s="415">
        <v>1207.5</v>
      </c>
      <c r="J696" s="415">
        <v>1207.5</v>
      </c>
      <c r="K696" s="415">
        <v>1540</v>
      </c>
      <c r="L696" s="415">
        <v>1470</v>
      </c>
      <c r="M696" s="415">
        <v>1400</v>
      </c>
      <c r="N696" s="415">
        <v>4480</v>
      </c>
      <c r="O696" s="415">
        <v>3060</v>
      </c>
      <c r="P696" s="415">
        <v>2990</v>
      </c>
      <c r="Q696" s="481">
        <f t="shared" si="56"/>
        <v>0</v>
      </c>
    </row>
    <row r="697" spans="1:17" outlineLevel="2" x14ac:dyDescent="0.3">
      <c r="A697" s="366" t="str">
        <f>IFERROR(VLOOKUP(RIGHT(E697,3)+0,[1]SchLocTable!$A$2:$B$47,2,FALSE)," ")</f>
        <v>Winthrop</v>
      </c>
      <c r="B697" s="366" t="str">
        <f>VLOOKUP(VALUE(D697),$D$3:F$106,3,FALSE)</f>
        <v>School Clericals</v>
      </c>
      <c r="C697" t="s">
        <v>314</v>
      </c>
      <c r="D697">
        <v>804</v>
      </c>
      <c r="E697" t="s">
        <v>443</v>
      </c>
      <c r="F697" t="s">
        <v>320</v>
      </c>
      <c r="G697" t="s">
        <v>319</v>
      </c>
      <c r="H697" s="502">
        <v>52360</v>
      </c>
      <c r="I697" s="415">
        <v>699.90734255000007</v>
      </c>
      <c r="J697" s="415">
        <v>1096</v>
      </c>
      <c r="K697" s="415">
        <v>1092.2</v>
      </c>
      <c r="L697" s="415">
        <v>1087.43</v>
      </c>
      <c r="M697" s="415">
        <v>1242.77</v>
      </c>
      <c r="N697" s="415">
        <v>1565.47</v>
      </c>
      <c r="O697" s="415">
        <v>1334.5</v>
      </c>
      <c r="P697" s="415">
        <v>1273.07</v>
      </c>
      <c r="Q697" s="481">
        <f t="shared" si="56"/>
        <v>396.09265744999993</v>
      </c>
    </row>
    <row r="698" spans="1:17" outlineLevel="2" x14ac:dyDescent="0.3">
      <c r="A698" s="366" t="str">
        <f>IFERROR(VLOOKUP(RIGHT(E698,3)+0,[1]SchLocTable!$A$2:$B$47,2,FALSE)," ")</f>
        <v>Winthrop</v>
      </c>
      <c r="B698" s="366" t="str">
        <f>VLOOKUP(VALUE(D698),$D$3:F$106,3,FALSE)</f>
        <v>School Clericals</v>
      </c>
      <c r="C698" t="s">
        <v>314</v>
      </c>
      <c r="D698">
        <v>804</v>
      </c>
      <c r="E698" t="s">
        <v>443</v>
      </c>
      <c r="F698" t="s">
        <v>392</v>
      </c>
      <c r="G698" t="s">
        <v>319</v>
      </c>
      <c r="H698" s="502">
        <v>52504</v>
      </c>
      <c r="I698" s="415">
        <v>10030.396260820002</v>
      </c>
      <c r="J698" s="415">
        <v>16398.57</v>
      </c>
      <c r="K698" s="415">
        <v>19630.07</v>
      </c>
      <c r="L698" s="415">
        <v>18975.03</v>
      </c>
      <c r="M698" s="415">
        <v>14737.66</v>
      </c>
      <c r="N698" s="415">
        <v>18410.599999999999</v>
      </c>
      <c r="O698" s="415">
        <v>15973.6</v>
      </c>
      <c r="P698" s="415">
        <v>13336.73</v>
      </c>
      <c r="Q698" s="481">
        <f t="shared" si="56"/>
        <v>6368.1737391799979</v>
      </c>
    </row>
    <row r="699" spans="1:17" outlineLevel="2" x14ac:dyDescent="0.3">
      <c r="A699" s="366" t="str">
        <f>IFERROR(VLOOKUP(RIGHT(E699,3)+0,[1]SchLocTable!$A$2:$B$47,2,FALSE)," ")</f>
        <v>Winthrop</v>
      </c>
      <c r="B699" s="366" t="str">
        <f>VLOOKUP(VALUE(D699),$D$3:F$106,3,FALSE)</f>
        <v>School Clericals</v>
      </c>
      <c r="C699" t="s">
        <v>314</v>
      </c>
      <c r="D699">
        <v>804</v>
      </c>
      <c r="E699" t="s">
        <v>443</v>
      </c>
      <c r="F699" t="s">
        <v>419</v>
      </c>
      <c r="G699" t="s">
        <v>319</v>
      </c>
      <c r="H699" s="502">
        <v>51318</v>
      </c>
      <c r="I699" s="415">
        <v>0</v>
      </c>
      <c r="J699" s="415">
        <v>0</v>
      </c>
      <c r="K699" s="415">
        <v>0</v>
      </c>
      <c r="L699" s="415">
        <v>0</v>
      </c>
      <c r="M699" s="415">
        <v>0</v>
      </c>
      <c r="N699" s="415">
        <v>907.66</v>
      </c>
      <c r="O699" s="415">
        <v>0</v>
      </c>
      <c r="P699" s="415">
        <v>0</v>
      </c>
      <c r="Q699" s="481">
        <f t="shared" si="56"/>
        <v>0</v>
      </c>
    </row>
    <row r="700" spans="1:17" outlineLevel="2" x14ac:dyDescent="0.3">
      <c r="A700" s="366" t="str">
        <f>IFERROR(VLOOKUP(RIGHT(E700,3)+0,[1]SchLocTable!$A$2:$B$47,2,FALSE)," ")</f>
        <v>Winthrop</v>
      </c>
      <c r="B700" s="366" t="str">
        <f>VLOOKUP(VALUE(D700),$D$3:F$106,3,FALSE)</f>
        <v>School Clericals</v>
      </c>
      <c r="C700" t="s">
        <v>314</v>
      </c>
      <c r="D700">
        <v>804</v>
      </c>
      <c r="E700" t="s">
        <v>443</v>
      </c>
      <c r="F700" t="s">
        <v>324</v>
      </c>
      <c r="G700" t="s">
        <v>319</v>
      </c>
      <c r="H700" s="502">
        <v>52385</v>
      </c>
      <c r="I700" s="415">
        <v>0</v>
      </c>
      <c r="J700" s="415">
        <v>0</v>
      </c>
      <c r="K700" s="415">
        <v>0</v>
      </c>
      <c r="L700" s="415">
        <v>0</v>
      </c>
      <c r="M700" s="415">
        <v>870.52</v>
      </c>
      <c r="N700" s="415">
        <v>0</v>
      </c>
      <c r="O700" s="415">
        <v>0</v>
      </c>
      <c r="P700" s="415">
        <v>0</v>
      </c>
      <c r="Q700" s="481">
        <f t="shared" si="56"/>
        <v>0</v>
      </c>
    </row>
    <row r="701" spans="1:17" outlineLevel="2" x14ac:dyDescent="0.3">
      <c r="A701" s="366" t="str">
        <f>IFERROR(VLOOKUP(RIGHT(E701,3)+0,[1]SchLocTable!$A$2:$B$47,2,FALSE)," ")</f>
        <v>Winthrop</v>
      </c>
      <c r="B701" s="366" t="str">
        <f>VLOOKUP(VALUE(D701),$D$3:F$106,3,FALSE)</f>
        <v>School Clericals</v>
      </c>
      <c r="C701" t="s">
        <v>314</v>
      </c>
      <c r="D701">
        <v>804</v>
      </c>
      <c r="E701" t="s">
        <v>443</v>
      </c>
      <c r="F701" t="s">
        <v>329</v>
      </c>
      <c r="G701" t="s">
        <v>319</v>
      </c>
      <c r="H701" s="502">
        <v>51154</v>
      </c>
      <c r="I701" s="415">
        <v>1187.7754</v>
      </c>
      <c r="J701" s="415">
        <v>0</v>
      </c>
      <c r="K701" s="415">
        <v>0</v>
      </c>
      <c r="L701" s="415">
        <v>0</v>
      </c>
      <c r="M701" s="415">
        <v>0</v>
      </c>
      <c r="N701" s="415">
        <v>21214.07</v>
      </c>
      <c r="O701" s="415">
        <v>0</v>
      </c>
      <c r="P701" s="415">
        <v>0</v>
      </c>
      <c r="Q701" s="481">
        <f t="shared" si="56"/>
        <v>-1187.7754</v>
      </c>
    </row>
    <row r="702" spans="1:17" outlineLevel="2" x14ac:dyDescent="0.3">
      <c r="A702" s="366" t="str">
        <f>IFERROR(VLOOKUP(RIGHT(E702,3)+0,[1]SchLocTable!$A$2:$B$47,2,FALSE)," ")</f>
        <v>Winthrop</v>
      </c>
      <c r="B702" s="366" t="str">
        <f>VLOOKUP(VALUE(D702),$D$3:F$106,3,FALSE)</f>
        <v>School Clericals</v>
      </c>
      <c r="C702" t="s">
        <v>314</v>
      </c>
      <c r="D702">
        <v>804</v>
      </c>
      <c r="E702" t="s">
        <v>443</v>
      </c>
      <c r="F702" t="s">
        <v>418</v>
      </c>
      <c r="G702" t="s">
        <v>319</v>
      </c>
      <c r="H702" s="502">
        <v>51314</v>
      </c>
      <c r="I702" s="415">
        <v>5970.5392000000002</v>
      </c>
      <c r="J702" s="415">
        <v>0</v>
      </c>
      <c r="K702" s="415">
        <v>0</v>
      </c>
      <c r="L702" s="415">
        <v>0</v>
      </c>
      <c r="M702" s="415">
        <v>0</v>
      </c>
      <c r="N702" s="415">
        <v>0</v>
      </c>
      <c r="O702" s="415">
        <v>0</v>
      </c>
      <c r="P702" s="415">
        <v>0</v>
      </c>
      <c r="Q702" s="481">
        <f t="shared" si="56"/>
        <v>-5970.5392000000002</v>
      </c>
    </row>
    <row r="703" spans="1:17" outlineLevel="2" x14ac:dyDescent="0.3">
      <c r="A703" s="366" t="str">
        <f>IFERROR(VLOOKUP(RIGHT(E703,3)+0,[1]SchLocTable!$A$2:$B$47,2,FALSE)," ")</f>
        <v>Winthrop</v>
      </c>
      <c r="B703" s="366" t="str">
        <f>VLOOKUP(VALUE(D703),$D$3:F$106,3,FALSE)</f>
        <v>School Clericals</v>
      </c>
      <c r="C703" t="s">
        <v>314</v>
      </c>
      <c r="D703">
        <v>804</v>
      </c>
      <c r="E703" t="s">
        <v>443</v>
      </c>
      <c r="F703" t="s">
        <v>356</v>
      </c>
      <c r="G703" t="s">
        <v>319</v>
      </c>
      <c r="H703" s="502">
        <v>51156</v>
      </c>
      <c r="I703" s="415">
        <v>0</v>
      </c>
      <c r="J703" s="415">
        <v>0</v>
      </c>
      <c r="K703" s="415">
        <v>0</v>
      </c>
      <c r="L703" s="415">
        <v>979.83</v>
      </c>
      <c r="M703" s="415">
        <v>960.62</v>
      </c>
      <c r="N703" s="415">
        <v>0</v>
      </c>
      <c r="O703" s="415">
        <v>914.17</v>
      </c>
      <c r="P703" s="415">
        <v>0</v>
      </c>
      <c r="Q703" s="481">
        <f t="shared" ref="Q703:Q766" si="57">J703-I703</f>
        <v>0</v>
      </c>
    </row>
    <row r="704" spans="1:17" outlineLevel="2" x14ac:dyDescent="0.3">
      <c r="A704" s="366" t="str">
        <f>IFERROR(VLOOKUP(RIGHT(E704,3)+0,[1]SchLocTable!$A$2:$B$47,2,FALSE)," ")</f>
        <v>Cross</v>
      </c>
      <c r="B704" s="366" t="str">
        <f>VLOOKUP(VALUE(D704),$D$3:F$106,3,FALSE)</f>
        <v>School Clericals</v>
      </c>
      <c r="C704" t="s">
        <v>314</v>
      </c>
      <c r="D704">
        <v>804</v>
      </c>
      <c r="E704" t="s">
        <v>444</v>
      </c>
      <c r="F704" t="s">
        <v>316</v>
      </c>
      <c r="G704">
        <v>1</v>
      </c>
      <c r="H704" s="502">
        <v>51000</v>
      </c>
      <c r="I704" s="415">
        <v>57618.961607999998</v>
      </c>
      <c r="J704" s="415">
        <v>51970</v>
      </c>
      <c r="K704" s="415">
        <v>52169.69</v>
      </c>
      <c r="L704" s="415">
        <v>51460.5</v>
      </c>
      <c r="M704" s="415">
        <v>48722.58</v>
      </c>
      <c r="N704" s="415">
        <v>49647.22</v>
      </c>
      <c r="O704" s="415">
        <v>49941.94</v>
      </c>
      <c r="P704" s="415">
        <v>47902.42</v>
      </c>
      <c r="Q704" s="481">
        <f t="shared" si="57"/>
        <v>-5648.9616079999978</v>
      </c>
    </row>
    <row r="705" spans="1:17" outlineLevel="2" x14ac:dyDescent="0.3">
      <c r="A705" s="366" t="str">
        <f>IFERROR(VLOOKUP(RIGHT(E705,3)+0,[1]SchLocTable!$A$2:$B$47,2,FALSE)," ")</f>
        <v>Cross</v>
      </c>
      <c r="B705" s="366" t="str">
        <f>VLOOKUP(VALUE(D705),$D$3:F$106,3,FALSE)</f>
        <v>School Clericals</v>
      </c>
      <c r="C705" t="s">
        <v>314</v>
      </c>
      <c r="D705">
        <v>804</v>
      </c>
      <c r="E705" t="s">
        <v>444</v>
      </c>
      <c r="F705" t="s">
        <v>321</v>
      </c>
      <c r="G705" t="s">
        <v>319</v>
      </c>
      <c r="H705" s="502">
        <v>52917</v>
      </c>
      <c r="I705" s="415">
        <v>16420.560000000001</v>
      </c>
      <c r="J705" s="415">
        <v>13613</v>
      </c>
      <c r="K705" s="415">
        <v>12505.59</v>
      </c>
      <c r="L705" s="415">
        <v>12302.16</v>
      </c>
      <c r="M705" s="415">
        <v>11049.9</v>
      </c>
      <c r="N705" s="415">
        <v>16279.55</v>
      </c>
      <c r="O705" s="415">
        <v>22386.86</v>
      </c>
      <c r="P705" s="415">
        <v>21259.06</v>
      </c>
      <c r="Q705" s="481">
        <f t="shared" si="57"/>
        <v>-2807.5600000000013</v>
      </c>
    </row>
    <row r="706" spans="1:17" outlineLevel="2" x14ac:dyDescent="0.3">
      <c r="A706" s="366" t="str">
        <f>IFERROR(VLOOKUP(RIGHT(E706,3)+0,[1]SchLocTable!$A$2:$B$47,2,FALSE)," ")</f>
        <v>Cross</v>
      </c>
      <c r="B706" s="366" t="str">
        <f>VLOOKUP(VALUE(D706),$D$3:F$106,3,FALSE)</f>
        <v>School Clericals</v>
      </c>
      <c r="C706" t="s">
        <v>314</v>
      </c>
      <c r="D706">
        <v>804</v>
      </c>
      <c r="E706" t="s">
        <v>444</v>
      </c>
      <c r="F706" t="s">
        <v>318</v>
      </c>
      <c r="G706" t="s">
        <v>319</v>
      </c>
      <c r="H706" s="502">
        <v>51140</v>
      </c>
      <c r="I706" s="415">
        <v>1680</v>
      </c>
      <c r="J706" s="415">
        <v>0</v>
      </c>
      <c r="K706" s="415">
        <v>1610</v>
      </c>
      <c r="L706" s="415">
        <v>1540</v>
      </c>
      <c r="M706" s="415">
        <v>1090.8499999999999</v>
      </c>
      <c r="N706" s="415">
        <v>1120</v>
      </c>
      <c r="O706" s="415">
        <v>1050</v>
      </c>
      <c r="P706" s="415">
        <v>980</v>
      </c>
      <c r="Q706" s="481">
        <f t="shared" si="57"/>
        <v>-1680</v>
      </c>
    </row>
    <row r="707" spans="1:17" outlineLevel="2" x14ac:dyDescent="0.3">
      <c r="A707" s="366" t="str">
        <f>IFERROR(VLOOKUP(RIGHT(E707,3)+0,[1]SchLocTable!$A$2:$B$47,2,FALSE)," ")</f>
        <v>Cross</v>
      </c>
      <c r="B707" s="366" t="str">
        <f>VLOOKUP(VALUE(D707),$D$3:F$106,3,FALSE)</f>
        <v>School Clericals</v>
      </c>
      <c r="C707" t="s">
        <v>314</v>
      </c>
      <c r="D707">
        <v>804</v>
      </c>
      <c r="E707" t="s">
        <v>444</v>
      </c>
      <c r="F707" t="s">
        <v>320</v>
      </c>
      <c r="G707" t="s">
        <v>319</v>
      </c>
      <c r="H707" s="502">
        <v>52360</v>
      </c>
      <c r="I707" s="415">
        <v>835.47494331600001</v>
      </c>
      <c r="J707" s="415">
        <v>719</v>
      </c>
      <c r="K707" s="415">
        <v>709.93</v>
      </c>
      <c r="L707" s="415">
        <v>730.3</v>
      </c>
      <c r="M707" s="415">
        <v>728.15</v>
      </c>
      <c r="N707" s="415">
        <v>660.9</v>
      </c>
      <c r="O707" s="415">
        <v>635.38</v>
      </c>
      <c r="P707" s="415">
        <v>610.35</v>
      </c>
      <c r="Q707" s="481">
        <f t="shared" si="57"/>
        <v>-116.47494331600001</v>
      </c>
    </row>
    <row r="708" spans="1:17" outlineLevel="2" x14ac:dyDescent="0.3">
      <c r="A708" s="366" t="str">
        <f>IFERROR(VLOOKUP(RIGHT(E708,3)+0,[1]SchLocTable!$A$2:$B$47,2,FALSE)," ")</f>
        <v>Cross</v>
      </c>
      <c r="B708" s="366" t="str">
        <f>VLOOKUP(VALUE(D708),$D$3:F$106,3,FALSE)</f>
        <v>School Clericals</v>
      </c>
      <c r="C708" t="s">
        <v>314</v>
      </c>
      <c r="D708">
        <v>804</v>
      </c>
      <c r="E708" t="s">
        <v>444</v>
      </c>
      <c r="F708" t="s">
        <v>392</v>
      </c>
      <c r="G708" t="s">
        <v>319</v>
      </c>
      <c r="H708" s="502">
        <v>52504</v>
      </c>
      <c r="I708" s="415">
        <v>11973.2202221424</v>
      </c>
      <c r="J708" s="415">
        <v>11086.35</v>
      </c>
      <c r="K708" s="415">
        <v>11075.5</v>
      </c>
      <c r="L708" s="415">
        <v>10808.82</v>
      </c>
      <c r="M708" s="415">
        <v>10738.11</v>
      </c>
      <c r="N708" s="415">
        <v>9700.23</v>
      </c>
      <c r="O708" s="415">
        <v>8397.1299999999992</v>
      </c>
      <c r="P708" s="415">
        <v>6983.71</v>
      </c>
      <c r="Q708" s="481">
        <f t="shared" si="57"/>
        <v>-886.87022214239914</v>
      </c>
    </row>
    <row r="709" spans="1:17" outlineLevel="2" x14ac:dyDescent="0.3">
      <c r="A709" s="366" t="str">
        <f>IFERROR(VLOOKUP(RIGHT(E709,3)+0,[1]SchLocTable!$A$2:$B$47,2,FALSE)," ")</f>
        <v>Cross</v>
      </c>
      <c r="B709" s="366" t="str">
        <f>VLOOKUP(VALUE(D709),$D$3:F$106,3,FALSE)</f>
        <v>School Clericals</v>
      </c>
      <c r="C709" t="s">
        <v>314</v>
      </c>
      <c r="D709">
        <v>804</v>
      </c>
      <c r="E709" t="s">
        <v>444</v>
      </c>
      <c r="F709" t="s">
        <v>419</v>
      </c>
      <c r="G709" t="s">
        <v>319</v>
      </c>
      <c r="H709" s="502">
        <v>51318</v>
      </c>
      <c r="I709" s="415">
        <v>0</v>
      </c>
      <c r="J709" s="415">
        <v>0</v>
      </c>
      <c r="K709" s="415">
        <v>0</v>
      </c>
      <c r="L709" s="415">
        <v>0</v>
      </c>
      <c r="M709" s="415">
        <v>384.25</v>
      </c>
      <c r="N709" s="415">
        <v>0</v>
      </c>
      <c r="O709" s="415">
        <v>0</v>
      </c>
      <c r="P709" s="415">
        <v>0</v>
      </c>
      <c r="Q709" s="481">
        <f t="shared" si="57"/>
        <v>0</v>
      </c>
    </row>
    <row r="710" spans="1:17" outlineLevel="2" x14ac:dyDescent="0.3">
      <c r="A710" s="366" t="str">
        <f>IFERROR(VLOOKUP(RIGHT(E710,3)+0,[1]SchLocTable!$A$2:$B$47,2,FALSE)," ")</f>
        <v>Cross</v>
      </c>
      <c r="B710" s="366" t="str">
        <f>VLOOKUP(VALUE(D710),$D$3:F$106,3,FALSE)</f>
        <v>School Clericals</v>
      </c>
      <c r="C710" t="s">
        <v>314</v>
      </c>
      <c r="D710">
        <v>804</v>
      </c>
      <c r="E710" t="s">
        <v>444</v>
      </c>
      <c r="F710" t="s">
        <v>329</v>
      </c>
      <c r="G710" t="s">
        <v>319</v>
      </c>
      <c r="H710" s="502">
        <v>51154</v>
      </c>
      <c r="I710" s="415">
        <v>0</v>
      </c>
      <c r="J710" s="415">
        <v>0</v>
      </c>
      <c r="K710" s="415">
        <v>0</v>
      </c>
      <c r="L710" s="415">
        <v>0</v>
      </c>
      <c r="M710" s="415">
        <v>192.12</v>
      </c>
      <c r="N710" s="415">
        <v>0</v>
      </c>
      <c r="O710" s="415">
        <v>0</v>
      </c>
      <c r="P710" s="415">
        <v>0</v>
      </c>
      <c r="Q710" s="481">
        <f t="shared" si="57"/>
        <v>0</v>
      </c>
    </row>
    <row r="711" spans="1:17" outlineLevel="2" x14ac:dyDescent="0.3">
      <c r="A711" s="366" t="str">
        <f>IFERROR(VLOOKUP(RIGHT(E711,3)+0,[1]SchLocTable!$A$2:$B$47,2,FALSE)," ")</f>
        <v>Cross</v>
      </c>
      <c r="B711" s="366" t="str">
        <f>VLOOKUP(VALUE(D711),$D$3:F$106,3,FALSE)</f>
        <v>School Clericals</v>
      </c>
      <c r="C711" t="s">
        <v>314</v>
      </c>
      <c r="D711">
        <v>804</v>
      </c>
      <c r="E711" t="s">
        <v>444</v>
      </c>
      <c r="F711" t="s">
        <v>418</v>
      </c>
      <c r="G711" t="s">
        <v>319</v>
      </c>
      <c r="H711" s="502">
        <v>51314</v>
      </c>
      <c r="I711" s="415">
        <v>0</v>
      </c>
      <c r="J711" s="415">
        <v>0</v>
      </c>
      <c r="K711" s="415">
        <v>0</v>
      </c>
      <c r="L711" s="415">
        <v>0</v>
      </c>
      <c r="M711" s="415">
        <v>2113.36</v>
      </c>
      <c r="N711" s="415">
        <v>0</v>
      </c>
      <c r="O711" s="415">
        <v>0</v>
      </c>
      <c r="P711" s="415">
        <v>0</v>
      </c>
      <c r="Q711" s="481">
        <f t="shared" si="57"/>
        <v>0</v>
      </c>
    </row>
    <row r="712" spans="1:17" outlineLevel="2" x14ac:dyDescent="0.3">
      <c r="A712" s="366" t="str">
        <f>IFERROR(VLOOKUP(RIGHT(E712,3)+0,[1]SchLocTable!$A$2:$B$47,2,FALSE)," ")</f>
        <v>Cross</v>
      </c>
      <c r="B712" s="366" t="str">
        <f>VLOOKUP(VALUE(D712),$D$3:F$106,3,FALSE)</f>
        <v>School Clericals</v>
      </c>
      <c r="C712" t="s">
        <v>314</v>
      </c>
      <c r="D712">
        <v>804</v>
      </c>
      <c r="E712" t="s">
        <v>444</v>
      </c>
      <c r="F712" t="s">
        <v>356</v>
      </c>
      <c r="G712" t="s">
        <v>319</v>
      </c>
      <c r="H712" s="502">
        <v>51156</v>
      </c>
      <c r="I712" s="415">
        <v>0</v>
      </c>
      <c r="J712" s="415">
        <v>0</v>
      </c>
      <c r="K712" s="415">
        <v>0</v>
      </c>
      <c r="L712" s="415">
        <v>979.83</v>
      </c>
      <c r="M712" s="415">
        <v>969.64</v>
      </c>
      <c r="N712" s="415">
        <v>0</v>
      </c>
      <c r="O712" s="415">
        <v>0</v>
      </c>
      <c r="P712" s="415">
        <v>0</v>
      </c>
      <c r="Q712" s="481">
        <f t="shared" si="57"/>
        <v>0</v>
      </c>
    </row>
    <row r="713" spans="1:17" outlineLevel="2" x14ac:dyDescent="0.3">
      <c r="A713" s="366" t="str">
        <f>IFERROR(VLOOKUP(RIGHT(E713,3)+0,[1]SchLocTable!$A$2:$B$47,2,FALSE)," ")</f>
        <v>Blackham</v>
      </c>
      <c r="B713" s="366" t="str">
        <f>VLOOKUP(VALUE(D713),$D$3:F$106,3,FALSE)</f>
        <v>School Clericals</v>
      </c>
      <c r="C713" t="s">
        <v>314</v>
      </c>
      <c r="D713">
        <v>804</v>
      </c>
      <c r="E713" t="s">
        <v>445</v>
      </c>
      <c r="F713" t="s">
        <v>316</v>
      </c>
      <c r="G713">
        <v>3</v>
      </c>
      <c r="H713" s="502">
        <v>51000</v>
      </c>
      <c r="I713" s="415">
        <v>149707.25510000001</v>
      </c>
      <c r="J713" s="415">
        <v>141545</v>
      </c>
      <c r="K713" s="415">
        <v>137427.67000000001</v>
      </c>
      <c r="L713" s="415">
        <v>144260.43</v>
      </c>
      <c r="M713" s="415">
        <v>106190.81</v>
      </c>
      <c r="N713" s="415">
        <v>140087.26999999999</v>
      </c>
      <c r="O713" s="415">
        <v>136779.13</v>
      </c>
      <c r="P713" s="415">
        <v>130482.88</v>
      </c>
      <c r="Q713" s="481">
        <f t="shared" si="57"/>
        <v>-8162.2551000000094</v>
      </c>
    </row>
    <row r="714" spans="1:17" outlineLevel="2" x14ac:dyDescent="0.3">
      <c r="A714" s="366" t="str">
        <f>IFERROR(VLOOKUP(RIGHT(E714,3)+0,[1]SchLocTable!$A$2:$B$47,2,FALSE)," ")</f>
        <v>Blackham</v>
      </c>
      <c r="B714" s="366" t="str">
        <f>VLOOKUP(VALUE(D714),$D$3:F$106,3,FALSE)</f>
        <v>School Clericals</v>
      </c>
      <c r="C714" t="s">
        <v>314</v>
      </c>
      <c r="D714">
        <v>804</v>
      </c>
      <c r="E714" t="s">
        <v>445</v>
      </c>
      <c r="F714" t="s">
        <v>321</v>
      </c>
      <c r="G714" t="s">
        <v>319</v>
      </c>
      <c r="H714" s="502">
        <v>52917</v>
      </c>
      <c r="I714" s="415">
        <v>72456.383999999991</v>
      </c>
      <c r="J714" s="415">
        <v>60087</v>
      </c>
      <c r="K714" s="415">
        <v>54636.959999999999</v>
      </c>
      <c r="L714" s="415">
        <v>69574.19</v>
      </c>
      <c r="M714" s="415">
        <v>48346.03</v>
      </c>
      <c r="N714" s="415">
        <v>42025.7</v>
      </c>
      <c r="O714" s="415">
        <v>40090.57</v>
      </c>
      <c r="P714" s="415">
        <v>38197.410000000003</v>
      </c>
      <c r="Q714" s="481">
        <f t="shared" si="57"/>
        <v>-12369.383999999991</v>
      </c>
    </row>
    <row r="715" spans="1:17" outlineLevel="2" x14ac:dyDescent="0.3">
      <c r="A715" s="366" t="str">
        <f>IFERROR(VLOOKUP(RIGHT(E715,3)+0,[1]SchLocTable!$A$2:$B$47,2,FALSE)," ")</f>
        <v>Blackham</v>
      </c>
      <c r="B715" s="366" t="str">
        <f>VLOOKUP(VALUE(D715),$D$3:F$106,3,FALSE)</f>
        <v>School Clericals</v>
      </c>
      <c r="C715" t="s">
        <v>314</v>
      </c>
      <c r="D715">
        <v>804</v>
      </c>
      <c r="E715" t="s">
        <v>445</v>
      </c>
      <c r="F715" t="s">
        <v>318</v>
      </c>
      <c r="G715" t="s">
        <v>319</v>
      </c>
      <c r="H715" s="502">
        <v>51140</v>
      </c>
      <c r="I715" s="415">
        <v>2550</v>
      </c>
      <c r="J715" s="415">
        <v>2550</v>
      </c>
      <c r="K715" s="415">
        <v>3900</v>
      </c>
      <c r="L715" s="415">
        <v>3375</v>
      </c>
      <c r="M715" s="415">
        <v>1750</v>
      </c>
      <c r="N715" s="415">
        <v>5617.5</v>
      </c>
      <c r="O715" s="415">
        <v>3860</v>
      </c>
      <c r="P715" s="415">
        <v>3790</v>
      </c>
      <c r="Q715" s="481">
        <f t="shared" si="57"/>
        <v>0</v>
      </c>
    </row>
    <row r="716" spans="1:17" outlineLevel="2" x14ac:dyDescent="0.3">
      <c r="A716" s="366" t="str">
        <f>IFERROR(VLOOKUP(RIGHT(E716,3)+0,[1]SchLocTable!$A$2:$B$47,2,FALSE)," ")</f>
        <v>Blackham</v>
      </c>
      <c r="B716" s="366" t="str">
        <f>VLOOKUP(VALUE(D716),$D$3:F$106,3,FALSE)</f>
        <v>School Clericals</v>
      </c>
      <c r="C716" t="s">
        <v>314</v>
      </c>
      <c r="D716">
        <v>804</v>
      </c>
      <c r="E716" t="s">
        <v>445</v>
      </c>
      <c r="F716" t="s">
        <v>320</v>
      </c>
      <c r="G716" t="s">
        <v>319</v>
      </c>
      <c r="H716" s="502">
        <v>52360</v>
      </c>
      <c r="I716" s="415">
        <v>2170.7551989499998</v>
      </c>
      <c r="J716" s="415">
        <v>1743</v>
      </c>
      <c r="K716" s="415">
        <v>1953.17</v>
      </c>
      <c r="L716" s="415">
        <v>1821.52</v>
      </c>
      <c r="M716" s="415">
        <v>1418.49</v>
      </c>
      <c r="N716" s="415">
        <v>1268.99</v>
      </c>
      <c r="O716" s="415">
        <v>1232.8399999999999</v>
      </c>
      <c r="P716" s="415">
        <v>1141.97</v>
      </c>
      <c r="Q716" s="481">
        <f t="shared" si="57"/>
        <v>-427.75519894999979</v>
      </c>
    </row>
    <row r="717" spans="1:17" outlineLevel="2" x14ac:dyDescent="0.3">
      <c r="A717" s="366" t="str">
        <f>IFERROR(VLOOKUP(RIGHT(E717,3)+0,[1]SchLocTable!$A$2:$B$47,2,FALSE)," ")</f>
        <v>Blackham</v>
      </c>
      <c r="B717" s="366" t="str">
        <f>VLOOKUP(VALUE(D717),$D$3:F$106,3,FALSE)</f>
        <v>School Clericals</v>
      </c>
      <c r="C717" t="s">
        <v>314</v>
      </c>
      <c r="D717">
        <v>804</v>
      </c>
      <c r="E717" t="s">
        <v>445</v>
      </c>
      <c r="F717" t="s">
        <v>392</v>
      </c>
      <c r="G717" t="s">
        <v>319</v>
      </c>
      <c r="H717" s="502">
        <v>52504</v>
      </c>
      <c r="I717" s="415">
        <v>31109.167609780001</v>
      </c>
      <c r="J717" s="415">
        <v>29942</v>
      </c>
      <c r="K717" s="415">
        <v>29105</v>
      </c>
      <c r="L717" s="415">
        <v>30108.14</v>
      </c>
      <c r="M717" s="415">
        <v>23686.51</v>
      </c>
      <c r="N717" s="415">
        <v>27500.2</v>
      </c>
      <c r="O717" s="415">
        <v>23163.19</v>
      </c>
      <c r="P717" s="415">
        <v>19183.32</v>
      </c>
      <c r="Q717" s="481">
        <f t="shared" si="57"/>
        <v>-1167.1676097800009</v>
      </c>
    </row>
    <row r="718" spans="1:17" outlineLevel="2" x14ac:dyDescent="0.3">
      <c r="A718" s="366" t="str">
        <f>IFERROR(VLOOKUP(RIGHT(E718,3)+0,[1]SchLocTable!$A$2:$B$47,2,FALSE)," ")</f>
        <v>Blackham</v>
      </c>
      <c r="B718" s="366" t="str">
        <f>VLOOKUP(VALUE(D718),$D$3:F$106,3,FALSE)</f>
        <v>School Clericals</v>
      </c>
      <c r="C718" t="s">
        <v>314</v>
      </c>
      <c r="D718">
        <v>804</v>
      </c>
      <c r="E718" t="s">
        <v>445</v>
      </c>
      <c r="F718" t="s">
        <v>419</v>
      </c>
      <c r="G718" t="s">
        <v>319</v>
      </c>
      <c r="H718" s="502">
        <v>51318</v>
      </c>
      <c r="I718" s="415">
        <v>0</v>
      </c>
      <c r="J718" s="415">
        <v>546.78</v>
      </c>
      <c r="K718" s="415">
        <v>799.54</v>
      </c>
      <c r="L718" s="415">
        <v>0</v>
      </c>
      <c r="M718" s="415">
        <v>546.78</v>
      </c>
      <c r="N718" s="415">
        <v>340.7</v>
      </c>
      <c r="O718" s="415">
        <v>0</v>
      </c>
      <c r="P718" s="415">
        <v>0</v>
      </c>
      <c r="Q718" s="481">
        <f t="shared" si="57"/>
        <v>546.78</v>
      </c>
    </row>
    <row r="719" spans="1:17" outlineLevel="2" x14ac:dyDescent="0.3">
      <c r="A719" s="366" t="str">
        <f>IFERROR(VLOOKUP(RIGHT(E719,3)+0,[1]SchLocTable!$A$2:$B$47,2,FALSE)," ")</f>
        <v>Blackham</v>
      </c>
      <c r="B719" s="366" t="str">
        <f>VLOOKUP(VALUE(D719),$D$3:F$106,3,FALSE)</f>
        <v>School Clericals</v>
      </c>
      <c r="C719" t="s">
        <v>314</v>
      </c>
      <c r="D719">
        <v>804</v>
      </c>
      <c r="E719" t="s">
        <v>445</v>
      </c>
      <c r="F719" t="s">
        <v>427</v>
      </c>
      <c r="G719" t="s">
        <v>319</v>
      </c>
      <c r="H719" s="502">
        <v>51106</v>
      </c>
      <c r="I719" s="415">
        <v>0</v>
      </c>
      <c r="J719" s="415">
        <v>0</v>
      </c>
      <c r="K719" s="415">
        <v>0</v>
      </c>
      <c r="L719" s="415">
        <v>0</v>
      </c>
      <c r="M719" s="415">
        <v>264</v>
      </c>
      <c r="N719" s="415">
        <v>0</v>
      </c>
      <c r="O719" s="415">
        <v>0</v>
      </c>
      <c r="P719" s="415">
        <v>0</v>
      </c>
      <c r="Q719" s="481">
        <f t="shared" si="57"/>
        <v>0</v>
      </c>
    </row>
    <row r="720" spans="1:17" outlineLevel="2" x14ac:dyDescent="0.3">
      <c r="A720" s="366" t="str">
        <f>IFERROR(VLOOKUP(RIGHT(E720,3)+0,[1]SchLocTable!$A$2:$B$47,2,FALSE)," ")</f>
        <v>Blackham</v>
      </c>
      <c r="B720" s="366" t="str">
        <f>VLOOKUP(VALUE(D720),$D$3:F$106,3,FALSE)</f>
        <v>School Clericals</v>
      </c>
      <c r="C720" t="s">
        <v>314</v>
      </c>
      <c r="D720">
        <v>804</v>
      </c>
      <c r="E720" t="s">
        <v>445</v>
      </c>
      <c r="F720" t="s">
        <v>329</v>
      </c>
      <c r="G720" t="s">
        <v>319</v>
      </c>
      <c r="H720" s="502">
        <v>51154</v>
      </c>
      <c r="I720" s="415">
        <v>0</v>
      </c>
      <c r="J720" s="415">
        <v>0</v>
      </c>
      <c r="K720" s="415">
        <v>8802.59</v>
      </c>
      <c r="L720" s="415">
        <v>0</v>
      </c>
      <c r="M720" s="415">
        <v>4111.51</v>
      </c>
      <c r="N720" s="415">
        <v>19408.37</v>
      </c>
      <c r="O720" s="415">
        <v>0</v>
      </c>
      <c r="P720" s="415">
        <v>0</v>
      </c>
      <c r="Q720" s="481">
        <f t="shared" si="57"/>
        <v>0</v>
      </c>
    </row>
    <row r="721" spans="1:17" outlineLevel="2" x14ac:dyDescent="0.3">
      <c r="A721" s="366" t="str">
        <f>IFERROR(VLOOKUP(RIGHT(E721,3)+0,[1]SchLocTable!$A$2:$B$47,2,FALSE)," ")</f>
        <v>Blackham</v>
      </c>
      <c r="B721" s="366" t="str">
        <f>VLOOKUP(VALUE(D721),$D$3:F$106,3,FALSE)</f>
        <v>School Clericals</v>
      </c>
      <c r="C721" t="s">
        <v>314</v>
      </c>
      <c r="D721">
        <v>804</v>
      </c>
      <c r="E721" t="s">
        <v>445</v>
      </c>
      <c r="F721" t="s">
        <v>418</v>
      </c>
      <c r="G721" t="s">
        <v>319</v>
      </c>
      <c r="H721" s="502">
        <v>51314</v>
      </c>
      <c r="I721" s="415">
        <v>4529.3734999999997</v>
      </c>
      <c r="J721" s="415">
        <v>1458.08</v>
      </c>
      <c r="K721" s="415">
        <v>4397.45</v>
      </c>
      <c r="L721" s="415">
        <v>0</v>
      </c>
      <c r="M721" s="415">
        <v>1458.08</v>
      </c>
      <c r="N721" s="415">
        <v>5110.5</v>
      </c>
      <c r="O721" s="415">
        <v>0</v>
      </c>
      <c r="P721" s="415">
        <v>0</v>
      </c>
      <c r="Q721" s="481">
        <f t="shared" si="57"/>
        <v>-3071.2934999999998</v>
      </c>
    </row>
    <row r="722" spans="1:17" outlineLevel="2" x14ac:dyDescent="0.3">
      <c r="A722" s="366" t="str">
        <f>IFERROR(VLOOKUP(RIGHT(E722,3)+0,[1]SchLocTable!$A$2:$B$47,2,FALSE)," ")</f>
        <v>Blackham</v>
      </c>
      <c r="B722" s="366" t="str">
        <f>VLOOKUP(VALUE(D722),$D$3:F$106,3,FALSE)</f>
        <v>School Clericals</v>
      </c>
      <c r="C722" t="s">
        <v>314</v>
      </c>
      <c r="D722">
        <v>804</v>
      </c>
      <c r="E722" t="s">
        <v>445</v>
      </c>
      <c r="F722" t="s">
        <v>356</v>
      </c>
      <c r="G722" t="s">
        <v>319</v>
      </c>
      <c r="H722" s="502">
        <v>51156</v>
      </c>
      <c r="I722" s="415">
        <v>0</v>
      </c>
      <c r="J722" s="415">
        <v>0</v>
      </c>
      <c r="K722" s="415">
        <v>0</v>
      </c>
      <c r="L722" s="415">
        <v>999.42</v>
      </c>
      <c r="M722" s="415">
        <v>972.18</v>
      </c>
      <c r="N722" s="415">
        <v>1710.29</v>
      </c>
      <c r="O722" s="415">
        <v>1693.96</v>
      </c>
      <c r="P722" s="415">
        <v>793.26</v>
      </c>
      <c r="Q722" s="481">
        <f t="shared" si="57"/>
        <v>0</v>
      </c>
    </row>
    <row r="723" spans="1:17" outlineLevel="2" x14ac:dyDescent="0.3">
      <c r="A723" s="366" t="str">
        <f>IFERROR(VLOOKUP(RIGHT(E723,3)+0,[1]SchLocTable!$A$2:$B$47,2,FALSE)," ")</f>
        <v>Dunbar</v>
      </c>
      <c r="B723" s="366" t="str">
        <f>VLOOKUP(VALUE(D723),$D$3:F$106,3,FALSE)</f>
        <v>School Clericals</v>
      </c>
      <c r="C723" t="s">
        <v>314</v>
      </c>
      <c r="D723">
        <v>804</v>
      </c>
      <c r="E723" t="s">
        <v>446</v>
      </c>
      <c r="F723" t="s">
        <v>316</v>
      </c>
      <c r="G723">
        <v>1</v>
      </c>
      <c r="H723" s="502">
        <v>51000</v>
      </c>
      <c r="I723" s="415">
        <v>57618.961607999998</v>
      </c>
      <c r="J723" s="415">
        <v>53351.040000000001</v>
      </c>
      <c r="K723" s="415">
        <v>68275.13</v>
      </c>
      <c r="L723" s="415">
        <v>67037.86</v>
      </c>
      <c r="M723" s="415">
        <v>96033.91</v>
      </c>
      <c r="N723" s="415">
        <v>83823.789999999994</v>
      </c>
      <c r="O723" s="415">
        <v>88052.43</v>
      </c>
      <c r="P723" s="415">
        <v>84723.23</v>
      </c>
      <c r="Q723" s="481">
        <f t="shared" si="57"/>
        <v>-4267.9216079999969</v>
      </c>
    </row>
    <row r="724" spans="1:17" outlineLevel="2" x14ac:dyDescent="0.3">
      <c r="A724" s="366" t="str">
        <f>IFERROR(VLOOKUP(RIGHT(E724,3)+0,[1]SchLocTable!$A$2:$B$47,2,FALSE)," ")</f>
        <v>Dunbar</v>
      </c>
      <c r="B724" s="366" t="str">
        <f>VLOOKUP(VALUE(D724),$D$3:F$106,3,FALSE)</f>
        <v>School Clericals</v>
      </c>
      <c r="C724" t="s">
        <v>314</v>
      </c>
      <c r="D724">
        <v>804</v>
      </c>
      <c r="E724" t="s">
        <v>446</v>
      </c>
      <c r="F724" t="s">
        <v>360</v>
      </c>
      <c r="G724" t="s">
        <v>319</v>
      </c>
      <c r="H724" s="502">
        <v>52920</v>
      </c>
      <c r="I724" s="415">
        <v>0</v>
      </c>
      <c r="J724" s="415">
        <v>0</v>
      </c>
      <c r="K724" s="415">
        <v>250.02</v>
      </c>
      <c r="L724" s="415">
        <v>208.35</v>
      </c>
      <c r="M724" s="415">
        <v>0</v>
      </c>
      <c r="N724" s="415">
        <v>0</v>
      </c>
      <c r="O724" s="415">
        <v>0</v>
      </c>
      <c r="P724" s="415">
        <v>0</v>
      </c>
      <c r="Q724" s="481">
        <f t="shared" si="57"/>
        <v>0</v>
      </c>
    </row>
    <row r="725" spans="1:17" outlineLevel="2" x14ac:dyDescent="0.3">
      <c r="A725" s="366" t="str">
        <f>IFERROR(VLOOKUP(RIGHT(E725,3)+0,[1]SchLocTable!$A$2:$B$47,2,FALSE)," ")</f>
        <v>Dunbar</v>
      </c>
      <c r="B725" s="366" t="str">
        <f>VLOOKUP(VALUE(D725),$D$3:F$106,3,FALSE)</f>
        <v>School Clericals</v>
      </c>
      <c r="C725" t="s">
        <v>314</v>
      </c>
      <c r="D725">
        <v>804</v>
      </c>
      <c r="E725" t="s">
        <v>446</v>
      </c>
      <c r="F725" t="s">
        <v>321</v>
      </c>
      <c r="G725" t="s">
        <v>319</v>
      </c>
      <c r="H725" s="502">
        <v>52917</v>
      </c>
      <c r="I725" s="415">
        <v>15374.111999999997</v>
      </c>
      <c r="J725" s="415">
        <v>12861.03</v>
      </c>
      <c r="K725" s="415">
        <v>14316.36</v>
      </c>
      <c r="L725" s="415">
        <v>11278.54</v>
      </c>
      <c r="M725" s="415">
        <v>21247.03</v>
      </c>
      <c r="N725" s="415">
        <v>15752.51</v>
      </c>
      <c r="O725" s="415">
        <v>9541.7999999999993</v>
      </c>
      <c r="P725" s="415">
        <v>7166.65</v>
      </c>
      <c r="Q725" s="481">
        <f t="shared" si="57"/>
        <v>-2513.0819999999967</v>
      </c>
    </row>
    <row r="726" spans="1:17" outlineLevel="2" x14ac:dyDescent="0.3">
      <c r="A726" s="366" t="str">
        <f>IFERROR(VLOOKUP(RIGHT(E726,3)+0,[1]SchLocTable!$A$2:$B$47,2,FALSE)," ")</f>
        <v>Dunbar</v>
      </c>
      <c r="B726" s="366" t="str">
        <f>VLOOKUP(VALUE(D726),$D$3:F$106,3,FALSE)</f>
        <v>School Clericals</v>
      </c>
      <c r="C726" t="s">
        <v>314</v>
      </c>
      <c r="D726">
        <v>804</v>
      </c>
      <c r="E726" t="s">
        <v>446</v>
      </c>
      <c r="F726" t="s">
        <v>318</v>
      </c>
      <c r="G726" t="s">
        <v>319</v>
      </c>
      <c r="H726" s="502">
        <v>51140</v>
      </c>
      <c r="I726" s="415">
        <v>1190</v>
      </c>
      <c r="J726" s="415">
        <v>0</v>
      </c>
      <c r="K726" s="415">
        <v>1120</v>
      </c>
      <c r="L726" s="415">
        <v>1050</v>
      </c>
      <c r="M726" s="415">
        <v>4130</v>
      </c>
      <c r="N726" s="415">
        <v>2710</v>
      </c>
      <c r="O726" s="415">
        <v>2640</v>
      </c>
      <c r="P726" s="415">
        <v>2570</v>
      </c>
      <c r="Q726" s="481">
        <f t="shared" si="57"/>
        <v>-1190</v>
      </c>
    </row>
    <row r="727" spans="1:17" outlineLevel="2" x14ac:dyDescent="0.3">
      <c r="A727" s="366" t="str">
        <f>IFERROR(VLOOKUP(RIGHT(E727,3)+0,[1]SchLocTable!$A$2:$B$47,2,FALSE)," ")</f>
        <v>Dunbar</v>
      </c>
      <c r="B727" s="366" t="str">
        <f>VLOOKUP(VALUE(D727),$D$3:F$106,3,FALSE)</f>
        <v>School Clericals</v>
      </c>
      <c r="C727" t="s">
        <v>314</v>
      </c>
      <c r="D727">
        <v>804</v>
      </c>
      <c r="E727" t="s">
        <v>446</v>
      </c>
      <c r="F727" t="s">
        <v>320</v>
      </c>
      <c r="G727" t="s">
        <v>319</v>
      </c>
      <c r="H727" s="502">
        <v>52360</v>
      </c>
      <c r="I727" s="415">
        <v>835.47494331600001</v>
      </c>
      <c r="J727" s="415">
        <v>758.89</v>
      </c>
      <c r="K727" s="415">
        <v>940.26</v>
      </c>
      <c r="L727" s="415">
        <v>1049.1400000000001</v>
      </c>
      <c r="M727" s="415">
        <v>1538.83</v>
      </c>
      <c r="N727" s="415">
        <v>1253.74</v>
      </c>
      <c r="O727" s="415">
        <v>1420.27</v>
      </c>
      <c r="P727" s="415">
        <v>1352.8</v>
      </c>
      <c r="Q727" s="481">
        <f t="shared" si="57"/>
        <v>-76.584943316000022</v>
      </c>
    </row>
    <row r="728" spans="1:17" outlineLevel="2" x14ac:dyDescent="0.3">
      <c r="A728" s="366" t="str">
        <f>IFERROR(VLOOKUP(RIGHT(E728,3)+0,[1]SchLocTable!$A$2:$B$47,2,FALSE)," ")</f>
        <v>Dunbar</v>
      </c>
      <c r="B728" s="366" t="str">
        <f>VLOOKUP(VALUE(D728),$D$3:F$106,3,FALSE)</f>
        <v>School Clericals</v>
      </c>
      <c r="C728" t="s">
        <v>314</v>
      </c>
      <c r="D728">
        <v>804</v>
      </c>
      <c r="E728" t="s">
        <v>446</v>
      </c>
      <c r="F728" t="s">
        <v>392</v>
      </c>
      <c r="G728" t="s">
        <v>319</v>
      </c>
      <c r="H728" s="502">
        <v>52504</v>
      </c>
      <c r="I728" s="415">
        <v>11973.2202221424</v>
      </c>
      <c r="J728" s="415">
        <v>11047</v>
      </c>
      <c r="K728" s="415">
        <v>11702.91</v>
      </c>
      <c r="L728" s="415">
        <v>6458.54</v>
      </c>
      <c r="M728" s="415">
        <v>21959</v>
      </c>
      <c r="N728" s="415">
        <v>16970.189999999999</v>
      </c>
      <c r="O728" s="415">
        <v>16326.22</v>
      </c>
      <c r="P728" s="415">
        <v>13607.73</v>
      </c>
      <c r="Q728" s="481">
        <f t="shared" si="57"/>
        <v>-926.22022214239951</v>
      </c>
    </row>
    <row r="729" spans="1:17" outlineLevel="2" x14ac:dyDescent="0.3">
      <c r="A729" s="366" t="str">
        <f>IFERROR(VLOOKUP(RIGHT(E729,3)+0,[1]SchLocTable!$A$2:$B$47,2,FALSE)," ")</f>
        <v>Dunbar</v>
      </c>
      <c r="B729" s="366" t="str">
        <f>VLOOKUP(VALUE(D729),$D$3:F$106,3,FALSE)</f>
        <v>School Clericals</v>
      </c>
      <c r="C729" t="s">
        <v>314</v>
      </c>
      <c r="D729">
        <v>804</v>
      </c>
      <c r="E729" t="s">
        <v>446</v>
      </c>
      <c r="F729" t="s">
        <v>419</v>
      </c>
      <c r="G729" t="s">
        <v>319</v>
      </c>
      <c r="H729" s="502">
        <v>51318</v>
      </c>
      <c r="I729" s="415">
        <v>0</v>
      </c>
      <c r="J729" s="415">
        <v>0</v>
      </c>
      <c r="K729" s="415">
        <v>447.16</v>
      </c>
      <c r="L729" s="415">
        <v>0</v>
      </c>
      <c r="M729" s="415">
        <v>195.97</v>
      </c>
      <c r="N729" s="415">
        <v>0</v>
      </c>
      <c r="O729" s="415">
        <v>0</v>
      </c>
      <c r="P729" s="415">
        <v>0</v>
      </c>
      <c r="Q729" s="481">
        <f t="shared" si="57"/>
        <v>0</v>
      </c>
    </row>
    <row r="730" spans="1:17" outlineLevel="2" x14ac:dyDescent="0.3">
      <c r="A730" s="366" t="str">
        <f>IFERROR(VLOOKUP(RIGHT(E730,3)+0,[1]SchLocTable!$A$2:$B$47,2,FALSE)," ")</f>
        <v>Dunbar</v>
      </c>
      <c r="B730" s="366" t="str">
        <f>VLOOKUP(VALUE(D730),$D$3:F$106,3,FALSE)</f>
        <v>School Clericals</v>
      </c>
      <c r="C730" t="s">
        <v>314</v>
      </c>
      <c r="D730">
        <v>804</v>
      </c>
      <c r="E730" t="s">
        <v>446</v>
      </c>
      <c r="F730" t="s">
        <v>324</v>
      </c>
      <c r="G730" t="s">
        <v>319</v>
      </c>
      <c r="H730" s="502">
        <v>52385</v>
      </c>
      <c r="I730" s="415">
        <v>0</v>
      </c>
      <c r="J730" s="415">
        <v>0</v>
      </c>
      <c r="K730" s="415">
        <v>684.36</v>
      </c>
      <c r="L730" s="415">
        <v>1468.6</v>
      </c>
      <c r="M730" s="415">
        <v>0</v>
      </c>
      <c r="N730" s="415">
        <v>0</v>
      </c>
      <c r="O730" s="415">
        <v>0</v>
      </c>
      <c r="P730" s="415">
        <v>0</v>
      </c>
      <c r="Q730" s="481">
        <f t="shared" si="57"/>
        <v>0</v>
      </c>
    </row>
    <row r="731" spans="1:17" outlineLevel="2" x14ac:dyDescent="0.3">
      <c r="A731" s="366" t="str">
        <f>IFERROR(VLOOKUP(RIGHT(E731,3)+0,[1]SchLocTable!$A$2:$B$47,2,FALSE)," ")</f>
        <v>Dunbar</v>
      </c>
      <c r="B731" s="366" t="str">
        <f>VLOOKUP(VALUE(D731),$D$3:F$106,3,FALSE)</f>
        <v>School Clericals</v>
      </c>
      <c r="C731" t="s">
        <v>314</v>
      </c>
      <c r="D731">
        <v>804</v>
      </c>
      <c r="E731" t="s">
        <v>446</v>
      </c>
      <c r="F731" t="s">
        <v>329</v>
      </c>
      <c r="G731" t="s">
        <v>319</v>
      </c>
      <c r="H731" s="502">
        <v>51154</v>
      </c>
      <c r="I731" s="415">
        <v>0</v>
      </c>
      <c r="J731" s="415">
        <v>0</v>
      </c>
      <c r="K731" s="415">
        <v>0</v>
      </c>
      <c r="L731" s="415">
        <v>0</v>
      </c>
      <c r="M731" s="415">
        <v>1781.47</v>
      </c>
      <c r="N731" s="415">
        <v>0</v>
      </c>
      <c r="O731" s="415">
        <v>0</v>
      </c>
      <c r="P731" s="415">
        <v>0</v>
      </c>
      <c r="Q731" s="481">
        <f t="shared" si="57"/>
        <v>0</v>
      </c>
    </row>
    <row r="732" spans="1:17" outlineLevel="2" x14ac:dyDescent="0.3">
      <c r="A732" s="366" t="str">
        <f>IFERROR(VLOOKUP(RIGHT(E732,3)+0,[1]SchLocTable!$A$2:$B$47,2,FALSE)," ")</f>
        <v>Dunbar</v>
      </c>
      <c r="B732" s="366" t="str">
        <f>VLOOKUP(VALUE(D732),$D$3:F$106,3,FALSE)</f>
        <v>School Clericals</v>
      </c>
      <c r="C732" t="s">
        <v>314</v>
      </c>
      <c r="D732">
        <v>804</v>
      </c>
      <c r="E732" t="s">
        <v>446</v>
      </c>
      <c r="F732" t="s">
        <v>418</v>
      </c>
      <c r="G732" t="s">
        <v>319</v>
      </c>
      <c r="H732" s="502">
        <v>51314</v>
      </c>
      <c r="I732" s="415">
        <v>0</v>
      </c>
      <c r="J732" s="415">
        <v>0</v>
      </c>
      <c r="K732" s="415">
        <v>0</v>
      </c>
      <c r="L732" s="415">
        <v>0</v>
      </c>
      <c r="M732" s="415">
        <v>4703.17</v>
      </c>
      <c r="N732" s="415">
        <v>0</v>
      </c>
      <c r="O732" s="415">
        <v>0</v>
      </c>
      <c r="P732" s="415">
        <v>0</v>
      </c>
      <c r="Q732" s="481">
        <f t="shared" si="57"/>
        <v>0</v>
      </c>
    </row>
    <row r="733" spans="1:17" outlineLevel="2" x14ac:dyDescent="0.3">
      <c r="A733" s="366" t="str">
        <f>IFERROR(VLOOKUP(RIGHT(E733,3)+0,[1]SchLocTable!$A$2:$B$47,2,FALSE)," ")</f>
        <v>Dunbar</v>
      </c>
      <c r="B733" s="366" t="str">
        <f>VLOOKUP(VALUE(D733),$D$3:F$106,3,FALSE)</f>
        <v>School Clericals</v>
      </c>
      <c r="C733" t="s">
        <v>314</v>
      </c>
      <c r="D733">
        <v>804</v>
      </c>
      <c r="E733" t="s">
        <v>446</v>
      </c>
      <c r="F733" t="s">
        <v>356</v>
      </c>
      <c r="G733" t="s">
        <v>319</v>
      </c>
      <c r="H733" s="502">
        <v>51156</v>
      </c>
      <c r="I733" s="415">
        <v>0</v>
      </c>
      <c r="J733" s="415">
        <v>0</v>
      </c>
      <c r="K733" s="415">
        <v>0</v>
      </c>
      <c r="L733" s="415">
        <v>999.42</v>
      </c>
      <c r="M733" s="415">
        <v>897.98</v>
      </c>
      <c r="N733" s="415">
        <v>854.43</v>
      </c>
      <c r="O733" s="415">
        <v>1768.67</v>
      </c>
      <c r="P733" s="415">
        <v>854.5</v>
      </c>
      <c r="Q733" s="481">
        <f t="shared" si="57"/>
        <v>0</v>
      </c>
    </row>
    <row r="734" spans="1:17" outlineLevel="2" x14ac:dyDescent="0.3">
      <c r="A734" s="366" t="str">
        <f>IFERROR(VLOOKUP(RIGHT(E734,3)+0,[1]SchLocTable!$A$2:$B$47,2,FALSE)," ")</f>
        <v>Curiale</v>
      </c>
      <c r="B734" s="366" t="str">
        <f>VLOOKUP(VALUE(D734),$D$3:F$106,3,FALSE)</f>
        <v>School Clericals</v>
      </c>
      <c r="C734" t="s">
        <v>314</v>
      </c>
      <c r="D734">
        <v>804</v>
      </c>
      <c r="E734" t="s">
        <v>447</v>
      </c>
      <c r="F734" t="s">
        <v>316</v>
      </c>
      <c r="G734">
        <v>2</v>
      </c>
      <c r="H734" s="502">
        <v>51000</v>
      </c>
      <c r="I734" s="415">
        <v>111478.41021199999</v>
      </c>
      <c r="J734" s="415">
        <v>100549</v>
      </c>
      <c r="K734" s="415">
        <v>100159.01</v>
      </c>
      <c r="L734" s="415">
        <v>99140.01</v>
      </c>
      <c r="M734" s="415">
        <v>96804.2</v>
      </c>
      <c r="N734" s="415">
        <v>95775.61</v>
      </c>
      <c r="O734" s="415">
        <v>96522</v>
      </c>
      <c r="P734" s="415">
        <v>92678.3</v>
      </c>
      <c r="Q734" s="481">
        <f t="shared" si="57"/>
        <v>-10929.410211999988</v>
      </c>
    </row>
    <row r="735" spans="1:17" outlineLevel="2" x14ac:dyDescent="0.3">
      <c r="A735" s="366" t="str">
        <f>IFERROR(VLOOKUP(RIGHT(E735,3)+0,[1]SchLocTable!$A$2:$B$47,2,FALSE)," ")</f>
        <v>Curiale</v>
      </c>
      <c r="B735" s="366" t="str">
        <f>VLOOKUP(VALUE(D735),$D$3:F$106,3,FALSE)</f>
        <v>School Clericals</v>
      </c>
      <c r="C735" t="s">
        <v>314</v>
      </c>
      <c r="D735">
        <v>804</v>
      </c>
      <c r="E735" t="s">
        <v>447</v>
      </c>
      <c r="F735" t="s">
        <v>321</v>
      </c>
      <c r="G735" t="s">
        <v>319</v>
      </c>
      <c r="H735" s="502">
        <v>52917</v>
      </c>
      <c r="I735" s="415">
        <v>67680.288</v>
      </c>
      <c r="J735" s="415">
        <v>56099</v>
      </c>
      <c r="K735" s="415">
        <v>51465.52</v>
      </c>
      <c r="L735" s="415">
        <v>50571.56</v>
      </c>
      <c r="M735" s="415">
        <v>37096.61</v>
      </c>
      <c r="N735" s="415">
        <v>32333.72</v>
      </c>
      <c r="O735" s="415">
        <v>30763.79</v>
      </c>
      <c r="P735" s="415">
        <v>29335.07</v>
      </c>
      <c r="Q735" s="481">
        <f t="shared" si="57"/>
        <v>-11581.288</v>
      </c>
    </row>
    <row r="736" spans="1:17" outlineLevel="2" x14ac:dyDescent="0.3">
      <c r="A736" s="366" t="str">
        <f>IFERROR(VLOOKUP(RIGHT(E736,3)+0,[1]SchLocTable!$A$2:$B$47,2,FALSE)," ")</f>
        <v>Curiale</v>
      </c>
      <c r="B736" s="366" t="str">
        <f>VLOOKUP(VALUE(D736),$D$3:F$106,3,FALSE)</f>
        <v>School Clericals</v>
      </c>
      <c r="C736" t="s">
        <v>314</v>
      </c>
      <c r="D736">
        <v>804</v>
      </c>
      <c r="E736" t="s">
        <v>447</v>
      </c>
      <c r="F736" t="s">
        <v>318</v>
      </c>
      <c r="G736" t="s">
        <v>319</v>
      </c>
      <c r="H736" s="502">
        <v>51140</v>
      </c>
      <c r="I736" s="415">
        <v>2240</v>
      </c>
      <c r="J736" s="415">
        <v>0</v>
      </c>
      <c r="K736" s="415">
        <v>2100</v>
      </c>
      <c r="L736" s="415">
        <v>1960</v>
      </c>
      <c r="M736" s="415">
        <v>1190</v>
      </c>
      <c r="N736" s="415">
        <v>1120</v>
      </c>
      <c r="O736" s="415">
        <v>1050</v>
      </c>
      <c r="P736" s="415">
        <v>980</v>
      </c>
      <c r="Q736" s="481">
        <f t="shared" si="57"/>
        <v>-2240</v>
      </c>
    </row>
    <row r="737" spans="1:17" outlineLevel="1" x14ac:dyDescent="0.3">
      <c r="A737" s="366" t="str">
        <f>IFERROR(VLOOKUP(RIGHT(E737,3)+0,[1]SchLocTable!$A$2:$B$47,2,FALSE)," ")</f>
        <v>Curiale</v>
      </c>
      <c r="B737" s="366" t="str">
        <f>VLOOKUP(VALUE(D737),$D$3:F$106,3,FALSE)</f>
        <v>School Clericals</v>
      </c>
      <c r="C737" t="s">
        <v>314</v>
      </c>
      <c r="D737">
        <v>804</v>
      </c>
      <c r="E737" t="s">
        <v>447</v>
      </c>
      <c r="F737" t="s">
        <v>320</v>
      </c>
      <c r="G737" t="s">
        <v>319</v>
      </c>
      <c r="H737" s="502">
        <v>52360</v>
      </c>
      <c r="I737" s="415">
        <v>1616.4369480740002</v>
      </c>
      <c r="J737" s="415">
        <v>1128</v>
      </c>
      <c r="K737" s="415">
        <v>1141.7</v>
      </c>
      <c r="L737" s="415">
        <v>1137.6600000000001</v>
      </c>
      <c r="M737" s="415">
        <v>1184.5999999999999</v>
      </c>
      <c r="N737" s="415">
        <v>1234.0899999999999</v>
      </c>
      <c r="O737" s="415">
        <v>1254.06</v>
      </c>
      <c r="P737" s="415">
        <v>1207.51</v>
      </c>
      <c r="Q737" s="481">
        <f t="shared" si="57"/>
        <v>-488.43694807400016</v>
      </c>
    </row>
    <row r="738" spans="1:17" outlineLevel="2" x14ac:dyDescent="0.3">
      <c r="A738" s="366" t="str">
        <f>IFERROR(VLOOKUP(RIGHT(E738,3)+0,[1]SchLocTable!$A$2:$B$47,2,FALSE)," ")</f>
        <v>Curiale</v>
      </c>
      <c r="B738" s="366" t="str">
        <f>VLOOKUP(VALUE(D738),$D$3:F$106,3,FALSE)</f>
        <v>School Clericals</v>
      </c>
      <c r="C738" t="s">
        <v>314</v>
      </c>
      <c r="D738">
        <v>804</v>
      </c>
      <c r="E738" t="s">
        <v>447</v>
      </c>
      <c r="F738" t="s">
        <v>392</v>
      </c>
      <c r="G738" t="s">
        <v>319</v>
      </c>
      <c r="H738" s="502">
        <v>52504</v>
      </c>
      <c r="I738" s="415">
        <v>23165.213642053597</v>
      </c>
      <c r="J738" s="415">
        <v>21359</v>
      </c>
      <c r="K738" s="415">
        <v>21059.35</v>
      </c>
      <c r="L738" s="415">
        <v>20618.36</v>
      </c>
      <c r="M738" s="415">
        <v>21124.639999999999</v>
      </c>
      <c r="N738" s="415">
        <v>18514.990000000002</v>
      </c>
      <c r="O738" s="415">
        <v>16068.5</v>
      </c>
      <c r="P738" s="415">
        <v>13381.46</v>
      </c>
      <c r="Q738" s="481">
        <f t="shared" si="57"/>
        <v>-1806.2136420535971</v>
      </c>
    </row>
    <row r="739" spans="1:17" outlineLevel="2" x14ac:dyDescent="0.3">
      <c r="A739" s="366" t="str">
        <f>IFERROR(VLOOKUP(RIGHT(E739,3)+0,[1]SchLocTable!$A$2:$B$47,2,FALSE)," ")</f>
        <v>Skane</v>
      </c>
      <c r="B739" s="366" t="str">
        <f>VLOOKUP(VALUE(D739),$D$3:F$106,3,FALSE)</f>
        <v>School Clericals</v>
      </c>
      <c r="C739" t="s">
        <v>314</v>
      </c>
      <c r="D739">
        <v>804</v>
      </c>
      <c r="E739" t="s">
        <v>448</v>
      </c>
      <c r="F739" t="s">
        <v>316</v>
      </c>
      <c r="G739">
        <v>2</v>
      </c>
      <c r="H739" s="502">
        <v>51000</v>
      </c>
      <c r="I739" s="415">
        <v>111478.41021199999</v>
      </c>
      <c r="J739" s="415">
        <v>100549</v>
      </c>
      <c r="K739" s="415">
        <v>100935.46</v>
      </c>
      <c r="L739" s="415">
        <v>99562.84</v>
      </c>
      <c r="M739" s="415">
        <v>97982.17</v>
      </c>
      <c r="N739" s="415">
        <v>96053.77</v>
      </c>
      <c r="O739" s="415">
        <v>95414.13</v>
      </c>
      <c r="P739" s="415">
        <v>89676.88</v>
      </c>
      <c r="Q739" s="481">
        <f t="shared" si="57"/>
        <v>-10929.410211999988</v>
      </c>
    </row>
    <row r="740" spans="1:17" outlineLevel="2" x14ac:dyDescent="0.3">
      <c r="A740" s="366" t="str">
        <f>IFERROR(VLOOKUP(RIGHT(E740,3)+0,[1]SchLocTable!$A$2:$B$47,2,FALSE)," ")</f>
        <v>Skane</v>
      </c>
      <c r="B740" s="366" t="str">
        <f>VLOOKUP(VALUE(D740),$D$3:F$106,3,FALSE)</f>
        <v>School Clericals</v>
      </c>
      <c r="C740" t="s">
        <v>314</v>
      </c>
      <c r="D740">
        <v>804</v>
      </c>
      <c r="E740" t="s">
        <v>448</v>
      </c>
      <c r="F740" t="s">
        <v>360</v>
      </c>
      <c r="G740" t="s">
        <v>319</v>
      </c>
      <c r="H740" s="502">
        <v>52920</v>
      </c>
      <c r="I740" s="415">
        <v>500</v>
      </c>
      <c r="J740" s="415">
        <v>500</v>
      </c>
      <c r="K740" s="415">
        <v>500</v>
      </c>
      <c r="L740" s="415">
        <v>500</v>
      </c>
      <c r="M740" s="415">
        <v>500</v>
      </c>
      <c r="N740" s="415">
        <v>500</v>
      </c>
      <c r="O740" s="415">
        <v>500</v>
      </c>
      <c r="P740" s="415">
        <v>500</v>
      </c>
      <c r="Q740" s="481">
        <f t="shared" si="57"/>
        <v>0</v>
      </c>
    </row>
    <row r="741" spans="1:17" outlineLevel="2" x14ac:dyDescent="0.3">
      <c r="A741" s="366" t="str">
        <f>IFERROR(VLOOKUP(RIGHT(E741,3)+0,[1]SchLocTable!$A$2:$B$47,2,FALSE)," ")</f>
        <v>Skane</v>
      </c>
      <c r="B741" s="366" t="str">
        <f>VLOOKUP(VALUE(D741),$D$3:F$106,3,FALSE)</f>
        <v>School Clericals</v>
      </c>
      <c r="C741" t="s">
        <v>314</v>
      </c>
      <c r="D741">
        <v>804</v>
      </c>
      <c r="E741" t="s">
        <v>448</v>
      </c>
      <c r="F741" t="s">
        <v>321</v>
      </c>
      <c r="G741" t="s">
        <v>319</v>
      </c>
      <c r="H741" s="502">
        <v>52917</v>
      </c>
      <c r="I741" s="415">
        <v>13316.16</v>
      </c>
      <c r="J741" s="415">
        <v>11039</v>
      </c>
      <c r="K741" s="415">
        <v>10266.4</v>
      </c>
      <c r="L741" s="415">
        <v>10222.16</v>
      </c>
      <c r="M741" s="415">
        <v>9782.68</v>
      </c>
      <c r="N741" s="415">
        <v>14900.67</v>
      </c>
      <c r="O741" s="415">
        <v>20524.349999999999</v>
      </c>
      <c r="P741" s="415">
        <v>19802.28</v>
      </c>
      <c r="Q741" s="481">
        <f t="shared" si="57"/>
        <v>-2277.16</v>
      </c>
    </row>
    <row r="742" spans="1:17" outlineLevel="2" x14ac:dyDescent="0.3">
      <c r="A742" s="366" t="str">
        <f>IFERROR(VLOOKUP(RIGHT(E742,3)+0,[1]SchLocTable!$A$2:$B$47,2,FALSE)," ")</f>
        <v>Skane</v>
      </c>
      <c r="B742" s="366" t="str">
        <f>VLOOKUP(VALUE(D742),$D$3:F$106,3,FALSE)</f>
        <v>School Clericals</v>
      </c>
      <c r="C742" t="s">
        <v>314</v>
      </c>
      <c r="D742">
        <v>804</v>
      </c>
      <c r="E742" t="s">
        <v>448</v>
      </c>
      <c r="F742" t="s">
        <v>318</v>
      </c>
      <c r="G742" t="s">
        <v>319</v>
      </c>
      <c r="H742" s="502">
        <v>51140</v>
      </c>
      <c r="I742" s="415">
        <v>1750</v>
      </c>
      <c r="J742" s="415">
        <v>0</v>
      </c>
      <c r="K742" s="415">
        <v>1610</v>
      </c>
      <c r="L742" s="415">
        <v>1470</v>
      </c>
      <c r="M742" s="415">
        <v>700</v>
      </c>
      <c r="N742" s="415">
        <v>0</v>
      </c>
      <c r="O742" s="415">
        <v>0</v>
      </c>
      <c r="P742" s="415">
        <v>0</v>
      </c>
      <c r="Q742" s="481">
        <f t="shared" si="57"/>
        <v>-1750</v>
      </c>
    </row>
    <row r="743" spans="1:17" outlineLevel="2" x14ac:dyDescent="0.3">
      <c r="A743" s="366" t="str">
        <f>IFERROR(VLOOKUP(RIGHT(E743,3)+0,[1]SchLocTable!$A$2:$B$47,2,FALSE)," ")</f>
        <v>Skane</v>
      </c>
      <c r="B743" s="366" t="str">
        <f>VLOOKUP(VALUE(D743),$D$3:F$106,3,FALSE)</f>
        <v>School Clericals</v>
      </c>
      <c r="C743" t="s">
        <v>314</v>
      </c>
      <c r="D743">
        <v>804</v>
      </c>
      <c r="E743" t="s">
        <v>448</v>
      </c>
      <c r="F743" t="s">
        <v>320</v>
      </c>
      <c r="G743" t="s">
        <v>319</v>
      </c>
      <c r="H743" s="502">
        <v>52360</v>
      </c>
      <c r="I743" s="415">
        <v>1623.6869480740002</v>
      </c>
      <c r="J743" s="415">
        <v>1393</v>
      </c>
      <c r="K743" s="415">
        <v>1414.35</v>
      </c>
      <c r="L743" s="415">
        <v>1396.74</v>
      </c>
      <c r="M743" s="415">
        <v>1383.34</v>
      </c>
      <c r="N743" s="415">
        <v>1297.73</v>
      </c>
      <c r="O743" s="415">
        <v>1266.1300000000001</v>
      </c>
      <c r="P743" s="415">
        <v>1181.53</v>
      </c>
      <c r="Q743" s="481">
        <f t="shared" si="57"/>
        <v>-230.68694807400016</v>
      </c>
    </row>
    <row r="744" spans="1:17" outlineLevel="2" x14ac:dyDescent="0.3">
      <c r="A744" s="366" t="str">
        <f>IFERROR(VLOOKUP(RIGHT(E744,3)+0,[1]SchLocTable!$A$2:$B$47,2,FALSE)," ")</f>
        <v>Skane</v>
      </c>
      <c r="B744" s="366" t="str">
        <f>VLOOKUP(VALUE(D744),$D$3:F$106,3,FALSE)</f>
        <v>School Clericals</v>
      </c>
      <c r="C744" t="s">
        <v>314</v>
      </c>
      <c r="D744">
        <v>804</v>
      </c>
      <c r="E744" t="s">
        <v>448</v>
      </c>
      <c r="F744" t="s">
        <v>392</v>
      </c>
      <c r="G744" t="s">
        <v>319</v>
      </c>
      <c r="H744" s="502">
        <v>52504</v>
      </c>
      <c r="I744" s="415">
        <v>23269.113642053599</v>
      </c>
      <c r="J744" s="415">
        <v>21258</v>
      </c>
      <c r="K744" s="415">
        <v>21118.32</v>
      </c>
      <c r="L744" s="415">
        <v>20604.64</v>
      </c>
      <c r="M744" s="415">
        <v>21273.13</v>
      </c>
      <c r="N744" s="415">
        <v>18354.87</v>
      </c>
      <c r="O744" s="415">
        <v>15714.97</v>
      </c>
      <c r="P744" s="415">
        <v>12813.55</v>
      </c>
      <c r="Q744" s="481">
        <f t="shared" si="57"/>
        <v>-2011.1136420535986</v>
      </c>
    </row>
    <row r="745" spans="1:17" outlineLevel="2" x14ac:dyDescent="0.3">
      <c r="A745" s="366" t="str">
        <f>IFERROR(VLOOKUP(RIGHT(E745,3)+0,[1]SchLocTable!$A$2:$B$47,2,FALSE)," ")</f>
        <v>Skane</v>
      </c>
      <c r="B745" s="366" t="str">
        <f>VLOOKUP(VALUE(D745),$D$3:F$106,3,FALSE)</f>
        <v>School Clericals</v>
      </c>
      <c r="C745" t="s">
        <v>314</v>
      </c>
      <c r="D745">
        <v>804</v>
      </c>
      <c r="E745" t="s">
        <v>448</v>
      </c>
      <c r="F745" t="s">
        <v>356</v>
      </c>
      <c r="G745" t="s">
        <v>319</v>
      </c>
      <c r="H745" s="502">
        <v>51156</v>
      </c>
      <c r="I745" s="415">
        <v>0</v>
      </c>
      <c r="J745" s="415">
        <v>0</v>
      </c>
      <c r="K745" s="415">
        <v>0</v>
      </c>
      <c r="L745" s="415">
        <v>0</v>
      </c>
      <c r="M745" s="415">
        <v>960.62</v>
      </c>
      <c r="N745" s="415">
        <v>0</v>
      </c>
      <c r="O745" s="415">
        <v>875.27</v>
      </c>
      <c r="P745" s="415">
        <v>0</v>
      </c>
      <c r="Q745" s="481">
        <f t="shared" si="57"/>
        <v>0</v>
      </c>
    </row>
    <row r="746" spans="1:17" outlineLevel="2" x14ac:dyDescent="0.3">
      <c r="A746" s="366" t="str">
        <f>IFERROR(VLOOKUP(RIGHT(E746,3)+0,[1]SchLocTable!$A$2:$B$47,2,FALSE)," ")</f>
        <v>High Horizons Magnet</v>
      </c>
      <c r="B746" s="366" t="str">
        <f>VLOOKUP(VALUE(D746),$D$3:F$106,3,FALSE)</f>
        <v>School Clericals</v>
      </c>
      <c r="C746" t="s">
        <v>314</v>
      </c>
      <c r="D746">
        <v>804</v>
      </c>
      <c r="E746" t="s">
        <v>449</v>
      </c>
      <c r="F746" t="s">
        <v>316</v>
      </c>
      <c r="G746">
        <v>1</v>
      </c>
      <c r="H746" s="502">
        <v>51000</v>
      </c>
      <c r="I746" s="415">
        <v>50570.379184000012</v>
      </c>
      <c r="J746" s="415">
        <v>45613</v>
      </c>
      <c r="K746" s="415">
        <v>50511.79</v>
      </c>
      <c r="L746" s="415">
        <v>51460.5</v>
      </c>
      <c r="M746" s="415">
        <v>50643.82</v>
      </c>
      <c r="N746" s="415">
        <v>49647.25</v>
      </c>
      <c r="O746" s="415">
        <v>50985.5</v>
      </c>
      <c r="P746" s="415">
        <v>47902.51</v>
      </c>
      <c r="Q746" s="481">
        <f t="shared" si="57"/>
        <v>-4957.3791840000122</v>
      </c>
    </row>
    <row r="747" spans="1:17" outlineLevel="2" x14ac:dyDescent="0.3">
      <c r="A747" s="366" t="str">
        <f>IFERROR(VLOOKUP(RIGHT(E747,3)+0,[1]SchLocTable!$A$2:$B$47,2,FALSE)," ")</f>
        <v>High Horizons Magnet</v>
      </c>
      <c r="B747" s="366" t="str">
        <f>VLOOKUP(VALUE(D747),$D$3:F$106,3,FALSE)</f>
        <v>School Clericals</v>
      </c>
      <c r="C747" t="s">
        <v>314</v>
      </c>
      <c r="D747">
        <v>804</v>
      </c>
      <c r="E747" t="s">
        <v>449</v>
      </c>
      <c r="F747" t="s">
        <v>360</v>
      </c>
      <c r="G747" t="s">
        <v>319</v>
      </c>
      <c r="H747" s="502">
        <v>52920</v>
      </c>
      <c r="I747" s="415">
        <v>500</v>
      </c>
      <c r="J747" s="415">
        <v>500</v>
      </c>
      <c r="K747" s="415">
        <v>500</v>
      </c>
      <c r="L747" s="415">
        <v>500</v>
      </c>
      <c r="M747" s="415">
        <v>500</v>
      </c>
      <c r="N747" s="415">
        <v>500</v>
      </c>
      <c r="O747" s="415">
        <v>500</v>
      </c>
      <c r="P747" s="415">
        <v>0</v>
      </c>
      <c r="Q747" s="481">
        <f t="shared" si="57"/>
        <v>0</v>
      </c>
    </row>
    <row r="748" spans="1:17" outlineLevel="2" x14ac:dyDescent="0.3">
      <c r="A748" s="366" t="str">
        <f>IFERROR(VLOOKUP(RIGHT(E748,3)+0,[1]SchLocTable!$A$2:$B$47,2,FALSE)," ")</f>
        <v>High Horizons Magnet</v>
      </c>
      <c r="B748" s="366" t="str">
        <f>VLOOKUP(VALUE(D748),$D$3:F$106,3,FALSE)</f>
        <v>School Clericals</v>
      </c>
      <c r="C748" t="s">
        <v>314</v>
      </c>
      <c r="D748">
        <v>804</v>
      </c>
      <c r="E748" t="s">
        <v>449</v>
      </c>
      <c r="F748" t="s">
        <v>321</v>
      </c>
      <c r="G748" t="s">
        <v>319</v>
      </c>
      <c r="H748" s="502">
        <v>52917</v>
      </c>
      <c r="I748" s="415">
        <v>0</v>
      </c>
      <c r="J748" s="415">
        <v>0</v>
      </c>
      <c r="K748" s="415">
        <v>0</v>
      </c>
      <c r="L748" s="415">
        <v>1346.96</v>
      </c>
      <c r="M748" s="415">
        <v>1471.52</v>
      </c>
      <c r="N748" s="415">
        <v>1471.52</v>
      </c>
      <c r="O748" s="415">
        <v>3290.95</v>
      </c>
      <c r="P748" s="415">
        <v>8895.34</v>
      </c>
      <c r="Q748" s="481">
        <f t="shared" si="57"/>
        <v>0</v>
      </c>
    </row>
    <row r="749" spans="1:17" outlineLevel="2" x14ac:dyDescent="0.3">
      <c r="A749" s="366" t="str">
        <f>IFERROR(VLOOKUP(RIGHT(E749,3)+0,[1]SchLocTable!$A$2:$B$47,2,FALSE)," ")</f>
        <v>High Horizons Magnet</v>
      </c>
      <c r="B749" s="366" t="str">
        <f>VLOOKUP(VALUE(D749),$D$3:F$106,3,FALSE)</f>
        <v>School Clericals</v>
      </c>
      <c r="C749" t="s">
        <v>314</v>
      </c>
      <c r="D749">
        <v>804</v>
      </c>
      <c r="E749" t="s">
        <v>449</v>
      </c>
      <c r="F749" t="s">
        <v>318</v>
      </c>
      <c r="G749" t="s">
        <v>319</v>
      </c>
      <c r="H749" s="502">
        <v>51140</v>
      </c>
      <c r="I749" s="415">
        <v>0</v>
      </c>
      <c r="J749" s="415">
        <v>0</v>
      </c>
      <c r="K749" s="415">
        <v>0</v>
      </c>
      <c r="L749" s="415">
        <v>700</v>
      </c>
      <c r="M749" s="415">
        <v>0</v>
      </c>
      <c r="N749" s="415">
        <v>0</v>
      </c>
      <c r="O749" s="415">
        <v>1500</v>
      </c>
      <c r="P749" s="415">
        <v>1800</v>
      </c>
      <c r="Q749" s="481">
        <f t="shared" si="57"/>
        <v>0</v>
      </c>
    </row>
    <row r="750" spans="1:17" outlineLevel="2" x14ac:dyDescent="0.3">
      <c r="A750" s="366" t="str">
        <f>IFERROR(VLOOKUP(RIGHT(E750,3)+0,[1]SchLocTable!$A$2:$B$47,2,FALSE)," ")</f>
        <v>High Horizons Magnet</v>
      </c>
      <c r="B750" s="366" t="str">
        <f>VLOOKUP(VALUE(D750),$D$3:F$106,3,FALSE)</f>
        <v>School Clericals</v>
      </c>
      <c r="C750" t="s">
        <v>314</v>
      </c>
      <c r="D750">
        <v>804</v>
      </c>
      <c r="E750" t="s">
        <v>449</v>
      </c>
      <c r="F750" t="s">
        <v>320</v>
      </c>
      <c r="G750" t="s">
        <v>319</v>
      </c>
      <c r="H750" s="502">
        <v>52360</v>
      </c>
      <c r="I750" s="415">
        <v>740.52049816800024</v>
      </c>
      <c r="J750" s="415">
        <v>661</v>
      </c>
      <c r="K750" s="415">
        <v>739.67</v>
      </c>
      <c r="L750" s="415">
        <v>778.06</v>
      </c>
      <c r="M750" s="415">
        <v>755.54</v>
      </c>
      <c r="N750" s="415">
        <v>727.13</v>
      </c>
      <c r="O750" s="415">
        <v>1152.04</v>
      </c>
      <c r="P750" s="415">
        <v>733.94</v>
      </c>
      <c r="Q750" s="481">
        <f t="shared" si="57"/>
        <v>-79.520498168000245</v>
      </c>
    </row>
    <row r="751" spans="1:17" outlineLevel="2" x14ac:dyDescent="0.3">
      <c r="A751" s="366" t="str">
        <f>IFERROR(VLOOKUP(RIGHT(E751,3)+0,[1]SchLocTable!$A$2:$B$47,2,FALSE)," ")</f>
        <v>High Horizons Magnet</v>
      </c>
      <c r="B751" s="366" t="str">
        <f>VLOOKUP(VALUE(D751),$D$3:F$106,3,FALSE)</f>
        <v>School Clericals</v>
      </c>
      <c r="C751" t="s">
        <v>314</v>
      </c>
      <c r="D751">
        <v>804</v>
      </c>
      <c r="E751" t="s">
        <v>449</v>
      </c>
      <c r="F751" t="s">
        <v>392</v>
      </c>
      <c r="G751" t="s">
        <v>319</v>
      </c>
      <c r="H751" s="502">
        <v>52504</v>
      </c>
      <c r="I751" s="415">
        <v>10612.424794435203</v>
      </c>
      <c r="J751" s="415">
        <v>9479</v>
      </c>
      <c r="K751" s="415">
        <v>9373.4</v>
      </c>
      <c r="L751" s="415">
        <v>10637.54</v>
      </c>
      <c r="M751" s="415">
        <v>10917.3</v>
      </c>
      <c r="N751" s="415">
        <v>9487.2099999999991</v>
      </c>
      <c r="O751" s="415">
        <v>8641.91</v>
      </c>
      <c r="P751" s="415">
        <v>7100.49</v>
      </c>
      <c r="Q751" s="481">
        <f t="shared" si="57"/>
        <v>-1133.4247944352028</v>
      </c>
    </row>
    <row r="752" spans="1:17" outlineLevel="2" x14ac:dyDescent="0.3">
      <c r="A752" s="366" t="str">
        <f>IFERROR(VLOOKUP(RIGHT(E752,3)+0,[1]SchLocTable!$A$2:$B$47,2,FALSE)," ")</f>
        <v>High Horizons Magnet</v>
      </c>
      <c r="B752" s="366" t="str">
        <f>VLOOKUP(VALUE(D752),$D$3:F$106,3,FALSE)</f>
        <v>School Clericals</v>
      </c>
      <c r="C752" t="s">
        <v>314</v>
      </c>
      <c r="D752">
        <v>804</v>
      </c>
      <c r="E752" t="s">
        <v>449</v>
      </c>
      <c r="F752" t="s">
        <v>356</v>
      </c>
      <c r="G752" t="s">
        <v>319</v>
      </c>
      <c r="H752" s="502">
        <v>51156</v>
      </c>
      <c r="I752" s="415">
        <v>0</v>
      </c>
      <c r="J752" s="415">
        <v>0</v>
      </c>
      <c r="K752" s="415">
        <v>0</v>
      </c>
      <c r="L752" s="415">
        <v>999.42</v>
      </c>
      <c r="M752" s="415">
        <v>960.62</v>
      </c>
      <c r="N752" s="415">
        <v>0</v>
      </c>
      <c r="O752" s="415">
        <v>854.5</v>
      </c>
      <c r="P752" s="415">
        <v>914.17</v>
      </c>
      <c r="Q752" s="481">
        <f t="shared" si="57"/>
        <v>0</v>
      </c>
    </row>
    <row r="753" spans="1:17" outlineLevel="2" x14ac:dyDescent="0.3">
      <c r="A753" s="366" t="str">
        <f>IFERROR(VLOOKUP(RIGHT(E753,3)+0,[1]SchLocTable!$A$2:$B$47,2,FALSE)," ")</f>
        <v>Multicultural Magnet</v>
      </c>
      <c r="B753" s="366" t="str">
        <f>VLOOKUP(VALUE(D753),$D$3:F$106,3,FALSE)</f>
        <v>School Clericals</v>
      </c>
      <c r="C753" t="s">
        <v>314</v>
      </c>
      <c r="D753">
        <v>804</v>
      </c>
      <c r="E753" t="s">
        <v>450</v>
      </c>
      <c r="F753" t="s">
        <v>316</v>
      </c>
      <c r="G753">
        <v>1</v>
      </c>
      <c r="H753" s="502">
        <v>51000</v>
      </c>
      <c r="I753" s="415">
        <v>57618.961607999998</v>
      </c>
      <c r="J753" s="415">
        <v>51970</v>
      </c>
      <c r="K753" s="415">
        <v>52169.71</v>
      </c>
      <c r="L753" s="415">
        <v>51460.5</v>
      </c>
      <c r="M753" s="415">
        <v>49298.95</v>
      </c>
      <c r="N753" s="415">
        <v>49647.26</v>
      </c>
      <c r="O753" s="415">
        <v>61509.98</v>
      </c>
      <c r="P753" s="415">
        <v>90775.37</v>
      </c>
      <c r="Q753" s="481">
        <f t="shared" si="57"/>
        <v>-5648.9616079999978</v>
      </c>
    </row>
    <row r="754" spans="1:17" outlineLevel="2" x14ac:dyDescent="0.3">
      <c r="A754" s="366" t="str">
        <f>IFERROR(VLOOKUP(RIGHT(E754,3)+0,[1]SchLocTable!$A$2:$B$47,2,FALSE)," ")</f>
        <v>Multicultural Magnet</v>
      </c>
      <c r="B754" s="366" t="str">
        <f>VLOOKUP(VALUE(D754),$D$3:F$106,3,FALSE)</f>
        <v>School Clericals</v>
      </c>
      <c r="C754" t="s">
        <v>314</v>
      </c>
      <c r="D754">
        <v>804</v>
      </c>
      <c r="E754" t="s">
        <v>450</v>
      </c>
      <c r="F754" t="s">
        <v>321</v>
      </c>
      <c r="G754" t="s">
        <v>319</v>
      </c>
      <c r="H754" s="502">
        <v>52917</v>
      </c>
      <c r="I754" s="415">
        <v>36951.407999999996</v>
      </c>
      <c r="J754" s="415">
        <v>30628</v>
      </c>
      <c r="K754" s="415">
        <v>27893.19</v>
      </c>
      <c r="L754" s="415">
        <v>27210.3</v>
      </c>
      <c r="M754" s="415">
        <v>25072.31</v>
      </c>
      <c r="N754" s="415">
        <v>23613.19</v>
      </c>
      <c r="O754" s="415">
        <v>22728.76</v>
      </c>
      <c r="P754" s="415">
        <v>22603.96</v>
      </c>
      <c r="Q754" s="481">
        <f t="shared" si="57"/>
        <v>-6323.4079999999958</v>
      </c>
    </row>
    <row r="755" spans="1:17" outlineLevel="2" x14ac:dyDescent="0.3">
      <c r="A755" s="366" t="str">
        <f>IFERROR(VLOOKUP(RIGHT(E755,3)+0,[1]SchLocTable!$A$2:$B$47,2,FALSE)," ")</f>
        <v>Multicultural Magnet</v>
      </c>
      <c r="B755" s="366" t="str">
        <f>VLOOKUP(VALUE(D755),$D$3:F$106,3,FALSE)</f>
        <v>School Clericals</v>
      </c>
      <c r="C755" t="s">
        <v>314</v>
      </c>
      <c r="D755">
        <v>804</v>
      </c>
      <c r="E755" t="s">
        <v>450</v>
      </c>
      <c r="F755" t="s">
        <v>318</v>
      </c>
      <c r="G755" t="s">
        <v>319</v>
      </c>
      <c r="H755" s="502">
        <v>51140</v>
      </c>
      <c r="I755" s="415">
        <v>1050</v>
      </c>
      <c r="J755" s="415">
        <v>0</v>
      </c>
      <c r="K755" s="415">
        <v>980</v>
      </c>
      <c r="L755" s="415">
        <v>910</v>
      </c>
      <c r="M755" s="415">
        <v>840</v>
      </c>
      <c r="N755" s="415">
        <v>770</v>
      </c>
      <c r="O755" s="415">
        <v>700</v>
      </c>
      <c r="P755" s="415">
        <v>0</v>
      </c>
      <c r="Q755" s="481">
        <f t="shared" si="57"/>
        <v>-1050</v>
      </c>
    </row>
    <row r="756" spans="1:17" outlineLevel="2" x14ac:dyDescent="0.3">
      <c r="A756" s="366" t="str">
        <f>IFERROR(VLOOKUP(RIGHT(E756,3)+0,[1]SchLocTable!$A$2:$B$47,2,FALSE)," ")</f>
        <v>Multicultural Magnet</v>
      </c>
      <c r="B756" s="366" t="str">
        <f>VLOOKUP(VALUE(D756),$D$3:F$106,3,FALSE)</f>
        <v>School Clericals</v>
      </c>
      <c r="C756" t="s">
        <v>314</v>
      </c>
      <c r="D756">
        <v>804</v>
      </c>
      <c r="E756" t="s">
        <v>450</v>
      </c>
      <c r="F756" t="s">
        <v>320</v>
      </c>
      <c r="G756" t="s">
        <v>319</v>
      </c>
      <c r="H756" s="502">
        <v>52360</v>
      </c>
      <c r="I756" s="415">
        <v>835.47494331600001</v>
      </c>
      <c r="J756" s="415">
        <v>625</v>
      </c>
      <c r="K756" s="415">
        <v>640.17999999999995</v>
      </c>
      <c r="L756" s="415">
        <v>632.53</v>
      </c>
      <c r="M756" s="415">
        <v>610.46</v>
      </c>
      <c r="N756" s="415">
        <v>621.64</v>
      </c>
      <c r="O756" s="415">
        <v>798.05</v>
      </c>
      <c r="P756" s="415">
        <v>1249.33</v>
      </c>
      <c r="Q756" s="481">
        <f t="shared" si="57"/>
        <v>-210.47494331600001</v>
      </c>
    </row>
    <row r="757" spans="1:17" outlineLevel="2" x14ac:dyDescent="0.3">
      <c r="A757" s="366" t="str">
        <f>IFERROR(VLOOKUP(RIGHT(E757,3)+0,[1]SchLocTable!$A$2:$B$47,2,FALSE)," ")</f>
        <v>Multicultural Magnet</v>
      </c>
      <c r="B757" s="366" t="str">
        <f>VLOOKUP(VALUE(D757),$D$3:F$106,3,FALSE)</f>
        <v>School Clericals</v>
      </c>
      <c r="C757" t="s">
        <v>314</v>
      </c>
      <c r="D757">
        <v>804</v>
      </c>
      <c r="E757" t="s">
        <v>450</v>
      </c>
      <c r="F757" t="s">
        <v>392</v>
      </c>
      <c r="G757" t="s">
        <v>319</v>
      </c>
      <c r="H757" s="502">
        <v>52504</v>
      </c>
      <c r="I757" s="415">
        <v>11973.2202221424</v>
      </c>
      <c r="J757" s="415">
        <v>11018</v>
      </c>
      <c r="K757" s="415">
        <v>10945.78</v>
      </c>
      <c r="L757" s="415">
        <v>10680.37</v>
      </c>
      <c r="M757" s="415">
        <v>10808.35</v>
      </c>
      <c r="N757" s="415">
        <v>9633.66</v>
      </c>
      <c r="O757" s="415">
        <v>10235.719999999999</v>
      </c>
      <c r="P757" s="415">
        <v>12970.01</v>
      </c>
      <c r="Q757" s="481">
        <f t="shared" si="57"/>
        <v>-955.22022214239951</v>
      </c>
    </row>
    <row r="758" spans="1:17" outlineLevel="2" x14ac:dyDescent="0.3">
      <c r="A758" s="366" t="str">
        <f>IFERROR(VLOOKUP(RIGHT(E758,3)+0,[1]SchLocTable!$A$2:$B$47,2,FALSE)," ")</f>
        <v>Bassick HS</v>
      </c>
      <c r="B758" s="366" t="str">
        <f>VLOOKUP(VALUE(D758),$D$3:F$106,3,FALSE)</f>
        <v>School Clericals</v>
      </c>
      <c r="C758" t="s">
        <v>314</v>
      </c>
      <c r="D758">
        <v>804</v>
      </c>
      <c r="E758" t="s">
        <v>451</v>
      </c>
      <c r="F758" t="s">
        <v>316</v>
      </c>
      <c r="G758">
        <v>4</v>
      </c>
      <c r="H758" s="502">
        <v>51000</v>
      </c>
      <c r="I758" s="415">
        <v>219197.30742</v>
      </c>
      <c r="J758" s="415">
        <v>202961.01</v>
      </c>
      <c r="K758" s="415">
        <v>246902.09</v>
      </c>
      <c r="L758" s="415">
        <v>243869.89</v>
      </c>
      <c r="M758" s="415">
        <v>239545.94</v>
      </c>
      <c r="N758" s="415">
        <v>231942.8</v>
      </c>
      <c r="O758" s="415">
        <v>233118.53</v>
      </c>
      <c r="P758" s="415">
        <v>233518.57</v>
      </c>
      <c r="Q758" s="481">
        <f t="shared" si="57"/>
        <v>-16236.297419999988</v>
      </c>
    </row>
    <row r="759" spans="1:17" outlineLevel="2" x14ac:dyDescent="0.3">
      <c r="A759" s="366" t="str">
        <f>IFERROR(VLOOKUP(RIGHT(E759,3)+0,[1]SchLocTable!$A$2:$B$47,2,FALSE)," ")</f>
        <v>Bassick HS</v>
      </c>
      <c r="B759" s="366" t="str">
        <f>VLOOKUP(VALUE(D759),$D$3:F$106,3,FALSE)</f>
        <v>School Clericals</v>
      </c>
      <c r="C759" t="s">
        <v>314</v>
      </c>
      <c r="D759">
        <v>804</v>
      </c>
      <c r="E759" t="s">
        <v>451</v>
      </c>
      <c r="F759" t="s">
        <v>360</v>
      </c>
      <c r="G759" t="s">
        <v>319</v>
      </c>
      <c r="H759" s="502">
        <v>52920</v>
      </c>
      <c r="I759" s="415">
        <v>500</v>
      </c>
      <c r="J759" s="415">
        <v>500</v>
      </c>
      <c r="K759" s="415">
        <v>500</v>
      </c>
      <c r="L759" s="415">
        <v>500</v>
      </c>
      <c r="M759" s="415">
        <v>500</v>
      </c>
      <c r="N759" s="415">
        <v>500</v>
      </c>
      <c r="O759" s="415">
        <v>500</v>
      </c>
      <c r="P759" s="415">
        <v>500</v>
      </c>
      <c r="Q759" s="481">
        <f t="shared" si="57"/>
        <v>0</v>
      </c>
    </row>
    <row r="760" spans="1:17" outlineLevel="2" x14ac:dyDescent="0.3">
      <c r="A760" s="366" t="str">
        <f>IFERROR(VLOOKUP(RIGHT(E760,3)+0,[1]SchLocTable!$A$2:$B$47,2,FALSE)," ")</f>
        <v>Bassick HS</v>
      </c>
      <c r="B760" s="366" t="str">
        <f>VLOOKUP(VALUE(D760),$D$3:F$106,3,FALSE)</f>
        <v>School Clericals</v>
      </c>
      <c r="C760" t="s">
        <v>314</v>
      </c>
      <c r="D760">
        <v>804</v>
      </c>
      <c r="E760" t="s">
        <v>451</v>
      </c>
      <c r="F760" t="s">
        <v>321</v>
      </c>
      <c r="G760" t="s">
        <v>319</v>
      </c>
      <c r="H760" s="502">
        <v>52917</v>
      </c>
      <c r="I760" s="415">
        <v>76348.895999999993</v>
      </c>
      <c r="J760" s="415">
        <v>63868.78</v>
      </c>
      <c r="K760" s="415">
        <v>69244.039999999994</v>
      </c>
      <c r="L760" s="415">
        <v>67649.66</v>
      </c>
      <c r="M760" s="415">
        <v>63601.01</v>
      </c>
      <c r="N760" s="415">
        <v>58818.43</v>
      </c>
      <c r="O760" s="415">
        <v>55783.73</v>
      </c>
      <c r="P760" s="415">
        <v>59402.95</v>
      </c>
      <c r="Q760" s="481">
        <f t="shared" si="57"/>
        <v>-12480.115999999995</v>
      </c>
    </row>
    <row r="761" spans="1:17" outlineLevel="2" x14ac:dyDescent="0.3">
      <c r="A761" s="366" t="str">
        <f>IFERROR(VLOOKUP(RIGHT(E761,3)+0,[1]SchLocTable!$A$2:$B$47,2,FALSE)," ")</f>
        <v>Bassick HS</v>
      </c>
      <c r="B761" s="366" t="str">
        <f>VLOOKUP(VALUE(D761),$D$3:F$106,3,FALSE)</f>
        <v>School Clericals</v>
      </c>
      <c r="C761" t="s">
        <v>314</v>
      </c>
      <c r="D761">
        <v>804</v>
      </c>
      <c r="E761" t="s">
        <v>451</v>
      </c>
      <c r="F761" t="s">
        <v>318</v>
      </c>
      <c r="G761" t="s">
        <v>319</v>
      </c>
      <c r="H761" s="502">
        <v>51140</v>
      </c>
      <c r="I761" s="415">
        <v>6720</v>
      </c>
      <c r="J761" s="415">
        <v>1350</v>
      </c>
      <c r="K761" s="415">
        <v>6960</v>
      </c>
      <c r="L761" s="415">
        <v>6070</v>
      </c>
      <c r="M761" s="415">
        <v>5580</v>
      </c>
      <c r="N761" s="415">
        <v>5370</v>
      </c>
      <c r="O761" s="415">
        <v>5860</v>
      </c>
      <c r="P761" s="415">
        <v>4950</v>
      </c>
      <c r="Q761" s="481">
        <f t="shared" si="57"/>
        <v>-5370</v>
      </c>
    </row>
    <row r="762" spans="1:17" outlineLevel="2" x14ac:dyDescent="0.3">
      <c r="A762" s="366" t="str">
        <f>IFERROR(VLOOKUP(RIGHT(E762,3)+0,[1]SchLocTable!$A$2:$B$47,2,FALSE)," ")</f>
        <v>Bassick HS</v>
      </c>
      <c r="B762" s="366" t="str">
        <f>VLOOKUP(VALUE(D762),$D$3:F$106,3,FALSE)</f>
        <v>School Clericals</v>
      </c>
      <c r="C762" t="s">
        <v>314</v>
      </c>
      <c r="D762">
        <v>804</v>
      </c>
      <c r="E762" t="s">
        <v>451</v>
      </c>
      <c r="F762" t="s">
        <v>320</v>
      </c>
      <c r="G762" t="s">
        <v>319</v>
      </c>
      <c r="H762" s="502">
        <v>52360</v>
      </c>
      <c r="I762" s="415">
        <v>3185.6109575900005</v>
      </c>
      <c r="J762" s="415">
        <v>3501</v>
      </c>
      <c r="K762" s="415">
        <v>3696.4</v>
      </c>
      <c r="L762" s="415">
        <v>3500.78</v>
      </c>
      <c r="M762" s="415">
        <v>3438.22</v>
      </c>
      <c r="N762" s="415">
        <v>3294.17</v>
      </c>
      <c r="O762" s="415">
        <v>3327.01</v>
      </c>
      <c r="P762" s="415">
        <v>3421.04</v>
      </c>
      <c r="Q762" s="481">
        <f t="shared" si="57"/>
        <v>315.38904240999955</v>
      </c>
    </row>
    <row r="763" spans="1:17" outlineLevel="2" x14ac:dyDescent="0.3">
      <c r="A763" s="366" t="str">
        <f>IFERROR(VLOOKUP(RIGHT(E763,3)+0,[1]SchLocTable!$A$2:$B$47,2,FALSE)," ")</f>
        <v>Bassick HS</v>
      </c>
      <c r="B763" s="366" t="str">
        <f>VLOOKUP(VALUE(D763),$D$3:F$106,3,FALSE)</f>
        <v>School Clericals</v>
      </c>
      <c r="C763" t="s">
        <v>314</v>
      </c>
      <c r="D763">
        <v>804</v>
      </c>
      <c r="E763" t="s">
        <v>451</v>
      </c>
      <c r="F763" t="s">
        <v>392</v>
      </c>
      <c r="G763" t="s">
        <v>319</v>
      </c>
      <c r="H763" s="502">
        <v>52504</v>
      </c>
      <c r="I763" s="415">
        <v>45653.100481876005</v>
      </c>
      <c r="J763" s="415">
        <v>45231.29</v>
      </c>
      <c r="K763" s="415">
        <v>54265.05</v>
      </c>
      <c r="L763" s="415">
        <v>51012.3</v>
      </c>
      <c r="M763" s="415">
        <v>52933.440000000002</v>
      </c>
      <c r="N763" s="415">
        <v>45342.68</v>
      </c>
      <c r="O763" s="415">
        <v>39353.14</v>
      </c>
      <c r="P763" s="415">
        <v>33784.089999999997</v>
      </c>
      <c r="Q763" s="481">
        <f t="shared" si="57"/>
        <v>-421.81048187600391</v>
      </c>
    </row>
    <row r="764" spans="1:17" outlineLevel="2" x14ac:dyDescent="0.3">
      <c r="A764" s="366" t="str">
        <f>IFERROR(VLOOKUP(RIGHT(E764,3)+0,[1]SchLocTable!$A$2:$B$47,2,FALSE)," ")</f>
        <v>Bassick HS</v>
      </c>
      <c r="B764" s="366" t="str">
        <f>VLOOKUP(VALUE(D764),$D$3:F$106,3,FALSE)</f>
        <v>School Clericals</v>
      </c>
      <c r="C764" t="s">
        <v>314</v>
      </c>
      <c r="D764">
        <v>804</v>
      </c>
      <c r="E764" t="s">
        <v>451</v>
      </c>
      <c r="F764" t="s">
        <v>419</v>
      </c>
      <c r="G764" t="s">
        <v>319</v>
      </c>
      <c r="H764" s="502">
        <v>51318</v>
      </c>
      <c r="I764" s="415">
        <v>0</v>
      </c>
      <c r="J764" s="415">
        <v>0</v>
      </c>
      <c r="K764" s="415">
        <v>0</v>
      </c>
      <c r="L764" s="415">
        <v>0</v>
      </c>
      <c r="M764" s="415">
        <v>0</v>
      </c>
      <c r="N764" s="415">
        <v>0</v>
      </c>
      <c r="O764" s="415">
        <v>0</v>
      </c>
      <c r="P764" s="415">
        <v>0</v>
      </c>
      <c r="Q764" s="481">
        <f t="shared" si="57"/>
        <v>0</v>
      </c>
    </row>
    <row r="765" spans="1:17" outlineLevel="2" x14ac:dyDescent="0.3">
      <c r="A765" s="366" t="str">
        <f>IFERROR(VLOOKUP(RIGHT(E765,3)+0,[1]SchLocTable!$A$2:$B$47,2,FALSE)," ")</f>
        <v>Bassick HS</v>
      </c>
      <c r="B765" s="366" t="str">
        <f>VLOOKUP(VALUE(D765),$D$3:F$106,3,FALSE)</f>
        <v>School Clericals</v>
      </c>
      <c r="C765" t="s">
        <v>314</v>
      </c>
      <c r="D765">
        <v>804</v>
      </c>
      <c r="E765" t="s">
        <v>451</v>
      </c>
      <c r="F765" t="s">
        <v>452</v>
      </c>
      <c r="G765" t="s">
        <v>319</v>
      </c>
      <c r="H765" s="502">
        <v>51108</v>
      </c>
      <c r="I765" s="415">
        <v>0</v>
      </c>
      <c r="J765" s="415">
        <v>0</v>
      </c>
      <c r="K765" s="415">
        <v>5954.44</v>
      </c>
      <c r="L765" s="415">
        <v>150.91</v>
      </c>
      <c r="M765" s="415">
        <v>252.38</v>
      </c>
      <c r="N765" s="415">
        <v>0</v>
      </c>
      <c r="O765" s="415">
        <v>0</v>
      </c>
      <c r="P765" s="415">
        <v>0</v>
      </c>
      <c r="Q765" s="481">
        <f t="shared" si="57"/>
        <v>0</v>
      </c>
    </row>
    <row r="766" spans="1:17" outlineLevel="2" x14ac:dyDescent="0.3">
      <c r="A766" s="366" t="str">
        <f>IFERROR(VLOOKUP(RIGHT(E766,3)+0,[1]SchLocTable!$A$2:$B$47,2,FALSE)," ")</f>
        <v>Bassick HS</v>
      </c>
      <c r="B766" s="366" t="str">
        <f>VLOOKUP(VALUE(D766),$D$3:F$106,3,FALSE)</f>
        <v>School Clericals</v>
      </c>
      <c r="C766" t="s">
        <v>314</v>
      </c>
      <c r="D766">
        <v>804</v>
      </c>
      <c r="E766" t="s">
        <v>451</v>
      </c>
      <c r="F766" t="s">
        <v>427</v>
      </c>
      <c r="G766" t="s">
        <v>319</v>
      </c>
      <c r="H766" s="502">
        <v>51106</v>
      </c>
      <c r="I766" s="415">
        <v>0</v>
      </c>
      <c r="J766" s="415">
        <v>0</v>
      </c>
      <c r="K766" s="415">
        <v>3682.07</v>
      </c>
      <c r="L766" s="415">
        <v>43.12</v>
      </c>
      <c r="M766" s="415">
        <v>168.25</v>
      </c>
      <c r="N766" s="415">
        <v>0</v>
      </c>
      <c r="O766" s="415">
        <v>0</v>
      </c>
      <c r="P766" s="415">
        <v>0</v>
      </c>
      <c r="Q766" s="481">
        <f t="shared" si="57"/>
        <v>0</v>
      </c>
    </row>
    <row r="767" spans="1:17" outlineLevel="2" x14ac:dyDescent="0.3">
      <c r="A767" s="366" t="str">
        <f>IFERROR(VLOOKUP(RIGHT(E767,3)+0,[1]SchLocTable!$A$2:$B$47,2,FALSE)," ")</f>
        <v>Bassick HS</v>
      </c>
      <c r="B767" s="366" t="str">
        <f>VLOOKUP(VALUE(D767),$D$3:F$106,3,FALSE)</f>
        <v>School Clericals</v>
      </c>
      <c r="C767" t="s">
        <v>314</v>
      </c>
      <c r="D767">
        <v>804</v>
      </c>
      <c r="E767" t="s">
        <v>451</v>
      </c>
      <c r="F767" t="s">
        <v>329</v>
      </c>
      <c r="G767" t="s">
        <v>319</v>
      </c>
      <c r="H767" s="502">
        <v>51154</v>
      </c>
      <c r="I767" s="415">
        <v>20760.237099999998</v>
      </c>
      <c r="J767" s="415">
        <v>0</v>
      </c>
      <c r="K767" s="415">
        <v>0</v>
      </c>
      <c r="L767" s="415">
        <v>0</v>
      </c>
      <c r="M767" s="415">
        <v>0</v>
      </c>
      <c r="N767" s="415">
        <v>0</v>
      </c>
      <c r="O767" s="415">
        <v>0</v>
      </c>
      <c r="P767" s="415">
        <v>0</v>
      </c>
      <c r="Q767" s="481">
        <f t="shared" ref="Q767:Q830" si="58">J767-I767</f>
        <v>-20760.237099999998</v>
      </c>
    </row>
    <row r="768" spans="1:17" outlineLevel="2" x14ac:dyDescent="0.3">
      <c r="A768" s="366" t="str">
        <f>IFERROR(VLOOKUP(RIGHT(E768,3)+0,[1]SchLocTable!$A$2:$B$47,2,FALSE)," ")</f>
        <v>Bassick HS</v>
      </c>
      <c r="B768" s="366" t="str">
        <f>VLOOKUP(VALUE(D768),$D$3:F$106,3,FALSE)</f>
        <v>School Clericals</v>
      </c>
      <c r="C768" t="s">
        <v>314</v>
      </c>
      <c r="D768">
        <v>804</v>
      </c>
      <c r="E768" t="s">
        <v>451</v>
      </c>
      <c r="F768" t="s">
        <v>418</v>
      </c>
      <c r="G768" t="s">
        <v>319</v>
      </c>
      <c r="H768" s="502">
        <v>51314</v>
      </c>
      <c r="I768" s="415">
        <v>4811.1815000000006</v>
      </c>
      <c r="J768" s="415">
        <v>0</v>
      </c>
      <c r="K768" s="415">
        <v>0</v>
      </c>
      <c r="L768" s="415">
        <v>0</v>
      </c>
      <c r="M768" s="415">
        <v>0</v>
      </c>
      <c r="N768" s="415">
        <v>0</v>
      </c>
      <c r="O768" s="415">
        <v>0</v>
      </c>
      <c r="P768" s="415">
        <v>0</v>
      </c>
      <c r="Q768" s="481">
        <f t="shared" si="58"/>
        <v>-4811.1815000000006</v>
      </c>
    </row>
    <row r="769" spans="1:17" outlineLevel="2" x14ac:dyDescent="0.3">
      <c r="A769" s="366" t="str">
        <f>IFERROR(VLOOKUP(RIGHT(E769,3)+0,[1]SchLocTable!$A$2:$B$47,2,FALSE)," ")</f>
        <v>Bassick HS</v>
      </c>
      <c r="B769" s="366" t="str">
        <f>VLOOKUP(VALUE(D769),$D$3:F$106,3,FALSE)</f>
        <v>School Clericals</v>
      </c>
      <c r="C769" t="s">
        <v>314</v>
      </c>
      <c r="D769">
        <v>804</v>
      </c>
      <c r="E769" t="s">
        <v>451</v>
      </c>
      <c r="F769" t="s">
        <v>356</v>
      </c>
      <c r="G769" t="s">
        <v>319</v>
      </c>
      <c r="H769" s="502">
        <v>51156</v>
      </c>
      <c r="I769" s="415">
        <v>0</v>
      </c>
      <c r="J769" s="415">
        <v>0</v>
      </c>
      <c r="K769" s="415">
        <v>1933.63</v>
      </c>
      <c r="L769" s="415">
        <v>1895.71</v>
      </c>
      <c r="M769" s="415">
        <v>1858.68</v>
      </c>
      <c r="N769" s="415">
        <v>1708.86</v>
      </c>
      <c r="O769" s="415">
        <v>1709</v>
      </c>
      <c r="P769" s="415">
        <v>1709</v>
      </c>
      <c r="Q769" s="481">
        <f t="shared" si="58"/>
        <v>0</v>
      </c>
    </row>
    <row r="770" spans="1:17" outlineLevel="2" x14ac:dyDescent="0.3">
      <c r="A770" s="366" t="str">
        <f>IFERROR(VLOOKUP(RIGHT(E770,3)+0,[1]SchLocTable!$A$2:$B$47,2,FALSE)," ")</f>
        <v>Central HS</v>
      </c>
      <c r="B770" s="366" t="str">
        <f>VLOOKUP(VALUE(D770),$D$3:F$106,3,FALSE)</f>
        <v>School Clericals</v>
      </c>
      <c r="C770" t="s">
        <v>314</v>
      </c>
      <c r="D770">
        <v>804</v>
      </c>
      <c r="E770" t="s">
        <v>453</v>
      </c>
      <c r="F770" t="s">
        <v>316</v>
      </c>
      <c r="G770">
        <v>5</v>
      </c>
      <c r="H770" s="502">
        <v>51000</v>
      </c>
      <c r="I770" s="415">
        <v>272366.08027199999</v>
      </c>
      <c r="J770" s="415">
        <v>252191.05</v>
      </c>
      <c r="K770" s="415">
        <v>285314.14</v>
      </c>
      <c r="L770" s="415">
        <v>283397.05</v>
      </c>
      <c r="M770" s="415">
        <v>273391.5</v>
      </c>
      <c r="N770" s="415">
        <v>260181.38</v>
      </c>
      <c r="O770" s="415">
        <v>220598.04</v>
      </c>
      <c r="P770" s="415">
        <v>274240.09000000003</v>
      </c>
      <c r="Q770" s="481">
        <f t="shared" si="58"/>
        <v>-20175.030272000004</v>
      </c>
    </row>
    <row r="771" spans="1:17" outlineLevel="2" x14ac:dyDescent="0.3">
      <c r="A771" s="366" t="str">
        <f>IFERROR(VLOOKUP(RIGHT(E771,3)+0,[1]SchLocTable!$A$2:$B$47,2,FALSE)," ")</f>
        <v>Central HS</v>
      </c>
      <c r="B771" s="366" t="str">
        <f>VLOOKUP(VALUE(D771),$D$3:F$106,3,FALSE)</f>
        <v>School Clericals</v>
      </c>
      <c r="C771" t="s">
        <v>314</v>
      </c>
      <c r="D771">
        <v>804</v>
      </c>
      <c r="E771" t="s">
        <v>453</v>
      </c>
      <c r="F771" t="s">
        <v>360</v>
      </c>
      <c r="G771" t="s">
        <v>319</v>
      </c>
      <c r="H771" s="502">
        <v>52920</v>
      </c>
      <c r="I771" s="415">
        <v>500</v>
      </c>
      <c r="J771" s="415">
        <v>500</v>
      </c>
      <c r="K771" s="415">
        <v>500</v>
      </c>
      <c r="L771" s="415">
        <v>500</v>
      </c>
      <c r="M771" s="415">
        <v>500</v>
      </c>
      <c r="N771" s="415">
        <v>250</v>
      </c>
      <c r="O771" s="415">
        <v>0</v>
      </c>
      <c r="P771" s="415">
        <v>0</v>
      </c>
      <c r="Q771" s="481">
        <f t="shared" si="58"/>
        <v>0</v>
      </c>
    </row>
    <row r="772" spans="1:17" outlineLevel="2" x14ac:dyDescent="0.3">
      <c r="A772" s="366" t="str">
        <f>IFERROR(VLOOKUP(RIGHT(E772,3)+0,[1]SchLocTable!$A$2:$B$47,2,FALSE)," ")</f>
        <v>Central HS</v>
      </c>
      <c r="B772" s="366" t="str">
        <f>VLOOKUP(VALUE(D772),$D$3:F$106,3,FALSE)</f>
        <v>School Clericals</v>
      </c>
      <c r="C772" t="s">
        <v>314</v>
      </c>
      <c r="D772">
        <v>804</v>
      </c>
      <c r="E772" t="s">
        <v>453</v>
      </c>
      <c r="F772" t="s">
        <v>321</v>
      </c>
      <c r="G772" t="s">
        <v>319</v>
      </c>
      <c r="H772" s="502">
        <v>52917</v>
      </c>
      <c r="I772" s="415">
        <v>59465.327999999994</v>
      </c>
      <c r="J772" s="415">
        <v>74541.600000000006</v>
      </c>
      <c r="K772" s="415">
        <v>73720.600000000006</v>
      </c>
      <c r="L772" s="415">
        <v>84812.43</v>
      </c>
      <c r="M772" s="415">
        <v>83290.22</v>
      </c>
      <c r="N772" s="415">
        <v>80986.720000000001</v>
      </c>
      <c r="O772" s="415">
        <v>84329.96</v>
      </c>
      <c r="P772" s="415">
        <v>77600.83</v>
      </c>
      <c r="Q772" s="481">
        <f t="shared" si="58"/>
        <v>15076.272000000012</v>
      </c>
    </row>
    <row r="773" spans="1:17" outlineLevel="2" x14ac:dyDescent="0.3">
      <c r="A773" s="366" t="str">
        <f>IFERROR(VLOOKUP(RIGHT(E773,3)+0,[1]SchLocTable!$A$2:$B$47,2,FALSE)," ")</f>
        <v>Central HS</v>
      </c>
      <c r="B773" s="366" t="str">
        <f>VLOOKUP(VALUE(D773),$D$3:F$106,3,FALSE)</f>
        <v>School Clericals</v>
      </c>
      <c r="C773" t="s">
        <v>314</v>
      </c>
      <c r="D773">
        <v>804</v>
      </c>
      <c r="E773" t="s">
        <v>453</v>
      </c>
      <c r="F773" t="s">
        <v>318</v>
      </c>
      <c r="G773" t="s">
        <v>319</v>
      </c>
      <c r="H773" s="502">
        <v>51140</v>
      </c>
      <c r="I773" s="415">
        <v>6432.5</v>
      </c>
      <c r="J773" s="415">
        <v>1462.5</v>
      </c>
      <c r="K773" s="415">
        <v>5935</v>
      </c>
      <c r="L773" s="415">
        <v>5650</v>
      </c>
      <c r="M773" s="415">
        <v>5645</v>
      </c>
      <c r="N773" s="415">
        <v>5360</v>
      </c>
      <c r="O773" s="415">
        <v>8225</v>
      </c>
      <c r="P773" s="415">
        <v>6590</v>
      </c>
      <c r="Q773" s="481">
        <f t="shared" si="58"/>
        <v>-4970</v>
      </c>
    </row>
    <row r="774" spans="1:17" outlineLevel="2" x14ac:dyDescent="0.3">
      <c r="A774" s="366" t="str">
        <f>IFERROR(VLOOKUP(RIGHT(E774,3)+0,[1]SchLocTable!$A$2:$B$47,2,FALSE)," ")</f>
        <v>Central HS</v>
      </c>
      <c r="B774" s="366" t="str">
        <f>VLOOKUP(VALUE(D774),$D$3:F$106,3,FALSE)</f>
        <v>School Clericals</v>
      </c>
      <c r="C774" t="s">
        <v>314</v>
      </c>
      <c r="D774">
        <v>804</v>
      </c>
      <c r="E774" t="s">
        <v>453</v>
      </c>
      <c r="F774" t="s">
        <v>320</v>
      </c>
      <c r="G774" t="s">
        <v>319</v>
      </c>
      <c r="H774" s="502">
        <v>52360</v>
      </c>
      <c r="I774" s="415">
        <v>3956.5581639440006</v>
      </c>
      <c r="J774" s="415">
        <v>3955</v>
      </c>
      <c r="K774" s="415">
        <v>3868.36</v>
      </c>
      <c r="L774" s="415">
        <v>3860.92</v>
      </c>
      <c r="M774" s="415">
        <v>3676.33</v>
      </c>
      <c r="N774" s="415">
        <v>3530.71</v>
      </c>
      <c r="O774" s="415">
        <v>3134.78</v>
      </c>
      <c r="P774" s="415">
        <v>3794.96</v>
      </c>
      <c r="Q774" s="481">
        <f t="shared" si="58"/>
        <v>-1.5581639440006256</v>
      </c>
    </row>
    <row r="775" spans="1:17" outlineLevel="2" x14ac:dyDescent="0.3">
      <c r="A775" s="366" t="str">
        <f>IFERROR(VLOOKUP(RIGHT(E775,3)+0,[1]SchLocTable!$A$2:$B$47,2,FALSE)," ")</f>
        <v>Central HS</v>
      </c>
      <c r="B775" s="366" t="str">
        <f>VLOOKUP(VALUE(D775),$D$3:F$106,3,FALSE)</f>
        <v>School Clericals</v>
      </c>
      <c r="C775" t="s">
        <v>314</v>
      </c>
      <c r="D775">
        <v>804</v>
      </c>
      <c r="E775" t="s">
        <v>453</v>
      </c>
      <c r="F775" t="s">
        <v>392</v>
      </c>
      <c r="G775" t="s">
        <v>319</v>
      </c>
      <c r="H775" s="502">
        <v>52504</v>
      </c>
      <c r="I775" s="415">
        <v>56701.571480521598</v>
      </c>
      <c r="J775" s="415">
        <v>52709.26</v>
      </c>
      <c r="K775" s="415">
        <v>59980.17</v>
      </c>
      <c r="L775" s="415">
        <v>66871.73</v>
      </c>
      <c r="M775" s="415">
        <v>60163.23</v>
      </c>
      <c r="N775" s="415">
        <v>47104.99</v>
      </c>
      <c r="O775" s="415">
        <v>37555.279999999999</v>
      </c>
      <c r="P775" s="415">
        <v>40121.32</v>
      </c>
      <c r="Q775" s="481">
        <f t="shared" si="58"/>
        <v>-3992.3114805215955</v>
      </c>
    </row>
    <row r="776" spans="1:17" outlineLevel="2" x14ac:dyDescent="0.3">
      <c r="A776" s="366" t="str">
        <f>IFERROR(VLOOKUP(RIGHT(E776,3)+0,[1]SchLocTable!$A$2:$B$47,2,FALSE)," ")</f>
        <v>Central HS</v>
      </c>
      <c r="B776" s="366" t="str">
        <f>VLOOKUP(VALUE(D776),$D$3:F$106,3,FALSE)</f>
        <v>School Clericals</v>
      </c>
      <c r="C776" t="s">
        <v>314</v>
      </c>
      <c r="D776">
        <v>804</v>
      </c>
      <c r="E776" t="s">
        <v>453</v>
      </c>
      <c r="F776" t="s">
        <v>329</v>
      </c>
      <c r="G776" t="s">
        <v>319</v>
      </c>
      <c r="H776" s="502">
        <v>51154</v>
      </c>
      <c r="I776" s="415">
        <v>23092.981100000001</v>
      </c>
      <c r="J776" s="415">
        <v>0</v>
      </c>
      <c r="K776" s="415">
        <v>0</v>
      </c>
      <c r="L776" s="415">
        <v>0</v>
      </c>
      <c r="M776" s="415">
        <v>0</v>
      </c>
      <c r="N776" s="415">
        <v>0</v>
      </c>
      <c r="O776" s="415">
        <v>1647.99</v>
      </c>
      <c r="P776" s="415">
        <v>0</v>
      </c>
      <c r="Q776" s="481">
        <f t="shared" si="58"/>
        <v>-23092.981100000001</v>
      </c>
    </row>
    <row r="777" spans="1:17" outlineLevel="2" x14ac:dyDescent="0.3">
      <c r="A777" s="366" t="str">
        <f>IFERROR(VLOOKUP(RIGHT(E777,3)+0,[1]SchLocTable!$A$2:$B$47,2,FALSE)," ")</f>
        <v>Central HS</v>
      </c>
      <c r="B777" s="366" t="str">
        <f>VLOOKUP(VALUE(D777),$D$3:F$106,3,FALSE)</f>
        <v>School Clericals</v>
      </c>
      <c r="C777" t="s">
        <v>314</v>
      </c>
      <c r="D777">
        <v>804</v>
      </c>
      <c r="E777" t="s">
        <v>453</v>
      </c>
      <c r="F777" t="s">
        <v>418</v>
      </c>
      <c r="G777" t="s">
        <v>319</v>
      </c>
      <c r="H777" s="502">
        <v>51314</v>
      </c>
      <c r="I777" s="415">
        <v>5752.0453000000007</v>
      </c>
      <c r="J777" s="415">
        <v>0</v>
      </c>
      <c r="K777" s="415">
        <v>0</v>
      </c>
      <c r="L777" s="415">
        <v>0</v>
      </c>
      <c r="M777" s="415">
        <v>0</v>
      </c>
      <c r="N777" s="415">
        <v>0</v>
      </c>
      <c r="O777" s="415">
        <v>3955.52</v>
      </c>
      <c r="P777" s="415">
        <v>0</v>
      </c>
      <c r="Q777" s="481">
        <f t="shared" si="58"/>
        <v>-5752.0453000000007</v>
      </c>
    </row>
    <row r="778" spans="1:17" outlineLevel="2" x14ac:dyDescent="0.3">
      <c r="A778" s="366" t="str">
        <f>IFERROR(VLOOKUP(RIGHT(E778,3)+0,[1]SchLocTable!$A$2:$B$47,2,FALSE)," ")</f>
        <v>Central HS</v>
      </c>
      <c r="B778" s="366" t="str">
        <f>VLOOKUP(VALUE(D778),$D$3:F$106,3,FALSE)</f>
        <v>School Clericals</v>
      </c>
      <c r="C778" t="s">
        <v>314</v>
      </c>
      <c r="D778">
        <v>804</v>
      </c>
      <c r="E778" t="s">
        <v>453</v>
      </c>
      <c r="F778" t="s">
        <v>356</v>
      </c>
      <c r="G778" t="s">
        <v>319</v>
      </c>
      <c r="H778" s="502">
        <v>51156</v>
      </c>
      <c r="I778" s="415">
        <v>0</v>
      </c>
      <c r="J778" s="415">
        <v>0</v>
      </c>
      <c r="K778" s="415">
        <v>999.42</v>
      </c>
      <c r="L778" s="415">
        <v>1959.66</v>
      </c>
      <c r="M778" s="415">
        <v>1924.97</v>
      </c>
      <c r="N778" s="415">
        <v>1841.31</v>
      </c>
      <c r="O778" s="415">
        <v>2663.4</v>
      </c>
      <c r="P778" s="415">
        <v>914.17</v>
      </c>
      <c r="Q778" s="481">
        <f t="shared" si="58"/>
        <v>0</v>
      </c>
    </row>
    <row r="779" spans="1:17" outlineLevel="2" x14ac:dyDescent="0.3">
      <c r="A779" s="366" t="str">
        <f>IFERROR(VLOOKUP(RIGHT(E779,3)+0,[1]SchLocTable!$A$2:$B$47,2,FALSE)," ")</f>
        <v>Harding HS</v>
      </c>
      <c r="B779" s="366" t="str">
        <f>VLOOKUP(VALUE(D779),$D$3:F$106,3,FALSE)</f>
        <v>School Clericals</v>
      </c>
      <c r="C779" t="s">
        <v>314</v>
      </c>
      <c r="D779">
        <v>804</v>
      </c>
      <c r="E779" t="s">
        <v>454</v>
      </c>
      <c r="F779" t="s">
        <v>316</v>
      </c>
      <c r="G779">
        <v>4</v>
      </c>
      <c r="H779" s="502">
        <v>51000</v>
      </c>
      <c r="I779" s="415">
        <v>245170.86666800003</v>
      </c>
      <c r="J779" s="415">
        <v>227010.69</v>
      </c>
      <c r="K779" s="415">
        <v>295683.23</v>
      </c>
      <c r="L779" s="415">
        <v>297255.28000000003</v>
      </c>
      <c r="M779" s="415">
        <v>234251.68</v>
      </c>
      <c r="N779" s="415">
        <v>221449.72</v>
      </c>
      <c r="O779" s="415">
        <v>231717.54</v>
      </c>
      <c r="P779" s="415">
        <v>258730.9</v>
      </c>
      <c r="Q779" s="481">
        <f t="shared" si="58"/>
        <v>-18160.176668000029</v>
      </c>
    </row>
    <row r="780" spans="1:17" outlineLevel="2" x14ac:dyDescent="0.3">
      <c r="A780" s="366" t="str">
        <f>IFERROR(VLOOKUP(RIGHT(E780,3)+0,[1]SchLocTable!$A$2:$B$47,2,FALSE)," ")</f>
        <v>Harding HS</v>
      </c>
      <c r="B780" s="366" t="str">
        <f>VLOOKUP(VALUE(D780),$D$3:F$106,3,FALSE)</f>
        <v>School Clericals</v>
      </c>
      <c r="C780" t="s">
        <v>314</v>
      </c>
      <c r="D780">
        <v>804</v>
      </c>
      <c r="E780" t="s">
        <v>454</v>
      </c>
      <c r="F780" t="s">
        <v>360</v>
      </c>
      <c r="G780" t="s">
        <v>319</v>
      </c>
      <c r="H780" s="502">
        <v>52920</v>
      </c>
      <c r="I780" s="415">
        <v>0</v>
      </c>
      <c r="J780" s="415">
        <v>500</v>
      </c>
      <c r="K780" s="415">
        <v>500</v>
      </c>
      <c r="L780" s="415">
        <v>666.68</v>
      </c>
      <c r="M780" s="415">
        <v>916.68</v>
      </c>
      <c r="N780" s="415">
        <v>500</v>
      </c>
      <c r="O780" s="415">
        <v>333.34</v>
      </c>
      <c r="P780" s="415">
        <v>0</v>
      </c>
      <c r="Q780" s="481">
        <f t="shared" si="58"/>
        <v>500</v>
      </c>
    </row>
    <row r="781" spans="1:17" outlineLevel="2" x14ac:dyDescent="0.3">
      <c r="A781" s="366" t="str">
        <f>IFERROR(VLOOKUP(RIGHT(E781,3)+0,[1]SchLocTable!$A$2:$B$47,2,FALSE)," ")</f>
        <v>Harding HS</v>
      </c>
      <c r="B781" s="366" t="str">
        <f>VLOOKUP(VALUE(D781),$D$3:F$106,3,FALSE)</f>
        <v>School Clericals</v>
      </c>
      <c r="C781" t="s">
        <v>314</v>
      </c>
      <c r="D781">
        <v>804</v>
      </c>
      <c r="E781" t="s">
        <v>454</v>
      </c>
      <c r="F781" t="s">
        <v>321</v>
      </c>
      <c r="G781" t="s">
        <v>319</v>
      </c>
      <c r="H781" s="502">
        <v>52917</v>
      </c>
      <c r="I781" s="415">
        <v>80462.928</v>
      </c>
      <c r="J781" s="415">
        <v>67310.33</v>
      </c>
      <c r="K781" s="415">
        <v>71192.899999999994</v>
      </c>
      <c r="L781" s="415">
        <v>75082.23</v>
      </c>
      <c r="M781" s="415">
        <v>53172.92</v>
      </c>
      <c r="N781" s="415">
        <v>50627.14</v>
      </c>
      <c r="O781" s="415">
        <v>56353.22</v>
      </c>
      <c r="P781" s="415">
        <v>65049.84</v>
      </c>
      <c r="Q781" s="481">
        <f t="shared" si="58"/>
        <v>-13152.597999999998</v>
      </c>
    </row>
    <row r="782" spans="1:17" outlineLevel="2" x14ac:dyDescent="0.3">
      <c r="A782" s="366" t="str">
        <f>IFERROR(VLOOKUP(RIGHT(E782,3)+0,[1]SchLocTable!$A$2:$B$47,2,FALSE)," ")</f>
        <v>Harding HS</v>
      </c>
      <c r="B782" s="366" t="str">
        <f>VLOOKUP(VALUE(D782),$D$3:F$106,3,FALSE)</f>
        <v>School Clericals</v>
      </c>
      <c r="C782" t="s">
        <v>314</v>
      </c>
      <c r="D782">
        <v>804</v>
      </c>
      <c r="E782" t="s">
        <v>454</v>
      </c>
      <c r="F782" t="s">
        <v>318</v>
      </c>
      <c r="G782" t="s">
        <v>319</v>
      </c>
      <c r="H782" s="502">
        <v>51140</v>
      </c>
      <c r="I782" s="415">
        <v>5400</v>
      </c>
      <c r="J782" s="415">
        <v>0</v>
      </c>
      <c r="K782" s="415">
        <v>5400</v>
      </c>
      <c r="L782" s="415">
        <v>5400</v>
      </c>
      <c r="M782" s="415">
        <v>5210</v>
      </c>
      <c r="N782" s="415">
        <v>3600</v>
      </c>
      <c r="O782" s="415">
        <v>6420</v>
      </c>
      <c r="P782" s="415">
        <v>6275</v>
      </c>
      <c r="Q782" s="481">
        <f t="shared" si="58"/>
        <v>-5400</v>
      </c>
    </row>
    <row r="783" spans="1:17" outlineLevel="2" x14ac:dyDescent="0.3">
      <c r="A783" s="366" t="str">
        <f>IFERROR(VLOOKUP(RIGHT(E783,3)+0,[1]SchLocTable!$A$2:$B$47,2,FALSE)," ")</f>
        <v>Harding HS</v>
      </c>
      <c r="B783" s="366" t="str">
        <f>VLOOKUP(VALUE(D783),$D$3:F$106,3,FALSE)</f>
        <v>School Clericals</v>
      </c>
      <c r="C783" t="s">
        <v>314</v>
      </c>
      <c r="D783">
        <v>804</v>
      </c>
      <c r="E783" t="s">
        <v>454</v>
      </c>
      <c r="F783" t="s">
        <v>320</v>
      </c>
      <c r="G783" t="s">
        <v>319</v>
      </c>
      <c r="H783" s="502">
        <v>52360</v>
      </c>
      <c r="I783" s="415">
        <v>3554.9775666860005</v>
      </c>
      <c r="J783" s="415">
        <v>2773</v>
      </c>
      <c r="K783" s="415">
        <v>2604.06</v>
      </c>
      <c r="L783" s="415">
        <v>2664.52</v>
      </c>
      <c r="M783" s="415">
        <v>1834.18</v>
      </c>
      <c r="N783" s="415">
        <v>1668.24</v>
      </c>
      <c r="O783" s="415">
        <v>1857.4</v>
      </c>
      <c r="P783" s="415">
        <v>2221.81</v>
      </c>
      <c r="Q783" s="481">
        <f t="shared" si="58"/>
        <v>-781.9775666860005</v>
      </c>
    </row>
    <row r="784" spans="1:17" outlineLevel="2" x14ac:dyDescent="0.3">
      <c r="A784" s="366" t="str">
        <f>IFERROR(VLOOKUP(RIGHT(E784,3)+0,[1]SchLocTable!$A$2:$B$47,2,FALSE)," ")</f>
        <v>Harding HS</v>
      </c>
      <c r="B784" s="366" t="str">
        <f>VLOOKUP(VALUE(D784),$D$3:F$106,3,FALSE)</f>
        <v>School Clericals</v>
      </c>
      <c r="C784" t="s">
        <v>314</v>
      </c>
      <c r="D784">
        <v>804</v>
      </c>
      <c r="E784" t="s">
        <v>454</v>
      </c>
      <c r="F784" t="s">
        <v>392</v>
      </c>
      <c r="G784" t="s">
        <v>319</v>
      </c>
      <c r="H784" s="502">
        <v>52504</v>
      </c>
      <c r="I784" s="415">
        <v>50946.506093610398</v>
      </c>
      <c r="J784" s="415">
        <v>47172.77</v>
      </c>
      <c r="K784" s="415">
        <v>62002.1</v>
      </c>
      <c r="L784" s="415">
        <v>61723.72</v>
      </c>
      <c r="M784" s="415">
        <v>51621.36</v>
      </c>
      <c r="N784" s="415">
        <v>39523.24</v>
      </c>
      <c r="O784" s="415">
        <v>36428.620000000003</v>
      </c>
      <c r="P784" s="415">
        <v>37854.1</v>
      </c>
      <c r="Q784" s="481">
        <f t="shared" si="58"/>
        <v>-3773.7360936104014</v>
      </c>
    </row>
    <row r="785" spans="1:17" outlineLevel="2" x14ac:dyDescent="0.3">
      <c r="A785" s="366" t="str">
        <f>IFERROR(VLOOKUP(RIGHT(E785,3)+0,[1]SchLocTable!$A$2:$B$47,2,FALSE)," ")</f>
        <v>Harding HS</v>
      </c>
      <c r="B785" s="366" t="str">
        <f>VLOOKUP(VALUE(D785),$D$3:F$106,3,FALSE)</f>
        <v>School Clericals</v>
      </c>
      <c r="C785" t="s">
        <v>314</v>
      </c>
      <c r="D785">
        <v>804</v>
      </c>
      <c r="E785" t="s">
        <v>454</v>
      </c>
      <c r="F785" t="s">
        <v>356</v>
      </c>
      <c r="G785" t="s">
        <v>319</v>
      </c>
      <c r="H785" s="502">
        <v>51156</v>
      </c>
      <c r="I785" s="415">
        <v>0</v>
      </c>
      <c r="J785" s="415">
        <v>0</v>
      </c>
      <c r="K785" s="415">
        <v>1149.67</v>
      </c>
      <c r="L785" s="415">
        <v>4211.7</v>
      </c>
      <c r="M785" s="415">
        <v>2873.99</v>
      </c>
      <c r="N785" s="415">
        <v>2765.58</v>
      </c>
      <c r="O785" s="415">
        <v>3604.17</v>
      </c>
      <c r="P785" s="415">
        <v>1906.1</v>
      </c>
      <c r="Q785" s="481">
        <f t="shared" si="58"/>
        <v>0</v>
      </c>
    </row>
    <row r="786" spans="1:17" outlineLevel="2" x14ac:dyDescent="0.3">
      <c r="A786" s="366" t="str">
        <f>IFERROR(VLOOKUP(RIGHT(E786,3)+0,[1]SchLocTable!$A$2:$B$47,2,FALSE)," ")</f>
        <v>FCW campus</v>
      </c>
      <c r="B786" s="366" t="str">
        <f>VLOOKUP(VALUE(D786),$D$3:F$106,3,FALSE)</f>
        <v>School Clericals</v>
      </c>
      <c r="C786" t="s">
        <v>314</v>
      </c>
      <c r="D786">
        <v>804</v>
      </c>
      <c r="E786" t="s">
        <v>455</v>
      </c>
      <c r="F786" t="s">
        <v>318</v>
      </c>
      <c r="G786" t="s">
        <v>319</v>
      </c>
      <c r="H786" s="502">
        <v>51140</v>
      </c>
      <c r="I786" s="415">
        <v>0</v>
      </c>
      <c r="J786" s="415">
        <v>0</v>
      </c>
      <c r="K786" s="415">
        <v>0</v>
      </c>
      <c r="L786" s="415">
        <v>1610</v>
      </c>
      <c r="M786" s="415">
        <v>1602.16</v>
      </c>
      <c r="N786" s="415">
        <v>0</v>
      </c>
      <c r="O786" s="415">
        <v>0</v>
      </c>
      <c r="P786" s="415">
        <v>0</v>
      </c>
      <c r="Q786" s="481">
        <f t="shared" si="58"/>
        <v>0</v>
      </c>
    </row>
    <row r="787" spans="1:17" outlineLevel="2" x14ac:dyDescent="0.3">
      <c r="A787" s="366" t="str">
        <f>IFERROR(VLOOKUP(RIGHT(E787,3)+0,[1]SchLocTable!$A$2:$B$47,2,FALSE)," ")</f>
        <v>FCW campus</v>
      </c>
      <c r="B787" s="366" t="str">
        <f>VLOOKUP(VALUE(D787),$D$3:F$106,3,FALSE)</f>
        <v>School Clericals</v>
      </c>
      <c r="C787" t="s">
        <v>314</v>
      </c>
      <c r="D787">
        <v>804</v>
      </c>
      <c r="E787" t="s">
        <v>455</v>
      </c>
      <c r="F787" t="s">
        <v>320</v>
      </c>
      <c r="G787" t="s">
        <v>319</v>
      </c>
      <c r="H787" s="502">
        <v>52360</v>
      </c>
      <c r="I787" s="415">
        <v>0</v>
      </c>
      <c r="J787" s="415">
        <v>0</v>
      </c>
      <c r="K787" s="415">
        <v>0</v>
      </c>
      <c r="L787" s="415">
        <v>23.35</v>
      </c>
      <c r="M787" s="415">
        <v>0</v>
      </c>
      <c r="N787" s="415">
        <v>0</v>
      </c>
      <c r="O787" s="415">
        <v>0</v>
      </c>
      <c r="P787" s="415">
        <v>103.99</v>
      </c>
      <c r="Q787" s="481">
        <f t="shared" si="58"/>
        <v>0</v>
      </c>
    </row>
    <row r="788" spans="1:17" outlineLevel="2" x14ac:dyDescent="0.3">
      <c r="A788" s="366" t="str">
        <f>IFERROR(VLOOKUP(RIGHT(E788,3)+0,[1]SchLocTable!$A$2:$B$47,2,FALSE)," ")</f>
        <v>FCW campus</v>
      </c>
      <c r="B788" s="366" t="str">
        <f>VLOOKUP(VALUE(D788),$D$3:F$106,3,FALSE)</f>
        <v>School Clericals</v>
      </c>
      <c r="C788" t="s">
        <v>314</v>
      </c>
      <c r="D788">
        <v>804</v>
      </c>
      <c r="E788" t="s">
        <v>455</v>
      </c>
      <c r="F788" t="s">
        <v>392</v>
      </c>
      <c r="G788" t="s">
        <v>319</v>
      </c>
      <c r="H788" s="502">
        <v>52504</v>
      </c>
      <c r="I788" s="415">
        <v>0</v>
      </c>
      <c r="J788" s="415">
        <v>0</v>
      </c>
      <c r="K788" s="415">
        <v>0</v>
      </c>
      <c r="L788" s="415">
        <v>328.28</v>
      </c>
      <c r="M788" s="415">
        <v>0</v>
      </c>
      <c r="N788" s="415">
        <v>0</v>
      </c>
      <c r="O788" s="415">
        <v>0</v>
      </c>
      <c r="P788" s="415">
        <v>1098.53</v>
      </c>
      <c r="Q788" s="481">
        <f t="shared" si="58"/>
        <v>0</v>
      </c>
    </row>
    <row r="789" spans="1:17" outlineLevel="2" x14ac:dyDescent="0.3">
      <c r="A789" s="366" t="str">
        <f>IFERROR(VLOOKUP(RIGHT(E789,3)+0,[1]SchLocTable!$A$2:$B$47,2,FALSE)," ")</f>
        <v xml:space="preserve"> </v>
      </c>
      <c r="B789" s="366" t="str">
        <f>VLOOKUP(VALUE(D789),$D$3:F$106,3,FALSE)</f>
        <v>Instructional Supplies</v>
      </c>
      <c r="C789" t="s">
        <v>314</v>
      </c>
      <c r="D789">
        <v>805</v>
      </c>
      <c r="E789" t="s">
        <v>456</v>
      </c>
      <c r="F789" t="s">
        <v>458</v>
      </c>
      <c r="G789" t="s">
        <v>319</v>
      </c>
      <c r="H789" s="502">
        <v>54675</v>
      </c>
      <c r="I789" s="415">
        <v>6283</v>
      </c>
      <c r="J789" s="415">
        <v>6100</v>
      </c>
      <c r="K789" s="415">
        <v>0</v>
      </c>
      <c r="L789" s="415">
        <v>0</v>
      </c>
      <c r="M789" s="415">
        <v>0</v>
      </c>
      <c r="N789" s="415">
        <v>0</v>
      </c>
      <c r="O789" s="415">
        <v>0</v>
      </c>
      <c r="P789" s="415">
        <v>0</v>
      </c>
      <c r="Q789" s="481">
        <f t="shared" si="58"/>
        <v>-183</v>
      </c>
    </row>
    <row r="790" spans="1:17" outlineLevel="2" x14ac:dyDescent="0.3">
      <c r="A790" s="366" t="str">
        <f>IFERROR(VLOOKUP(RIGHT(E790,3)+0,[1]SchLocTable!$A$2:$B$47,2,FALSE)," ")</f>
        <v xml:space="preserve"> </v>
      </c>
      <c r="B790" s="366" t="str">
        <f>VLOOKUP(VALUE(D790),$D$3:F$106,3,FALSE)</f>
        <v>Instructional Supplies</v>
      </c>
      <c r="C790" t="s">
        <v>314</v>
      </c>
      <c r="D790">
        <v>805</v>
      </c>
      <c r="E790" t="s">
        <v>456</v>
      </c>
      <c r="F790" t="s">
        <v>459</v>
      </c>
      <c r="G790" t="s">
        <v>319</v>
      </c>
      <c r="H790" s="502">
        <v>59015</v>
      </c>
      <c r="I790" s="415">
        <v>20651.5</v>
      </c>
      <c r="J790" s="415">
        <v>20050</v>
      </c>
      <c r="K790" s="415">
        <v>0</v>
      </c>
      <c r="L790" s="415">
        <v>4517.92</v>
      </c>
      <c r="M790" s="415">
        <v>2523.6999999999998</v>
      </c>
      <c r="N790" s="415">
        <v>6013.84</v>
      </c>
      <c r="O790" s="415">
        <v>19744.12</v>
      </c>
      <c r="P790" s="415">
        <v>7014.6</v>
      </c>
      <c r="Q790" s="481">
        <f t="shared" si="58"/>
        <v>-601.5</v>
      </c>
    </row>
    <row r="791" spans="1:17" outlineLevel="1" x14ac:dyDescent="0.3">
      <c r="A791" s="366" t="str">
        <f>IFERROR(VLOOKUP(RIGHT(E791,3)+0,[1]SchLocTable!$A$2:$B$47,2,FALSE)," ")</f>
        <v xml:space="preserve"> </v>
      </c>
      <c r="B791" s="366" t="str">
        <f>VLOOKUP(VALUE(D791),$D$3:F$106,3,FALSE)</f>
        <v>Instructional Supplies</v>
      </c>
      <c r="C791" t="s">
        <v>314</v>
      </c>
      <c r="D791">
        <v>805</v>
      </c>
      <c r="E791" t="s">
        <v>456</v>
      </c>
      <c r="F791" t="s">
        <v>457</v>
      </c>
      <c r="G791" t="s">
        <v>319</v>
      </c>
      <c r="H791" s="502">
        <v>54580</v>
      </c>
      <c r="I791" s="415">
        <v>87897.429300000003</v>
      </c>
      <c r="J791" s="415">
        <v>85337.31</v>
      </c>
      <c r="K791" s="415">
        <v>76619.56</v>
      </c>
      <c r="L791" s="415">
        <v>81531.62</v>
      </c>
      <c r="M791" s="415">
        <v>96357.43</v>
      </c>
      <c r="N791" s="415">
        <v>105831.4</v>
      </c>
      <c r="O791" s="415">
        <v>21036.22</v>
      </c>
      <c r="P791" s="415">
        <v>38752.720000000001</v>
      </c>
      <c r="Q791" s="481">
        <f t="shared" si="58"/>
        <v>-2560.1193000000058</v>
      </c>
    </row>
    <row r="792" spans="1:17" outlineLevel="2" x14ac:dyDescent="0.3">
      <c r="A792" s="366" t="str">
        <f>IFERROR(VLOOKUP(RIGHT(E792,3)+0,[1]SchLocTable!$A$2:$B$47,2,FALSE)," ")</f>
        <v xml:space="preserve"> </v>
      </c>
      <c r="B792" s="366" t="str">
        <f>VLOOKUP(VALUE(D792),$D$3:F$106,3,FALSE)</f>
        <v>Supplementary Supplies</v>
      </c>
      <c r="C792" t="s">
        <v>314</v>
      </c>
      <c r="D792">
        <v>806</v>
      </c>
      <c r="E792" t="s">
        <v>460</v>
      </c>
      <c r="F792" t="s">
        <v>458</v>
      </c>
      <c r="G792" t="s">
        <v>319</v>
      </c>
      <c r="H792" s="502">
        <v>54675</v>
      </c>
      <c r="I792" s="415">
        <v>0</v>
      </c>
      <c r="J792" s="415">
        <v>0</v>
      </c>
      <c r="K792" s="415">
        <v>1033.0999999999999</v>
      </c>
      <c r="L792" s="415">
        <v>27661.89</v>
      </c>
      <c r="M792" s="415">
        <v>0</v>
      </c>
      <c r="N792" s="415">
        <v>0</v>
      </c>
      <c r="O792" s="415">
        <v>0</v>
      </c>
      <c r="P792" s="415">
        <v>0</v>
      </c>
      <c r="Q792" s="481">
        <f t="shared" si="58"/>
        <v>0</v>
      </c>
    </row>
    <row r="793" spans="1:17" outlineLevel="2" x14ac:dyDescent="0.3">
      <c r="A793" s="366" t="str">
        <f>IFERROR(VLOOKUP(RIGHT(E793,3)+0,[1]SchLocTable!$A$2:$B$47,2,FALSE)," ")</f>
        <v xml:space="preserve"> </v>
      </c>
      <c r="B793" s="366" t="str">
        <f>VLOOKUP(VALUE(D793),$D$3:F$106,3,FALSE)</f>
        <v>Supplementary Supplies</v>
      </c>
      <c r="C793" t="s">
        <v>314</v>
      </c>
      <c r="D793">
        <v>806</v>
      </c>
      <c r="E793" t="s">
        <v>460</v>
      </c>
      <c r="F793" t="s">
        <v>461</v>
      </c>
      <c r="G793" t="s">
        <v>319</v>
      </c>
      <c r="H793" s="502">
        <v>53050</v>
      </c>
      <c r="I793" s="415">
        <v>0</v>
      </c>
      <c r="J793" s="415">
        <v>0</v>
      </c>
      <c r="K793" s="415">
        <v>24999</v>
      </c>
      <c r="L793" s="415">
        <v>0</v>
      </c>
      <c r="M793" s="415">
        <v>0</v>
      </c>
      <c r="N793" s="415">
        <v>0</v>
      </c>
      <c r="O793" s="415">
        <v>0</v>
      </c>
      <c r="P793" s="415">
        <v>0</v>
      </c>
      <c r="Q793" s="481">
        <f t="shared" si="58"/>
        <v>0</v>
      </c>
    </row>
    <row r="794" spans="1:17" outlineLevel="2" x14ac:dyDescent="0.3">
      <c r="A794" s="366" t="str">
        <f>IFERROR(VLOOKUP(RIGHT(E794,3)+0,[1]SchLocTable!$A$2:$B$47,2,FALSE)," ")</f>
        <v xml:space="preserve"> </v>
      </c>
      <c r="B794" s="366" t="str">
        <f>VLOOKUP(VALUE(D794),$D$3:F$106,3,FALSE)</f>
        <v>Supplementary Supplies</v>
      </c>
      <c r="C794" t="s">
        <v>314</v>
      </c>
      <c r="D794">
        <v>806</v>
      </c>
      <c r="E794" t="s">
        <v>460</v>
      </c>
      <c r="F794" t="s">
        <v>457</v>
      </c>
      <c r="G794" t="s">
        <v>319</v>
      </c>
      <c r="H794" s="502">
        <v>54580</v>
      </c>
      <c r="I794" s="415">
        <v>328150.18</v>
      </c>
      <c r="J794" s="415">
        <v>38540.74</v>
      </c>
      <c r="K794" s="415">
        <v>88817.75</v>
      </c>
      <c r="L794" s="415">
        <v>0</v>
      </c>
      <c r="M794" s="415">
        <v>46855.95</v>
      </c>
      <c r="N794" s="415">
        <v>35471.089999999997</v>
      </c>
      <c r="O794" s="415">
        <v>0</v>
      </c>
      <c r="P794" s="415">
        <v>15599.1</v>
      </c>
      <c r="Q794" s="481">
        <f t="shared" si="58"/>
        <v>-289609.44</v>
      </c>
    </row>
    <row r="795" spans="1:17" outlineLevel="2" x14ac:dyDescent="0.3">
      <c r="A795" s="366" t="str">
        <f>IFERROR(VLOOKUP(RIGHT(E795,3)+0,[1]SchLocTable!$A$2:$B$47,2,FALSE)," ")</f>
        <v>Barnum</v>
      </c>
      <c r="B795" s="366" t="str">
        <f>VLOOKUP(VALUE(D795),$D$3:F$106,3,FALSE)</f>
        <v>Supplementary Supplies</v>
      </c>
      <c r="C795" t="s">
        <v>314</v>
      </c>
      <c r="D795">
        <v>806</v>
      </c>
      <c r="E795" t="s">
        <v>462</v>
      </c>
      <c r="F795" t="s">
        <v>334</v>
      </c>
      <c r="G795" t="s">
        <v>319</v>
      </c>
      <c r="H795" s="502">
        <v>51400</v>
      </c>
      <c r="I795" s="415">
        <v>0</v>
      </c>
      <c r="J795" s="415">
        <v>5596.76</v>
      </c>
      <c r="K795" s="415">
        <v>728.75</v>
      </c>
      <c r="L795" s="415">
        <v>680</v>
      </c>
      <c r="M795" s="415">
        <v>60.88</v>
      </c>
      <c r="N795" s="415">
        <v>5330.25</v>
      </c>
      <c r="O795" s="415">
        <v>3580.5</v>
      </c>
      <c r="P795" s="415">
        <v>2889</v>
      </c>
      <c r="Q795" s="481">
        <f t="shared" si="58"/>
        <v>5596.76</v>
      </c>
    </row>
    <row r="796" spans="1:17" outlineLevel="2" x14ac:dyDescent="0.3">
      <c r="A796" s="366" t="str">
        <f>IFERROR(VLOOKUP(RIGHT(E796,3)+0,[1]SchLocTable!$A$2:$B$47,2,FALSE)," ")</f>
        <v>Barnum</v>
      </c>
      <c r="B796" s="366" t="str">
        <f>VLOOKUP(VALUE(D796),$D$3:F$106,3,FALSE)</f>
        <v>Supplementary Supplies</v>
      </c>
      <c r="C796" t="s">
        <v>314</v>
      </c>
      <c r="D796">
        <v>806</v>
      </c>
      <c r="E796" t="s">
        <v>462</v>
      </c>
      <c r="F796" t="s">
        <v>320</v>
      </c>
      <c r="G796" t="s">
        <v>319</v>
      </c>
      <c r="H796" s="502">
        <v>52360</v>
      </c>
      <c r="I796" s="415">
        <v>0</v>
      </c>
      <c r="J796" s="415">
        <v>0</v>
      </c>
      <c r="K796" s="415">
        <v>10.57</v>
      </c>
      <c r="L796" s="415">
        <v>9.86</v>
      </c>
      <c r="M796" s="415">
        <v>3.7</v>
      </c>
      <c r="N796" s="415">
        <v>77.28</v>
      </c>
      <c r="O796" s="415">
        <v>51.92</v>
      </c>
      <c r="P796" s="415">
        <v>42.32</v>
      </c>
      <c r="Q796" s="481">
        <f t="shared" si="58"/>
        <v>0</v>
      </c>
    </row>
    <row r="797" spans="1:17" outlineLevel="2" x14ac:dyDescent="0.3">
      <c r="A797" s="366" t="str">
        <f>IFERROR(VLOOKUP(RIGHT(E797,3)+0,[1]SchLocTable!$A$2:$B$47,2,FALSE)," ")</f>
        <v>Barnum</v>
      </c>
      <c r="B797" s="366" t="str">
        <f>VLOOKUP(VALUE(D797),$D$3:F$106,3,FALSE)</f>
        <v>Supplementary Supplies</v>
      </c>
      <c r="C797" t="s">
        <v>314</v>
      </c>
      <c r="D797">
        <v>806</v>
      </c>
      <c r="E797" t="s">
        <v>462</v>
      </c>
      <c r="F797" t="s">
        <v>392</v>
      </c>
      <c r="G797" t="s">
        <v>319</v>
      </c>
      <c r="H797" s="502">
        <v>52504</v>
      </c>
      <c r="I797" s="415">
        <v>0</v>
      </c>
      <c r="J797" s="415">
        <v>0</v>
      </c>
      <c r="K797" s="415">
        <v>0</v>
      </c>
      <c r="L797" s="415">
        <v>138.65</v>
      </c>
      <c r="M797" s="415">
        <v>55.07</v>
      </c>
      <c r="N797" s="415">
        <v>0</v>
      </c>
      <c r="O797" s="415">
        <v>0</v>
      </c>
      <c r="P797" s="415">
        <v>0</v>
      </c>
      <c r="Q797" s="481">
        <f t="shared" si="58"/>
        <v>0</v>
      </c>
    </row>
    <row r="798" spans="1:17" outlineLevel="2" x14ac:dyDescent="0.3">
      <c r="A798" s="366" t="str">
        <f>IFERROR(VLOOKUP(RIGHT(E798,3)+0,[1]SchLocTable!$A$2:$B$47,2,FALSE)," ")</f>
        <v>Barnum</v>
      </c>
      <c r="B798" s="366" t="str">
        <f>VLOOKUP(VALUE(D798),$D$3:F$106,3,FALSE)</f>
        <v>Supplementary Supplies</v>
      </c>
      <c r="C798" t="s">
        <v>314</v>
      </c>
      <c r="D798">
        <v>806</v>
      </c>
      <c r="E798" t="s">
        <v>462</v>
      </c>
      <c r="F798" t="s">
        <v>464</v>
      </c>
      <c r="G798" t="s">
        <v>319</v>
      </c>
      <c r="H798" s="502">
        <v>56180</v>
      </c>
      <c r="I798" s="415">
        <v>1754.65</v>
      </c>
      <c r="J798" s="415">
        <v>1754.65</v>
      </c>
      <c r="K798" s="415">
        <v>997.83</v>
      </c>
      <c r="L798" s="415">
        <v>2640.51</v>
      </c>
      <c r="M798" s="415">
        <v>1703.65</v>
      </c>
      <c r="N798" s="415">
        <v>1899</v>
      </c>
      <c r="O798" s="415">
        <v>1360</v>
      </c>
      <c r="P798" s="415">
        <v>0</v>
      </c>
      <c r="Q798" s="481">
        <f t="shared" si="58"/>
        <v>0</v>
      </c>
    </row>
    <row r="799" spans="1:17" outlineLevel="2" x14ac:dyDescent="0.3">
      <c r="A799" s="366" t="str">
        <f>IFERROR(VLOOKUP(RIGHT(E799,3)+0,[1]SchLocTable!$A$2:$B$47,2,FALSE)," ")</f>
        <v>Barnum</v>
      </c>
      <c r="B799" s="366" t="str">
        <f>VLOOKUP(VALUE(D799),$D$3:F$106,3,FALSE)</f>
        <v>Supplementary Supplies</v>
      </c>
      <c r="C799" t="s">
        <v>314</v>
      </c>
      <c r="D799">
        <v>806</v>
      </c>
      <c r="E799" t="s">
        <v>462</v>
      </c>
      <c r="F799" t="s">
        <v>463</v>
      </c>
      <c r="G799" t="s">
        <v>319</v>
      </c>
      <c r="H799" s="502">
        <v>54725</v>
      </c>
      <c r="I799" s="415">
        <v>587.07000000000005</v>
      </c>
      <c r="J799" s="415">
        <v>946.91</v>
      </c>
      <c r="K799" s="415">
        <v>282.7</v>
      </c>
      <c r="L799" s="415">
        <v>338.49</v>
      </c>
      <c r="M799" s="415">
        <v>300</v>
      </c>
      <c r="N799" s="415">
        <v>419.96</v>
      </c>
      <c r="O799" s="415">
        <v>669.86</v>
      </c>
      <c r="P799" s="415">
        <v>530.36</v>
      </c>
      <c r="Q799" s="481">
        <f t="shared" si="58"/>
        <v>359.83999999999992</v>
      </c>
    </row>
    <row r="800" spans="1:17" outlineLevel="2" x14ac:dyDescent="0.3">
      <c r="A800" s="366" t="str">
        <f>IFERROR(VLOOKUP(RIGHT(E800,3)+0,[1]SchLocTable!$A$2:$B$47,2,FALSE)," ")</f>
        <v>Barnum</v>
      </c>
      <c r="B800" s="366" t="str">
        <f>VLOOKUP(VALUE(D800),$D$3:F$106,3,FALSE)</f>
        <v>Supplementary Supplies</v>
      </c>
      <c r="C800" t="s">
        <v>314</v>
      </c>
      <c r="D800">
        <v>806</v>
      </c>
      <c r="E800" t="s">
        <v>462</v>
      </c>
      <c r="F800" t="s">
        <v>457</v>
      </c>
      <c r="G800" t="s">
        <v>319</v>
      </c>
      <c r="H800" s="502">
        <v>54580</v>
      </c>
      <c r="I800" s="415">
        <v>3779.07</v>
      </c>
      <c r="J800" s="415">
        <v>6601.68</v>
      </c>
      <c r="K800" s="415">
        <v>13856.59</v>
      </c>
      <c r="L800" s="415">
        <v>5955.65</v>
      </c>
      <c r="M800" s="415">
        <v>5777.25</v>
      </c>
      <c r="N800" s="415">
        <v>4353.4399999999996</v>
      </c>
      <c r="O800" s="415">
        <v>5988.08</v>
      </c>
      <c r="P800" s="415">
        <v>4194.42</v>
      </c>
      <c r="Q800" s="481">
        <f t="shared" si="58"/>
        <v>2822.61</v>
      </c>
    </row>
    <row r="801" spans="1:17" outlineLevel="2" x14ac:dyDescent="0.3">
      <c r="A801" s="366" t="str">
        <f>IFERROR(VLOOKUP(RIGHT(E801,3)+0,[1]SchLocTable!$A$2:$B$47,2,FALSE)," ")</f>
        <v>Barnum</v>
      </c>
      <c r="B801" s="366" t="str">
        <f>VLOOKUP(VALUE(D801),$D$3:F$106,3,FALSE)</f>
        <v>Supplementary Supplies</v>
      </c>
      <c r="C801" t="s">
        <v>314</v>
      </c>
      <c r="D801">
        <v>806</v>
      </c>
      <c r="E801" t="s">
        <v>462</v>
      </c>
      <c r="F801" t="s">
        <v>483</v>
      </c>
      <c r="G801" t="s">
        <v>319</v>
      </c>
      <c r="H801" s="502">
        <v>51122</v>
      </c>
      <c r="I801" s="415">
        <v>0</v>
      </c>
      <c r="J801" s="415">
        <v>0</v>
      </c>
      <c r="K801" s="415">
        <v>0</v>
      </c>
      <c r="L801" s="415">
        <v>0</v>
      </c>
      <c r="M801" s="415">
        <v>194.29</v>
      </c>
      <c r="N801" s="415">
        <v>0</v>
      </c>
      <c r="O801" s="415">
        <v>0</v>
      </c>
      <c r="P801" s="415">
        <v>0</v>
      </c>
      <c r="Q801" s="481">
        <f t="shared" si="58"/>
        <v>0</v>
      </c>
    </row>
    <row r="802" spans="1:17" outlineLevel="2" x14ac:dyDescent="0.3">
      <c r="A802" s="366" t="str">
        <f>IFERROR(VLOOKUP(RIGHT(E802,3)+0,[1]SchLocTable!$A$2:$B$47,2,FALSE)," ")</f>
        <v>Barnum</v>
      </c>
      <c r="B802" s="366" t="str">
        <f>VLOOKUP(VALUE(D802),$D$3:F$106,3,FALSE)</f>
        <v>Supplementary Supplies</v>
      </c>
      <c r="C802" t="s">
        <v>314</v>
      </c>
      <c r="D802">
        <v>806</v>
      </c>
      <c r="E802" t="s">
        <v>462</v>
      </c>
      <c r="F802" t="s">
        <v>465</v>
      </c>
      <c r="G802" t="s">
        <v>319</v>
      </c>
      <c r="H802" s="502">
        <v>56240</v>
      </c>
      <c r="I802" s="415">
        <v>0</v>
      </c>
      <c r="J802" s="415">
        <v>0</v>
      </c>
      <c r="K802" s="415">
        <v>0</v>
      </c>
      <c r="L802" s="415">
        <v>2576.84</v>
      </c>
      <c r="M802" s="415">
        <v>300</v>
      </c>
      <c r="N802" s="415">
        <v>0</v>
      </c>
      <c r="O802" s="415">
        <v>0</v>
      </c>
      <c r="P802" s="415">
        <v>0</v>
      </c>
      <c r="Q802" s="481">
        <f t="shared" si="58"/>
        <v>0</v>
      </c>
    </row>
    <row r="803" spans="1:17" outlineLevel="2" x14ac:dyDescent="0.3">
      <c r="A803" s="366" t="str">
        <f>IFERROR(VLOOKUP(RIGHT(E803,3)+0,[1]SchLocTable!$A$2:$B$47,2,FALSE)," ")</f>
        <v>Beardsley</v>
      </c>
      <c r="B803" s="366" t="str">
        <f>VLOOKUP(VALUE(D803),$D$3:F$106,3,FALSE)</f>
        <v>Supplementary Supplies</v>
      </c>
      <c r="C803" t="s">
        <v>314</v>
      </c>
      <c r="D803">
        <v>806</v>
      </c>
      <c r="E803" t="s">
        <v>466</v>
      </c>
      <c r="F803" t="s">
        <v>463</v>
      </c>
      <c r="G803" t="s">
        <v>319</v>
      </c>
      <c r="H803" s="502">
        <v>54725</v>
      </c>
      <c r="I803" s="415">
        <v>752.2</v>
      </c>
      <c r="J803" s="415">
        <v>846.91</v>
      </c>
      <c r="K803" s="415">
        <v>585.61</v>
      </c>
      <c r="L803" s="415">
        <v>357.65</v>
      </c>
      <c r="M803" s="415">
        <v>263.91000000000003</v>
      </c>
      <c r="N803" s="415">
        <v>105.67</v>
      </c>
      <c r="O803" s="415">
        <v>28.12</v>
      </c>
      <c r="P803" s="415">
        <v>550</v>
      </c>
      <c r="Q803" s="481">
        <f t="shared" si="58"/>
        <v>94.709999999999923</v>
      </c>
    </row>
    <row r="804" spans="1:17" outlineLevel="2" x14ac:dyDescent="0.3">
      <c r="A804" s="366" t="str">
        <f>IFERROR(VLOOKUP(RIGHT(E804,3)+0,[1]SchLocTable!$A$2:$B$47,2,FALSE)," ")</f>
        <v>Beardsley</v>
      </c>
      <c r="B804" s="366" t="str">
        <f>VLOOKUP(VALUE(D804),$D$3:F$106,3,FALSE)</f>
        <v>Supplementary Supplies</v>
      </c>
      <c r="C804" t="s">
        <v>314</v>
      </c>
      <c r="D804">
        <v>806</v>
      </c>
      <c r="E804" t="s">
        <v>466</v>
      </c>
      <c r="F804" t="s">
        <v>457</v>
      </c>
      <c r="G804" t="s">
        <v>319</v>
      </c>
      <c r="H804" s="502">
        <v>54580</v>
      </c>
      <c r="I804" s="415">
        <v>6036.32</v>
      </c>
      <c r="J804" s="415">
        <v>7253.09</v>
      </c>
      <c r="K804" s="415">
        <v>6965.83</v>
      </c>
      <c r="L804" s="415">
        <v>6274.48</v>
      </c>
      <c r="M804" s="415">
        <v>5526.78</v>
      </c>
      <c r="N804" s="415">
        <v>5553.77</v>
      </c>
      <c r="O804" s="415">
        <v>4946.38</v>
      </c>
      <c r="P804" s="415">
        <v>5945.69</v>
      </c>
      <c r="Q804" s="481">
        <f t="shared" si="58"/>
        <v>1216.7700000000004</v>
      </c>
    </row>
    <row r="805" spans="1:17" outlineLevel="2" x14ac:dyDescent="0.3">
      <c r="A805" s="366" t="str">
        <f>IFERROR(VLOOKUP(RIGHT(E805,3)+0,[1]SchLocTable!$A$2:$B$47,2,FALSE)," ")</f>
        <v>Black Rock</v>
      </c>
      <c r="B805" s="366" t="str">
        <f>VLOOKUP(VALUE(D805),$D$3:F$106,3,FALSE)</f>
        <v>Supplementary Supplies</v>
      </c>
      <c r="C805" t="s">
        <v>314</v>
      </c>
      <c r="D805">
        <v>806</v>
      </c>
      <c r="E805" t="s">
        <v>467</v>
      </c>
      <c r="F805" t="s">
        <v>892</v>
      </c>
      <c r="G805" t="s">
        <v>319</v>
      </c>
      <c r="H805" s="502">
        <v>54555</v>
      </c>
      <c r="I805" s="415">
        <v>8.3000000000000007</v>
      </c>
      <c r="J805" s="415">
        <v>300</v>
      </c>
      <c r="K805" s="415">
        <v>0</v>
      </c>
      <c r="L805" s="415">
        <v>0</v>
      </c>
      <c r="M805" s="415">
        <v>0</v>
      </c>
      <c r="N805" s="415">
        <v>0</v>
      </c>
      <c r="O805" s="415">
        <v>0</v>
      </c>
      <c r="P805" s="415">
        <v>0</v>
      </c>
      <c r="Q805" s="481">
        <f t="shared" si="58"/>
        <v>291.7</v>
      </c>
    </row>
    <row r="806" spans="1:17" outlineLevel="2" x14ac:dyDescent="0.3">
      <c r="A806" s="366" t="str">
        <f>IFERROR(VLOOKUP(RIGHT(E806,3)+0,[1]SchLocTable!$A$2:$B$47,2,FALSE)," ")</f>
        <v>Black Rock</v>
      </c>
      <c r="B806" s="366" t="str">
        <f>VLOOKUP(VALUE(D806),$D$3:F$106,3,FALSE)</f>
        <v>Supplementary Supplies</v>
      </c>
      <c r="C806" t="s">
        <v>314</v>
      </c>
      <c r="D806">
        <v>806</v>
      </c>
      <c r="E806" t="s">
        <v>467</v>
      </c>
      <c r="F806" t="s">
        <v>464</v>
      </c>
      <c r="G806" t="s">
        <v>319</v>
      </c>
      <c r="H806" s="502">
        <v>56180</v>
      </c>
      <c r="I806" s="415">
        <v>192.15</v>
      </c>
      <c r="J806" s="415">
        <v>492.15</v>
      </c>
      <c r="K806" s="415">
        <v>800</v>
      </c>
      <c r="L806" s="415">
        <v>1091.95</v>
      </c>
      <c r="M806" s="415">
        <v>1341.15</v>
      </c>
      <c r="N806" s="415">
        <v>0</v>
      </c>
      <c r="O806" s="415">
        <v>0</v>
      </c>
      <c r="P806" s="415">
        <v>0</v>
      </c>
      <c r="Q806" s="481">
        <f t="shared" si="58"/>
        <v>300</v>
      </c>
    </row>
    <row r="807" spans="1:17" outlineLevel="2" x14ac:dyDescent="0.3">
      <c r="A807" s="366" t="str">
        <f>IFERROR(VLOOKUP(RIGHT(E807,3)+0,[1]SchLocTable!$A$2:$B$47,2,FALSE)," ")</f>
        <v>Black Rock</v>
      </c>
      <c r="B807" s="366" t="str">
        <f>VLOOKUP(VALUE(D807),$D$3:F$106,3,FALSE)</f>
        <v>Supplementary Supplies</v>
      </c>
      <c r="C807" t="s">
        <v>314</v>
      </c>
      <c r="D807">
        <v>806</v>
      </c>
      <c r="E807" t="s">
        <v>467</v>
      </c>
      <c r="F807" t="s">
        <v>463</v>
      </c>
      <c r="G807" t="s">
        <v>319</v>
      </c>
      <c r="H807" s="502">
        <v>54725</v>
      </c>
      <c r="I807" s="415">
        <v>421.91</v>
      </c>
      <c r="J807" s="415">
        <v>421.91</v>
      </c>
      <c r="K807" s="415">
        <v>203.94</v>
      </c>
      <c r="L807" s="415">
        <v>174.85</v>
      </c>
      <c r="M807" s="415">
        <v>134.05000000000001</v>
      </c>
      <c r="N807" s="415">
        <v>159.59</v>
      </c>
      <c r="O807" s="415">
        <v>288.08</v>
      </c>
      <c r="P807" s="415">
        <v>284.02999999999997</v>
      </c>
      <c r="Q807" s="481">
        <f t="shared" si="58"/>
        <v>0</v>
      </c>
    </row>
    <row r="808" spans="1:17" outlineLevel="2" x14ac:dyDescent="0.3">
      <c r="A808" s="366" t="str">
        <f>IFERROR(VLOOKUP(RIGHT(E808,3)+0,[1]SchLocTable!$A$2:$B$47,2,FALSE)," ")</f>
        <v>Black Rock</v>
      </c>
      <c r="B808" s="366" t="str">
        <f>VLOOKUP(VALUE(D808),$D$3:F$106,3,FALSE)</f>
        <v>Supplementary Supplies</v>
      </c>
      <c r="C808" t="s">
        <v>314</v>
      </c>
      <c r="D808">
        <v>806</v>
      </c>
      <c r="E808" t="s">
        <v>467</v>
      </c>
      <c r="F808" t="s">
        <v>457</v>
      </c>
      <c r="G808" t="s">
        <v>319</v>
      </c>
      <c r="H808" s="502">
        <v>54580</v>
      </c>
      <c r="I808" s="415">
        <v>7963.81</v>
      </c>
      <c r="J808" s="415">
        <v>9685.94</v>
      </c>
      <c r="K808" s="415">
        <v>9290.16</v>
      </c>
      <c r="L808" s="415">
        <v>8041.6</v>
      </c>
      <c r="M808" s="415">
        <v>8001.8</v>
      </c>
      <c r="N808" s="415">
        <v>7335.53</v>
      </c>
      <c r="O808" s="415">
        <v>6201.06</v>
      </c>
      <c r="P808" s="415">
        <v>7697.31</v>
      </c>
      <c r="Q808" s="481">
        <f t="shared" si="58"/>
        <v>1722.13</v>
      </c>
    </row>
    <row r="809" spans="1:17" outlineLevel="2" x14ac:dyDescent="0.3">
      <c r="A809" s="366" t="str">
        <f>IFERROR(VLOOKUP(RIGHT(E809,3)+0,[1]SchLocTable!$A$2:$B$47,2,FALSE)," ")</f>
        <v>Bryant</v>
      </c>
      <c r="B809" s="366" t="str">
        <f>VLOOKUP(VALUE(D809),$D$3:F$106,3,FALSE)</f>
        <v>Supplementary Supplies</v>
      </c>
      <c r="C809" t="s">
        <v>314</v>
      </c>
      <c r="D809">
        <v>806</v>
      </c>
      <c r="E809" t="s">
        <v>468</v>
      </c>
      <c r="F809" t="s">
        <v>458</v>
      </c>
      <c r="G809" t="s">
        <v>319</v>
      </c>
      <c r="H809" s="502">
        <v>54675</v>
      </c>
      <c r="I809" s="415">
        <v>33.700000000000003</v>
      </c>
      <c r="J809" s="415">
        <v>291</v>
      </c>
      <c r="K809" s="415">
        <v>0</v>
      </c>
      <c r="L809" s="415">
        <v>0</v>
      </c>
      <c r="M809" s="415">
        <v>0</v>
      </c>
      <c r="N809" s="415">
        <v>0</v>
      </c>
      <c r="O809" s="415">
        <v>0</v>
      </c>
      <c r="P809" s="415">
        <v>0</v>
      </c>
      <c r="Q809" s="481">
        <f t="shared" si="58"/>
        <v>257.3</v>
      </c>
    </row>
    <row r="810" spans="1:17" outlineLevel="2" x14ac:dyDescent="0.3">
      <c r="A810" s="366" t="str">
        <f>IFERROR(VLOOKUP(RIGHT(E810,3)+0,[1]SchLocTable!$A$2:$B$47,2,FALSE)," ")</f>
        <v>Bryant</v>
      </c>
      <c r="B810" s="366" t="str">
        <f>VLOOKUP(VALUE(D810),$D$3:F$106,3,FALSE)</f>
        <v>Supplementary Supplies</v>
      </c>
      <c r="C810" t="s">
        <v>314</v>
      </c>
      <c r="D810">
        <v>806</v>
      </c>
      <c r="E810" t="s">
        <v>468</v>
      </c>
      <c r="F810" t="s">
        <v>463</v>
      </c>
      <c r="G810" t="s">
        <v>319</v>
      </c>
      <c r="H810" s="502">
        <v>54725</v>
      </c>
      <c r="I810" s="415">
        <v>404.79</v>
      </c>
      <c r="J810" s="415">
        <v>446.91</v>
      </c>
      <c r="K810" s="415">
        <v>163.49</v>
      </c>
      <c r="L810" s="415">
        <v>394.6</v>
      </c>
      <c r="M810" s="415">
        <v>112.26</v>
      </c>
      <c r="N810" s="415">
        <v>214.1</v>
      </c>
      <c r="O810" s="415">
        <v>446.35</v>
      </c>
      <c r="P810" s="415">
        <v>209</v>
      </c>
      <c r="Q810" s="481">
        <f t="shared" si="58"/>
        <v>42.120000000000005</v>
      </c>
    </row>
    <row r="811" spans="1:17" outlineLevel="2" x14ac:dyDescent="0.3">
      <c r="A811" s="366" t="str">
        <f>IFERROR(VLOOKUP(RIGHT(E811,3)+0,[1]SchLocTable!$A$2:$B$47,2,FALSE)," ")</f>
        <v>Bryant</v>
      </c>
      <c r="B811" s="366" t="str">
        <f>VLOOKUP(VALUE(D811),$D$3:F$106,3,FALSE)</f>
        <v>Supplementary Supplies</v>
      </c>
      <c r="C811" t="s">
        <v>314</v>
      </c>
      <c r="D811">
        <v>806</v>
      </c>
      <c r="E811" t="s">
        <v>468</v>
      </c>
      <c r="F811" t="s">
        <v>457</v>
      </c>
      <c r="G811" t="s">
        <v>319</v>
      </c>
      <c r="H811" s="502">
        <v>54580</v>
      </c>
      <c r="I811" s="415">
        <v>1103.26</v>
      </c>
      <c r="J811" s="415">
        <v>7187.09</v>
      </c>
      <c r="K811" s="415">
        <v>8328.69</v>
      </c>
      <c r="L811" s="415">
        <v>6061.68</v>
      </c>
      <c r="M811" s="415">
        <v>6699.36</v>
      </c>
      <c r="N811" s="415">
        <v>5158.21</v>
      </c>
      <c r="O811" s="415">
        <v>6084.79</v>
      </c>
      <c r="P811" s="415">
        <v>6193.44</v>
      </c>
      <c r="Q811" s="481">
        <f t="shared" si="58"/>
        <v>6083.83</v>
      </c>
    </row>
    <row r="812" spans="1:17" outlineLevel="1" x14ac:dyDescent="0.3">
      <c r="A812" s="366" t="str">
        <f>IFERROR(VLOOKUP(RIGHT(E812,3)+0,[1]SchLocTable!$A$2:$B$47,2,FALSE)," ")</f>
        <v>Bryant</v>
      </c>
      <c r="B812" s="366" t="str">
        <f>VLOOKUP(VALUE(D812),$D$3:F$106,3,FALSE)</f>
        <v>Supplementary Supplies</v>
      </c>
      <c r="C812" t="s">
        <v>314</v>
      </c>
      <c r="D812">
        <v>806</v>
      </c>
      <c r="E812" t="s">
        <v>468</v>
      </c>
      <c r="F812" t="s">
        <v>469</v>
      </c>
      <c r="G812" t="s">
        <v>319</v>
      </c>
      <c r="H812" s="502">
        <v>54760</v>
      </c>
      <c r="I812" s="415">
        <v>0</v>
      </c>
      <c r="J812" s="415">
        <v>0</v>
      </c>
      <c r="K812" s="415">
        <v>0</v>
      </c>
      <c r="L812" s="415">
        <v>408.15</v>
      </c>
      <c r="M812" s="415">
        <v>0</v>
      </c>
      <c r="N812" s="415">
        <v>0</v>
      </c>
      <c r="O812" s="415">
        <v>0</v>
      </c>
      <c r="P812" s="415">
        <v>0</v>
      </c>
      <c r="Q812" s="481">
        <f t="shared" si="58"/>
        <v>0</v>
      </c>
    </row>
    <row r="813" spans="1:17" outlineLevel="2" x14ac:dyDescent="0.3">
      <c r="A813" s="366" t="str">
        <f>IFERROR(VLOOKUP(RIGHT(E813,3)+0,[1]SchLocTable!$A$2:$B$47,2,FALSE)," ")</f>
        <v>Columbus</v>
      </c>
      <c r="B813" s="366" t="str">
        <f>VLOOKUP(VALUE(D813),$D$3:F$106,3,FALSE)</f>
        <v>Supplementary Supplies</v>
      </c>
      <c r="C813" t="s">
        <v>314</v>
      </c>
      <c r="D813">
        <v>806</v>
      </c>
      <c r="E813" t="s">
        <v>470</v>
      </c>
      <c r="F813" t="s">
        <v>464</v>
      </c>
      <c r="G813" t="s">
        <v>319</v>
      </c>
      <c r="H813" s="502">
        <v>56180</v>
      </c>
      <c r="I813" s="415">
        <v>0</v>
      </c>
      <c r="J813" s="415">
        <v>2444.65</v>
      </c>
      <c r="K813" s="415">
        <v>0</v>
      </c>
      <c r="L813" s="415">
        <v>1087.5</v>
      </c>
      <c r="M813" s="415">
        <v>755</v>
      </c>
      <c r="N813" s="415">
        <v>2074.4</v>
      </c>
      <c r="O813" s="415">
        <v>581</v>
      </c>
      <c r="P813" s="415">
        <v>550</v>
      </c>
      <c r="Q813" s="481">
        <f t="shared" si="58"/>
        <v>2444.65</v>
      </c>
    </row>
    <row r="814" spans="1:17" outlineLevel="2" x14ac:dyDescent="0.3">
      <c r="A814" s="366" t="str">
        <f>IFERROR(VLOOKUP(RIGHT(E814,3)+0,[1]SchLocTable!$A$2:$B$47,2,FALSE)," ")</f>
        <v>Columbus</v>
      </c>
      <c r="B814" s="366" t="str">
        <f>VLOOKUP(VALUE(D814),$D$3:F$106,3,FALSE)</f>
        <v>Supplementary Supplies</v>
      </c>
      <c r="C814" t="s">
        <v>314</v>
      </c>
      <c r="D814">
        <v>806</v>
      </c>
      <c r="E814" t="s">
        <v>470</v>
      </c>
      <c r="F814" t="s">
        <v>463</v>
      </c>
      <c r="G814" t="s">
        <v>319</v>
      </c>
      <c r="H814" s="502">
        <v>54725</v>
      </c>
      <c r="I814" s="415">
        <v>738.45</v>
      </c>
      <c r="J814" s="415">
        <v>796.91</v>
      </c>
      <c r="K814" s="415">
        <v>357.35</v>
      </c>
      <c r="L814" s="415">
        <v>235.04</v>
      </c>
      <c r="M814" s="415">
        <v>148.56</v>
      </c>
      <c r="N814" s="415">
        <v>403.58</v>
      </c>
      <c r="O814" s="415">
        <v>616.9</v>
      </c>
      <c r="P814" s="415">
        <v>300</v>
      </c>
      <c r="Q814" s="481">
        <f t="shared" si="58"/>
        <v>58.459999999999923</v>
      </c>
    </row>
    <row r="815" spans="1:17" outlineLevel="2" x14ac:dyDescent="0.3">
      <c r="A815" s="366" t="str">
        <f>IFERROR(VLOOKUP(RIGHT(E815,3)+0,[1]SchLocTable!$A$2:$B$47,2,FALSE)," ")</f>
        <v>Columbus</v>
      </c>
      <c r="B815" s="366" t="str">
        <f>VLOOKUP(VALUE(D815),$D$3:F$106,3,FALSE)</f>
        <v>Supplementary Supplies</v>
      </c>
      <c r="C815" t="s">
        <v>314</v>
      </c>
      <c r="D815">
        <v>806</v>
      </c>
      <c r="E815" t="s">
        <v>470</v>
      </c>
      <c r="F815" t="s">
        <v>457</v>
      </c>
      <c r="G815" t="s">
        <v>319</v>
      </c>
      <c r="H815" s="502">
        <v>54580</v>
      </c>
      <c r="I815" s="415">
        <v>286.04000000000002</v>
      </c>
      <c r="J815" s="415">
        <v>11458.44</v>
      </c>
      <c r="K815" s="415">
        <v>13677.31</v>
      </c>
      <c r="L815" s="415">
        <v>9132.3799999999992</v>
      </c>
      <c r="M815" s="415">
        <v>10112.709999999999</v>
      </c>
      <c r="N815" s="415">
        <v>7751.02</v>
      </c>
      <c r="O815" s="415">
        <v>10188.709999999999</v>
      </c>
      <c r="P815" s="415">
        <v>9322.0400000000009</v>
      </c>
      <c r="Q815" s="481">
        <f t="shared" si="58"/>
        <v>11172.4</v>
      </c>
    </row>
    <row r="816" spans="1:17" outlineLevel="2" x14ac:dyDescent="0.3">
      <c r="A816" s="366" t="str">
        <f>IFERROR(VLOOKUP(RIGHT(E816,3)+0,[1]SchLocTable!$A$2:$B$47,2,FALSE)," ")</f>
        <v>Edison</v>
      </c>
      <c r="B816" s="366" t="str">
        <f>VLOOKUP(VALUE(D816),$D$3:F$106,3,FALSE)</f>
        <v>Supplementary Supplies</v>
      </c>
      <c r="C816" t="s">
        <v>314</v>
      </c>
      <c r="D816">
        <v>806</v>
      </c>
      <c r="E816" t="s">
        <v>471</v>
      </c>
      <c r="F816" t="s">
        <v>464</v>
      </c>
      <c r="G816" t="s">
        <v>319</v>
      </c>
      <c r="H816" s="502">
        <v>56180</v>
      </c>
      <c r="I816" s="415">
        <v>837</v>
      </c>
      <c r="J816" s="415">
        <v>837</v>
      </c>
      <c r="K816" s="415">
        <v>619.6</v>
      </c>
      <c r="L816" s="415">
        <v>314.8</v>
      </c>
      <c r="M816" s="415">
        <v>573.70000000000005</v>
      </c>
      <c r="N816" s="415">
        <v>891.25</v>
      </c>
      <c r="O816" s="415">
        <v>837</v>
      </c>
      <c r="P816" s="415">
        <v>17.45</v>
      </c>
      <c r="Q816" s="481">
        <f t="shared" si="58"/>
        <v>0</v>
      </c>
    </row>
    <row r="817" spans="1:17" outlineLevel="2" x14ac:dyDescent="0.3">
      <c r="A817" s="366" t="str">
        <f>IFERROR(VLOOKUP(RIGHT(E817,3)+0,[1]SchLocTable!$A$2:$B$47,2,FALSE)," ")</f>
        <v>Edison</v>
      </c>
      <c r="B817" s="366" t="str">
        <f>VLOOKUP(VALUE(D817),$D$3:F$106,3,FALSE)</f>
        <v>Supplementary Supplies</v>
      </c>
      <c r="C817" t="s">
        <v>314</v>
      </c>
      <c r="D817">
        <v>806</v>
      </c>
      <c r="E817" t="s">
        <v>471</v>
      </c>
      <c r="F817" t="s">
        <v>463</v>
      </c>
      <c r="G817" t="s">
        <v>319</v>
      </c>
      <c r="H817" s="502">
        <v>54725</v>
      </c>
      <c r="I817" s="415">
        <v>250</v>
      </c>
      <c r="J817" s="415">
        <v>250</v>
      </c>
      <c r="K817" s="415">
        <v>52.82</v>
      </c>
      <c r="L817" s="415">
        <v>5.76</v>
      </c>
      <c r="M817" s="415">
        <v>97.02</v>
      </c>
      <c r="N817" s="415">
        <v>101.76</v>
      </c>
      <c r="O817" s="415">
        <v>119.27</v>
      </c>
      <c r="P817" s="415">
        <v>0</v>
      </c>
      <c r="Q817" s="481">
        <f t="shared" si="58"/>
        <v>0</v>
      </c>
    </row>
    <row r="818" spans="1:17" outlineLevel="2" x14ac:dyDescent="0.3">
      <c r="A818" s="366" t="str">
        <f>IFERROR(VLOOKUP(RIGHT(E818,3)+0,[1]SchLocTable!$A$2:$B$47,2,FALSE)," ")</f>
        <v>Edison</v>
      </c>
      <c r="B818" s="366" t="str">
        <f>VLOOKUP(VALUE(D818),$D$3:F$106,3,FALSE)</f>
        <v>Supplementary Supplies</v>
      </c>
      <c r="C818" t="s">
        <v>314</v>
      </c>
      <c r="D818">
        <v>806</v>
      </c>
      <c r="E818" t="s">
        <v>471</v>
      </c>
      <c r="F818" t="s">
        <v>457</v>
      </c>
      <c r="G818" t="s">
        <v>319</v>
      </c>
      <c r="H818" s="502">
        <v>54580</v>
      </c>
      <c r="I818" s="415">
        <v>600.12</v>
      </c>
      <c r="J818" s="415">
        <v>3313</v>
      </c>
      <c r="K818" s="415">
        <v>4760.76</v>
      </c>
      <c r="L818" s="415">
        <v>2674.59</v>
      </c>
      <c r="M818" s="415">
        <v>2724.02</v>
      </c>
      <c r="N818" s="415">
        <v>2288.7199999999998</v>
      </c>
      <c r="O818" s="415">
        <v>2458.4899999999998</v>
      </c>
      <c r="P818" s="415">
        <v>3890.25</v>
      </c>
      <c r="Q818" s="481">
        <f t="shared" si="58"/>
        <v>2712.88</v>
      </c>
    </row>
    <row r="819" spans="1:17" outlineLevel="2" x14ac:dyDescent="0.3">
      <c r="A819" s="366" t="str">
        <f>IFERROR(VLOOKUP(RIGHT(E819,3)+0,[1]SchLocTable!$A$2:$B$47,2,FALSE)," ")</f>
        <v>Physical Science HS</v>
      </c>
      <c r="B819" s="366" t="str">
        <f>VLOOKUP(VALUE(D819),$D$3:F$106,3,FALSE)</f>
        <v>Supplementary Supplies</v>
      </c>
      <c r="C819" t="s">
        <v>314</v>
      </c>
      <c r="D819">
        <v>806</v>
      </c>
      <c r="E819" t="s">
        <v>472</v>
      </c>
      <c r="F819" t="s">
        <v>474</v>
      </c>
      <c r="G819" t="s">
        <v>319</v>
      </c>
      <c r="H819" s="502">
        <v>54550</v>
      </c>
      <c r="I819" s="415">
        <v>0</v>
      </c>
      <c r="J819" s="415">
        <v>1916</v>
      </c>
      <c r="K819" s="415">
        <v>0</v>
      </c>
      <c r="L819" s="415">
        <v>0</v>
      </c>
      <c r="M819" s="415">
        <v>0</v>
      </c>
      <c r="N819" s="415">
        <v>0</v>
      </c>
      <c r="O819" s="415">
        <v>0</v>
      </c>
      <c r="P819" s="415">
        <v>0</v>
      </c>
      <c r="Q819" s="481">
        <f t="shared" si="58"/>
        <v>1916</v>
      </c>
    </row>
    <row r="820" spans="1:17" outlineLevel="2" x14ac:dyDescent="0.3">
      <c r="A820" s="366" t="str">
        <f>IFERROR(VLOOKUP(RIGHT(E820,3)+0,[1]SchLocTable!$A$2:$B$47,2,FALSE)," ")</f>
        <v>Physical Science HS</v>
      </c>
      <c r="B820" s="366" t="str">
        <f>VLOOKUP(VALUE(D820),$D$3:F$106,3,FALSE)</f>
        <v>Supplementary Supplies</v>
      </c>
      <c r="C820" t="s">
        <v>314</v>
      </c>
      <c r="D820">
        <v>806</v>
      </c>
      <c r="E820" t="s">
        <v>472</v>
      </c>
      <c r="F820" t="s">
        <v>473</v>
      </c>
      <c r="G820" t="s">
        <v>319</v>
      </c>
      <c r="H820" s="502">
        <v>53605</v>
      </c>
      <c r="I820" s="415">
        <v>0</v>
      </c>
      <c r="J820" s="415">
        <v>3675</v>
      </c>
      <c r="K820" s="415">
        <v>385</v>
      </c>
      <c r="L820" s="415">
        <v>385</v>
      </c>
      <c r="M820" s="415">
        <v>0</v>
      </c>
      <c r="N820" s="415">
        <v>0</v>
      </c>
      <c r="O820" s="415">
        <v>860</v>
      </c>
      <c r="P820" s="415">
        <v>1245</v>
      </c>
      <c r="Q820" s="481">
        <f t="shared" si="58"/>
        <v>3675</v>
      </c>
    </row>
    <row r="821" spans="1:17" outlineLevel="2" x14ac:dyDescent="0.3">
      <c r="A821" s="366" t="str">
        <f>IFERROR(VLOOKUP(RIGHT(E821,3)+0,[1]SchLocTable!$A$2:$B$47,2,FALSE)," ")</f>
        <v>Physical Science HS</v>
      </c>
      <c r="B821" s="366" t="str">
        <f>VLOOKUP(VALUE(D821),$D$3:F$106,3,FALSE)</f>
        <v>Supplementary Supplies</v>
      </c>
      <c r="C821" t="s">
        <v>314</v>
      </c>
      <c r="D821">
        <v>806</v>
      </c>
      <c r="E821" t="s">
        <v>472</v>
      </c>
      <c r="F821" t="s">
        <v>464</v>
      </c>
      <c r="G821" t="s">
        <v>319</v>
      </c>
      <c r="H821" s="502">
        <v>56180</v>
      </c>
      <c r="I821" s="415">
        <v>0</v>
      </c>
      <c r="J821" s="415">
        <v>250.88</v>
      </c>
      <c r="K821" s="415">
        <v>668.5</v>
      </c>
      <c r="L821" s="415">
        <v>1219.0999999999999</v>
      </c>
      <c r="M821" s="415">
        <v>332.75</v>
      </c>
      <c r="N821" s="415">
        <v>810</v>
      </c>
      <c r="O821" s="415">
        <v>317.16000000000003</v>
      </c>
      <c r="P821" s="415">
        <v>0</v>
      </c>
      <c r="Q821" s="481">
        <f t="shared" si="58"/>
        <v>250.88</v>
      </c>
    </row>
    <row r="822" spans="1:17" outlineLevel="2" x14ac:dyDescent="0.3">
      <c r="A822" s="366" t="str">
        <f>IFERROR(VLOOKUP(RIGHT(E822,3)+0,[1]SchLocTable!$A$2:$B$47,2,FALSE)," ")</f>
        <v>Physical Science HS</v>
      </c>
      <c r="B822" s="366" t="str">
        <f>VLOOKUP(VALUE(D822),$D$3:F$106,3,FALSE)</f>
        <v>Supplementary Supplies</v>
      </c>
      <c r="C822" t="s">
        <v>314</v>
      </c>
      <c r="D822">
        <v>806</v>
      </c>
      <c r="E822" t="s">
        <v>472</v>
      </c>
      <c r="F822" t="s">
        <v>463</v>
      </c>
      <c r="G822" t="s">
        <v>319</v>
      </c>
      <c r="H822" s="502">
        <v>54725</v>
      </c>
      <c r="I822" s="415">
        <v>714.41</v>
      </c>
      <c r="J822" s="415">
        <v>721.91</v>
      </c>
      <c r="K822" s="415">
        <v>1176.75</v>
      </c>
      <c r="L822" s="415">
        <v>147.27000000000001</v>
      </c>
      <c r="M822" s="415">
        <v>0</v>
      </c>
      <c r="N822" s="415">
        <v>0</v>
      </c>
      <c r="O822" s="415">
        <v>0</v>
      </c>
      <c r="P822" s="415">
        <v>200</v>
      </c>
      <c r="Q822" s="481">
        <f t="shared" si="58"/>
        <v>7.5</v>
      </c>
    </row>
    <row r="823" spans="1:17" outlineLevel="2" x14ac:dyDescent="0.3">
      <c r="A823" s="366" t="str">
        <f>IFERROR(VLOOKUP(RIGHT(E823,3)+0,[1]SchLocTable!$A$2:$B$47,2,FALSE)," ")</f>
        <v>Physical Science HS</v>
      </c>
      <c r="B823" s="366" t="str">
        <f>VLOOKUP(VALUE(D823),$D$3:F$106,3,FALSE)</f>
        <v>Supplementary Supplies</v>
      </c>
      <c r="C823" t="s">
        <v>314</v>
      </c>
      <c r="D823">
        <v>806</v>
      </c>
      <c r="E823" t="s">
        <v>472</v>
      </c>
      <c r="F823" t="s">
        <v>457</v>
      </c>
      <c r="G823" t="s">
        <v>319</v>
      </c>
      <c r="H823" s="502">
        <v>54580</v>
      </c>
      <c r="I823" s="415">
        <v>890.74</v>
      </c>
      <c r="J823" s="415">
        <v>5497.83</v>
      </c>
      <c r="K823" s="415">
        <v>10019.33</v>
      </c>
      <c r="L823" s="415">
        <v>8240.16</v>
      </c>
      <c r="M823" s="415">
        <v>9655.06</v>
      </c>
      <c r="N823" s="415">
        <v>7567.26</v>
      </c>
      <c r="O823" s="415">
        <v>5408.58</v>
      </c>
      <c r="P823" s="415">
        <v>6410.1</v>
      </c>
      <c r="Q823" s="481">
        <f t="shared" si="58"/>
        <v>4607.09</v>
      </c>
    </row>
    <row r="824" spans="1:17" outlineLevel="2" x14ac:dyDescent="0.3">
      <c r="A824" s="366" t="str">
        <f>IFERROR(VLOOKUP(RIGHT(E824,3)+0,[1]SchLocTable!$A$2:$B$47,2,FALSE)," ")</f>
        <v>Physical Science HS</v>
      </c>
      <c r="B824" s="366" t="str">
        <f>VLOOKUP(VALUE(D824),$D$3:F$106,3,FALSE)</f>
        <v>Supplementary Supplies</v>
      </c>
      <c r="C824" t="s">
        <v>314</v>
      </c>
      <c r="D824">
        <v>806</v>
      </c>
      <c r="E824" t="s">
        <v>472</v>
      </c>
      <c r="F824" t="s">
        <v>465</v>
      </c>
      <c r="G824" t="s">
        <v>319</v>
      </c>
      <c r="H824" s="502">
        <v>56240</v>
      </c>
      <c r="I824" s="415">
        <v>0</v>
      </c>
      <c r="J824" s="415">
        <v>438.38</v>
      </c>
      <c r="K824" s="415">
        <v>0</v>
      </c>
      <c r="L824" s="415">
        <v>0</v>
      </c>
      <c r="M824" s="415">
        <v>0</v>
      </c>
      <c r="N824" s="415">
        <v>0</v>
      </c>
      <c r="O824" s="415">
        <v>0</v>
      </c>
      <c r="P824" s="415">
        <v>0</v>
      </c>
      <c r="Q824" s="481">
        <f t="shared" si="58"/>
        <v>438.38</v>
      </c>
    </row>
    <row r="825" spans="1:17" outlineLevel="2" x14ac:dyDescent="0.3">
      <c r="A825" s="366" t="str">
        <f>IFERROR(VLOOKUP(RIGHT(E825,3)+0,[1]SchLocTable!$A$2:$B$47,2,FALSE)," ")</f>
        <v>Marin</v>
      </c>
      <c r="B825" s="366" t="str">
        <f>VLOOKUP(VALUE(D825),$D$3:F$106,3,FALSE)</f>
        <v>Supplementary Supplies</v>
      </c>
      <c r="C825" t="s">
        <v>314</v>
      </c>
      <c r="D825">
        <v>806</v>
      </c>
      <c r="E825" t="s">
        <v>475</v>
      </c>
      <c r="F825" t="s">
        <v>464</v>
      </c>
      <c r="G825" t="s">
        <v>319</v>
      </c>
      <c r="H825" s="502">
        <v>56180</v>
      </c>
      <c r="I825" s="415">
        <v>1727.5</v>
      </c>
      <c r="J825" s="415">
        <v>1727.5</v>
      </c>
      <c r="K825" s="415">
        <v>645</v>
      </c>
      <c r="L825" s="415">
        <v>2665</v>
      </c>
      <c r="M825" s="415">
        <v>1850</v>
      </c>
      <c r="N825" s="415">
        <v>3917.5</v>
      </c>
      <c r="O825" s="415">
        <v>50</v>
      </c>
      <c r="P825" s="415">
        <v>375</v>
      </c>
      <c r="Q825" s="481">
        <f t="shared" si="58"/>
        <v>0</v>
      </c>
    </row>
    <row r="826" spans="1:17" outlineLevel="2" x14ac:dyDescent="0.3">
      <c r="A826" s="366" t="str">
        <f>IFERROR(VLOOKUP(RIGHT(E826,3)+0,[1]SchLocTable!$A$2:$B$47,2,FALSE)," ")</f>
        <v>Marin</v>
      </c>
      <c r="B826" s="366" t="str">
        <f>VLOOKUP(VALUE(D826),$D$3:F$106,3,FALSE)</f>
        <v>Supplementary Supplies</v>
      </c>
      <c r="C826" t="s">
        <v>314</v>
      </c>
      <c r="D826">
        <v>806</v>
      </c>
      <c r="E826" t="s">
        <v>475</v>
      </c>
      <c r="F826" t="s">
        <v>463</v>
      </c>
      <c r="G826" t="s">
        <v>319</v>
      </c>
      <c r="H826" s="502">
        <v>54725</v>
      </c>
      <c r="I826" s="415">
        <v>239.16</v>
      </c>
      <c r="J826" s="415">
        <v>1146.9100000000001</v>
      </c>
      <c r="K826" s="415">
        <v>2613.04</v>
      </c>
      <c r="L826" s="415">
        <v>1049.26</v>
      </c>
      <c r="M826" s="415">
        <v>583.62</v>
      </c>
      <c r="N826" s="415">
        <v>492.87</v>
      </c>
      <c r="O826" s="415">
        <v>321.64999999999998</v>
      </c>
      <c r="P826" s="415">
        <v>400</v>
      </c>
      <c r="Q826" s="481">
        <f t="shared" si="58"/>
        <v>907.75000000000011</v>
      </c>
    </row>
    <row r="827" spans="1:17" outlineLevel="2" x14ac:dyDescent="0.3">
      <c r="A827" s="366" t="str">
        <f>IFERROR(VLOOKUP(RIGHT(E827,3)+0,[1]SchLocTable!$A$2:$B$47,2,FALSE)," ")</f>
        <v>Marin</v>
      </c>
      <c r="B827" s="366" t="str">
        <f>VLOOKUP(VALUE(D827),$D$3:F$106,3,FALSE)</f>
        <v>Supplementary Supplies</v>
      </c>
      <c r="C827" t="s">
        <v>314</v>
      </c>
      <c r="D827">
        <v>806</v>
      </c>
      <c r="E827" t="s">
        <v>475</v>
      </c>
      <c r="F827" t="s">
        <v>457</v>
      </c>
      <c r="G827" t="s">
        <v>319</v>
      </c>
      <c r="H827" s="502">
        <v>54580</v>
      </c>
      <c r="I827" s="415">
        <v>-917.94</v>
      </c>
      <c r="J827" s="415">
        <v>9733.59</v>
      </c>
      <c r="K827" s="415">
        <v>14229.95</v>
      </c>
      <c r="L827" s="415">
        <v>8954.73</v>
      </c>
      <c r="M827" s="415">
        <v>11977.49</v>
      </c>
      <c r="N827" s="415">
        <v>8876.99</v>
      </c>
      <c r="O827" s="415">
        <v>12767.05</v>
      </c>
      <c r="P827" s="415">
        <v>10945.08</v>
      </c>
      <c r="Q827" s="481">
        <f t="shared" si="58"/>
        <v>10651.53</v>
      </c>
    </row>
    <row r="828" spans="1:17" outlineLevel="2" x14ac:dyDescent="0.3">
      <c r="A828" s="366" t="str">
        <f>IFERROR(VLOOKUP(RIGHT(E828,3)+0,[1]SchLocTable!$A$2:$B$47,2,FALSE)," ")</f>
        <v>Marin</v>
      </c>
      <c r="B828" s="366" t="str">
        <f>VLOOKUP(VALUE(D828),$D$3:F$106,3,FALSE)</f>
        <v>Supplementary Supplies</v>
      </c>
      <c r="C828" t="s">
        <v>314</v>
      </c>
      <c r="D828">
        <v>806</v>
      </c>
      <c r="E828" t="s">
        <v>475</v>
      </c>
      <c r="F828" t="s">
        <v>912</v>
      </c>
      <c r="G828" t="s">
        <v>319</v>
      </c>
      <c r="H828" s="502">
        <v>54745</v>
      </c>
      <c r="I828" s="415">
        <v>2496</v>
      </c>
      <c r="J828" s="415">
        <v>4992</v>
      </c>
      <c r="K828" s="415">
        <v>0</v>
      </c>
      <c r="L828" s="415">
        <v>0</v>
      </c>
      <c r="M828" s="415">
        <v>0</v>
      </c>
      <c r="N828" s="415">
        <v>0</v>
      </c>
      <c r="O828" s="415">
        <v>0</v>
      </c>
      <c r="P828" s="415">
        <v>0</v>
      </c>
      <c r="Q828" s="481">
        <f t="shared" si="58"/>
        <v>2496</v>
      </c>
    </row>
    <row r="829" spans="1:17" outlineLevel="2" x14ac:dyDescent="0.3">
      <c r="A829" s="366" t="str">
        <f>IFERROR(VLOOKUP(RIGHT(E829,3)+0,[1]SchLocTable!$A$2:$B$47,2,FALSE)," ")</f>
        <v>Hall</v>
      </c>
      <c r="B829" s="366" t="str">
        <f>VLOOKUP(VALUE(D829),$D$3:F$106,3,FALSE)</f>
        <v>Supplementary Supplies</v>
      </c>
      <c r="C829" t="s">
        <v>314</v>
      </c>
      <c r="D829">
        <v>806</v>
      </c>
      <c r="E829" t="s">
        <v>476</v>
      </c>
      <c r="F829" t="s">
        <v>464</v>
      </c>
      <c r="G829" t="s">
        <v>319</v>
      </c>
      <c r="H829" s="502">
        <v>56180</v>
      </c>
      <c r="I829" s="415">
        <v>26.38</v>
      </c>
      <c r="J829" s="415">
        <v>26.38</v>
      </c>
      <c r="K829" s="415">
        <v>0</v>
      </c>
      <c r="L829" s="415">
        <v>0</v>
      </c>
      <c r="M829" s="415">
        <v>0</v>
      </c>
      <c r="N829" s="415">
        <v>0</v>
      </c>
      <c r="O829" s="415">
        <v>0</v>
      </c>
      <c r="P829" s="415">
        <v>26.38</v>
      </c>
      <c r="Q829" s="481">
        <f t="shared" si="58"/>
        <v>0</v>
      </c>
    </row>
    <row r="830" spans="1:17" outlineLevel="2" x14ac:dyDescent="0.3">
      <c r="A830" s="366" t="str">
        <f>IFERROR(VLOOKUP(RIGHT(E830,3)+0,[1]SchLocTable!$A$2:$B$47,2,FALSE)," ")</f>
        <v>Hall</v>
      </c>
      <c r="B830" s="366" t="str">
        <f>VLOOKUP(VALUE(D830),$D$3:F$106,3,FALSE)</f>
        <v>Supplementary Supplies</v>
      </c>
      <c r="C830" t="s">
        <v>314</v>
      </c>
      <c r="D830">
        <v>806</v>
      </c>
      <c r="E830" t="s">
        <v>476</v>
      </c>
      <c r="F830" t="s">
        <v>463</v>
      </c>
      <c r="G830" t="s">
        <v>319</v>
      </c>
      <c r="H830" s="502">
        <v>54725</v>
      </c>
      <c r="I830" s="415">
        <v>280.52999999999997</v>
      </c>
      <c r="J830" s="415">
        <v>346.91</v>
      </c>
      <c r="K830" s="415">
        <v>66.930000000000007</v>
      </c>
      <c r="L830" s="415">
        <v>0</v>
      </c>
      <c r="M830" s="415">
        <v>59.67</v>
      </c>
      <c r="N830" s="415">
        <v>91.76</v>
      </c>
      <c r="O830" s="415">
        <v>547.04999999999995</v>
      </c>
      <c r="P830" s="415">
        <v>250</v>
      </c>
      <c r="Q830" s="481">
        <f t="shared" si="58"/>
        <v>66.380000000000052</v>
      </c>
    </row>
    <row r="831" spans="1:17" outlineLevel="2" x14ac:dyDescent="0.3">
      <c r="A831" s="366" t="str">
        <f>IFERROR(VLOOKUP(RIGHT(E831,3)+0,[1]SchLocTable!$A$2:$B$47,2,FALSE)," ")</f>
        <v>Hall</v>
      </c>
      <c r="B831" s="366" t="str">
        <f>VLOOKUP(VALUE(D831),$D$3:F$106,3,FALSE)</f>
        <v>Supplementary Supplies</v>
      </c>
      <c r="C831" t="s">
        <v>314</v>
      </c>
      <c r="D831">
        <v>806</v>
      </c>
      <c r="E831" t="s">
        <v>476</v>
      </c>
      <c r="F831" t="s">
        <v>457</v>
      </c>
      <c r="G831" t="s">
        <v>319</v>
      </c>
      <c r="H831" s="502">
        <v>54580</v>
      </c>
      <c r="I831" s="415">
        <v>3788.36</v>
      </c>
      <c r="J831" s="415">
        <v>3926.71</v>
      </c>
      <c r="K831" s="415">
        <v>4471.0600000000004</v>
      </c>
      <c r="L831" s="415">
        <v>3246.06</v>
      </c>
      <c r="M831" s="415">
        <v>1267.26</v>
      </c>
      <c r="N831" s="415">
        <v>2450.35</v>
      </c>
      <c r="O831" s="415">
        <v>3302.67</v>
      </c>
      <c r="P831" s="415">
        <v>1535.71</v>
      </c>
      <c r="Q831" s="481">
        <f t="shared" ref="Q831:Q894" si="59">J831-I831</f>
        <v>138.34999999999991</v>
      </c>
    </row>
    <row r="832" spans="1:17" outlineLevel="2" x14ac:dyDescent="0.3">
      <c r="A832" s="366" t="str">
        <f>IFERROR(VLOOKUP(RIGHT(E832,3)+0,[1]SchLocTable!$A$2:$B$47,2,FALSE)," ")</f>
        <v>Hallen</v>
      </c>
      <c r="B832" s="366" t="str">
        <f>VLOOKUP(VALUE(D832),$D$3:F$106,3,FALSE)</f>
        <v>Supplementary Supplies</v>
      </c>
      <c r="C832" t="s">
        <v>314</v>
      </c>
      <c r="D832">
        <v>806</v>
      </c>
      <c r="E832" t="s">
        <v>477</v>
      </c>
      <c r="F832" t="s">
        <v>464</v>
      </c>
      <c r="G832" t="s">
        <v>319</v>
      </c>
      <c r="H832" s="502">
        <v>56180</v>
      </c>
      <c r="I832" s="415">
        <v>0</v>
      </c>
      <c r="J832" s="415">
        <v>0</v>
      </c>
      <c r="K832" s="415">
        <v>0</v>
      </c>
      <c r="L832" s="415">
        <v>0</v>
      </c>
      <c r="M832" s="415">
        <v>571</v>
      </c>
      <c r="N832" s="415">
        <v>0</v>
      </c>
      <c r="O832" s="415">
        <v>696.49</v>
      </c>
      <c r="P832" s="415">
        <v>0</v>
      </c>
      <c r="Q832" s="481">
        <f t="shared" si="59"/>
        <v>0</v>
      </c>
    </row>
    <row r="833" spans="1:17" outlineLevel="2" x14ac:dyDescent="0.3">
      <c r="A833" s="366" t="str">
        <f>IFERROR(VLOOKUP(RIGHT(E833,3)+0,[1]SchLocTable!$A$2:$B$47,2,FALSE)," ")</f>
        <v>Hallen</v>
      </c>
      <c r="B833" s="366" t="str">
        <f>VLOOKUP(VALUE(D833),$D$3:F$106,3,FALSE)</f>
        <v>Supplementary Supplies</v>
      </c>
      <c r="C833" t="s">
        <v>314</v>
      </c>
      <c r="D833">
        <v>806</v>
      </c>
      <c r="E833" t="s">
        <v>477</v>
      </c>
      <c r="F833" t="s">
        <v>463</v>
      </c>
      <c r="G833" t="s">
        <v>319</v>
      </c>
      <c r="H833" s="502">
        <v>54725</v>
      </c>
      <c r="I833" s="415">
        <v>850.51</v>
      </c>
      <c r="J833" s="415">
        <v>1096.9100000000001</v>
      </c>
      <c r="K833" s="415">
        <v>183.98</v>
      </c>
      <c r="L833" s="415">
        <v>174.47</v>
      </c>
      <c r="M833" s="415">
        <v>81.150000000000006</v>
      </c>
      <c r="N833" s="415">
        <v>118.52</v>
      </c>
      <c r="O833" s="415">
        <v>1175.73</v>
      </c>
      <c r="P833" s="415">
        <v>871.74</v>
      </c>
      <c r="Q833" s="481">
        <f t="shared" si="59"/>
        <v>246.40000000000009</v>
      </c>
    </row>
    <row r="834" spans="1:17" outlineLevel="2" x14ac:dyDescent="0.3">
      <c r="A834" s="366" t="str">
        <f>IFERROR(VLOOKUP(RIGHT(E834,3)+0,[1]SchLocTable!$A$2:$B$47,2,FALSE)," ")</f>
        <v>Hallen</v>
      </c>
      <c r="B834" s="366" t="str">
        <f>VLOOKUP(VALUE(D834),$D$3:F$106,3,FALSE)</f>
        <v>Supplementary Supplies</v>
      </c>
      <c r="C834" t="s">
        <v>314</v>
      </c>
      <c r="D834">
        <v>806</v>
      </c>
      <c r="E834" t="s">
        <v>477</v>
      </c>
      <c r="F834" t="s">
        <v>457</v>
      </c>
      <c r="G834" t="s">
        <v>319</v>
      </c>
      <c r="H834" s="502">
        <v>54580</v>
      </c>
      <c r="I834" s="415">
        <v>4283.96</v>
      </c>
      <c r="J834" s="415">
        <v>5478.09</v>
      </c>
      <c r="K834" s="415">
        <v>5623.82</v>
      </c>
      <c r="L834" s="415">
        <v>4081.66</v>
      </c>
      <c r="M834" s="415">
        <v>3711.2</v>
      </c>
      <c r="N834" s="415">
        <v>3786.19</v>
      </c>
      <c r="O834" s="415">
        <v>2484.0700000000002</v>
      </c>
      <c r="P834" s="415">
        <v>4368.2299999999996</v>
      </c>
      <c r="Q834" s="481">
        <f t="shared" si="59"/>
        <v>1194.1300000000001</v>
      </c>
    </row>
    <row r="835" spans="1:17" outlineLevel="2" x14ac:dyDescent="0.3">
      <c r="A835" s="366" t="str">
        <f>IFERROR(VLOOKUP(RIGHT(E835,3)+0,[1]SchLocTable!$A$2:$B$47,2,FALSE)," ")</f>
        <v>Hallen</v>
      </c>
      <c r="B835" s="366" t="str">
        <f>VLOOKUP(VALUE(D835),$D$3:F$106,3,FALSE)</f>
        <v>Supplementary Supplies</v>
      </c>
      <c r="C835" t="s">
        <v>314</v>
      </c>
      <c r="D835">
        <v>806</v>
      </c>
      <c r="E835" t="s">
        <v>477</v>
      </c>
      <c r="F835" t="s">
        <v>465</v>
      </c>
      <c r="G835" t="s">
        <v>319</v>
      </c>
      <c r="H835" s="502">
        <v>56240</v>
      </c>
      <c r="I835" s="415">
        <v>0</v>
      </c>
      <c r="J835" s="415">
        <v>0</v>
      </c>
      <c r="K835" s="415">
        <v>0</v>
      </c>
      <c r="L835" s="415">
        <v>0</v>
      </c>
      <c r="M835" s="415">
        <v>1000</v>
      </c>
      <c r="N835" s="415">
        <v>0</v>
      </c>
      <c r="O835" s="415">
        <v>0</v>
      </c>
      <c r="P835" s="415">
        <v>0</v>
      </c>
      <c r="Q835" s="481">
        <f t="shared" si="59"/>
        <v>0</v>
      </c>
    </row>
    <row r="836" spans="1:17" outlineLevel="2" x14ac:dyDescent="0.3">
      <c r="A836" s="366" t="str">
        <f>IFERROR(VLOOKUP(RIGHT(E836,3)+0,[1]SchLocTable!$A$2:$B$47,2,FALSE)," ")</f>
        <v>Hooker</v>
      </c>
      <c r="B836" s="366" t="str">
        <f>VLOOKUP(VALUE(D836),$D$3:F$106,3,FALSE)</f>
        <v>Supplementary Supplies</v>
      </c>
      <c r="C836" t="s">
        <v>314</v>
      </c>
      <c r="D836">
        <v>806</v>
      </c>
      <c r="E836" t="s">
        <v>478</v>
      </c>
      <c r="F836" t="s">
        <v>334</v>
      </c>
      <c r="G836" t="s">
        <v>319</v>
      </c>
      <c r="H836" s="502">
        <v>51400</v>
      </c>
      <c r="I836" s="415">
        <v>0</v>
      </c>
      <c r="J836" s="415">
        <v>0</v>
      </c>
      <c r="K836" s="415">
        <v>0</v>
      </c>
      <c r="L836" s="415">
        <v>505.51</v>
      </c>
      <c r="M836" s="415">
        <v>1001</v>
      </c>
      <c r="N836" s="415">
        <v>0</v>
      </c>
      <c r="O836" s="415">
        <v>0</v>
      </c>
      <c r="P836" s="415">
        <v>0</v>
      </c>
      <c r="Q836" s="481">
        <f t="shared" si="59"/>
        <v>0</v>
      </c>
    </row>
    <row r="837" spans="1:17" outlineLevel="2" x14ac:dyDescent="0.3">
      <c r="A837" s="366" t="str">
        <f>IFERROR(VLOOKUP(RIGHT(E837,3)+0,[1]SchLocTable!$A$2:$B$47,2,FALSE)," ")</f>
        <v>Hooker</v>
      </c>
      <c r="B837" s="366" t="str">
        <f>VLOOKUP(VALUE(D837),$D$3:F$106,3,FALSE)</f>
        <v>Supplementary Supplies</v>
      </c>
      <c r="C837" t="s">
        <v>314</v>
      </c>
      <c r="D837">
        <v>806</v>
      </c>
      <c r="E837" t="s">
        <v>478</v>
      </c>
      <c r="F837" t="s">
        <v>320</v>
      </c>
      <c r="G837" t="s">
        <v>319</v>
      </c>
      <c r="H837" s="502">
        <v>52360</v>
      </c>
      <c r="I837" s="415">
        <v>0</v>
      </c>
      <c r="J837" s="415">
        <v>0</v>
      </c>
      <c r="K837" s="415">
        <v>0</v>
      </c>
      <c r="L837" s="415">
        <v>7.33</v>
      </c>
      <c r="M837" s="415">
        <v>14.52</v>
      </c>
      <c r="N837" s="415">
        <v>0</v>
      </c>
      <c r="O837" s="415">
        <v>0</v>
      </c>
      <c r="P837" s="415">
        <v>4.33</v>
      </c>
      <c r="Q837" s="481">
        <f t="shared" si="59"/>
        <v>0</v>
      </c>
    </row>
    <row r="838" spans="1:17" outlineLevel="2" x14ac:dyDescent="0.3">
      <c r="A838" s="366" t="str">
        <f>IFERROR(VLOOKUP(RIGHT(E838,3)+0,[1]SchLocTable!$A$2:$B$47,2,FALSE)," ")</f>
        <v>Hooker</v>
      </c>
      <c r="B838" s="366" t="str">
        <f>VLOOKUP(VALUE(D838),$D$3:F$106,3,FALSE)</f>
        <v>Supplementary Supplies</v>
      </c>
      <c r="C838" t="s">
        <v>314</v>
      </c>
      <c r="D838">
        <v>806</v>
      </c>
      <c r="E838" t="s">
        <v>478</v>
      </c>
      <c r="F838" t="s">
        <v>392</v>
      </c>
      <c r="G838" t="s">
        <v>319</v>
      </c>
      <c r="H838" s="502">
        <v>52504</v>
      </c>
      <c r="I838" s="415">
        <v>0</v>
      </c>
      <c r="J838" s="415">
        <v>0</v>
      </c>
      <c r="K838" s="415">
        <v>0</v>
      </c>
      <c r="L838" s="415">
        <v>0</v>
      </c>
      <c r="M838" s="415">
        <v>0</v>
      </c>
      <c r="N838" s="415">
        <v>0</v>
      </c>
      <c r="O838" s="415">
        <v>0</v>
      </c>
      <c r="P838" s="415">
        <v>42.5</v>
      </c>
      <c r="Q838" s="481">
        <f t="shared" si="59"/>
        <v>0</v>
      </c>
    </row>
    <row r="839" spans="1:17" outlineLevel="2" x14ac:dyDescent="0.3">
      <c r="A839" s="366" t="str">
        <f>IFERROR(VLOOKUP(RIGHT(E839,3)+0,[1]SchLocTable!$A$2:$B$47,2,FALSE)," ")</f>
        <v>Hooker</v>
      </c>
      <c r="B839" s="366" t="str">
        <f>VLOOKUP(VALUE(D839),$D$3:F$106,3,FALSE)</f>
        <v>Supplementary Supplies</v>
      </c>
      <c r="C839" t="s">
        <v>314</v>
      </c>
      <c r="D839">
        <v>806</v>
      </c>
      <c r="E839" t="s">
        <v>478</v>
      </c>
      <c r="F839" t="s">
        <v>458</v>
      </c>
      <c r="G839" t="s">
        <v>319</v>
      </c>
      <c r="H839" s="502">
        <v>54675</v>
      </c>
      <c r="I839" s="415">
        <v>0</v>
      </c>
      <c r="J839" s="415">
        <v>393.21</v>
      </c>
      <c r="K839" s="415">
        <v>0</v>
      </c>
      <c r="L839" s="415">
        <v>0</v>
      </c>
      <c r="M839" s="415">
        <v>0</v>
      </c>
      <c r="N839" s="415">
        <v>0</v>
      </c>
      <c r="O839" s="415">
        <v>0</v>
      </c>
      <c r="P839" s="415">
        <v>0</v>
      </c>
      <c r="Q839" s="481">
        <f t="shared" si="59"/>
        <v>393.21</v>
      </c>
    </row>
    <row r="840" spans="1:17" outlineLevel="2" x14ac:dyDescent="0.3">
      <c r="A840" s="366" t="str">
        <f>IFERROR(VLOOKUP(RIGHT(E840,3)+0,[1]SchLocTable!$A$2:$B$47,2,FALSE)," ")</f>
        <v>Hooker</v>
      </c>
      <c r="B840" s="366" t="str">
        <f>VLOOKUP(VALUE(D840),$D$3:F$106,3,FALSE)</f>
        <v>Supplementary Supplies</v>
      </c>
      <c r="C840" t="s">
        <v>314</v>
      </c>
      <c r="D840">
        <v>806</v>
      </c>
      <c r="E840" t="s">
        <v>478</v>
      </c>
      <c r="F840" t="s">
        <v>464</v>
      </c>
      <c r="G840" t="s">
        <v>319</v>
      </c>
      <c r="H840" s="502">
        <v>56180</v>
      </c>
      <c r="I840" s="415">
        <v>65</v>
      </c>
      <c r="J840" s="415">
        <v>65</v>
      </c>
      <c r="K840" s="415">
        <v>232.86</v>
      </c>
      <c r="L840" s="415">
        <v>0</v>
      </c>
      <c r="M840" s="415">
        <v>0.35</v>
      </c>
      <c r="N840" s="415">
        <v>0</v>
      </c>
      <c r="O840" s="415">
        <v>0</v>
      </c>
      <c r="P840" s="415">
        <v>32.5</v>
      </c>
      <c r="Q840" s="481">
        <f t="shared" si="59"/>
        <v>0</v>
      </c>
    </row>
    <row r="841" spans="1:17" outlineLevel="2" x14ac:dyDescent="0.3">
      <c r="A841" s="366" t="str">
        <f>IFERROR(VLOOKUP(RIGHT(E841,3)+0,[1]SchLocTable!$A$2:$B$47,2,FALSE)," ")</f>
        <v>Hooker</v>
      </c>
      <c r="B841" s="366" t="str">
        <f>VLOOKUP(VALUE(D841),$D$3:F$106,3,FALSE)</f>
        <v>Supplementary Supplies</v>
      </c>
      <c r="C841" t="s">
        <v>314</v>
      </c>
      <c r="D841">
        <v>806</v>
      </c>
      <c r="E841" t="s">
        <v>478</v>
      </c>
      <c r="F841" t="s">
        <v>463</v>
      </c>
      <c r="G841" t="s">
        <v>319</v>
      </c>
      <c r="H841" s="502">
        <v>54725</v>
      </c>
      <c r="I841" s="415">
        <v>786.64</v>
      </c>
      <c r="J841" s="415">
        <v>806.91</v>
      </c>
      <c r="K841" s="415">
        <v>296.05</v>
      </c>
      <c r="L841" s="415">
        <v>285.62</v>
      </c>
      <c r="M841" s="415">
        <v>464.67</v>
      </c>
      <c r="N841" s="415">
        <v>463.61</v>
      </c>
      <c r="O841" s="415">
        <v>520.70000000000005</v>
      </c>
      <c r="P841" s="415">
        <v>710</v>
      </c>
      <c r="Q841" s="481">
        <f t="shared" si="59"/>
        <v>20.269999999999982</v>
      </c>
    </row>
    <row r="842" spans="1:17" outlineLevel="2" x14ac:dyDescent="0.3">
      <c r="A842" s="366" t="str">
        <f>IFERROR(VLOOKUP(RIGHT(E842,3)+0,[1]SchLocTable!$A$2:$B$47,2,FALSE)," ")</f>
        <v>Hooker</v>
      </c>
      <c r="B842" s="366" t="str">
        <f>VLOOKUP(VALUE(D842),$D$3:F$106,3,FALSE)</f>
        <v>Supplementary Supplies</v>
      </c>
      <c r="C842" t="s">
        <v>314</v>
      </c>
      <c r="D842">
        <v>806</v>
      </c>
      <c r="E842" t="s">
        <v>478</v>
      </c>
      <c r="F842" t="s">
        <v>457</v>
      </c>
      <c r="G842" t="s">
        <v>319</v>
      </c>
      <c r="H842" s="502">
        <v>54580</v>
      </c>
      <c r="I842" s="415">
        <v>3323.08</v>
      </c>
      <c r="J842" s="415">
        <v>6084.88</v>
      </c>
      <c r="K842" s="415">
        <v>6310.88</v>
      </c>
      <c r="L842" s="415">
        <v>4881.59</v>
      </c>
      <c r="M842" s="415">
        <v>5818.32</v>
      </c>
      <c r="N842" s="415">
        <v>4681.75</v>
      </c>
      <c r="O842" s="415">
        <v>5308.41</v>
      </c>
      <c r="P842" s="415">
        <v>5212.0600000000004</v>
      </c>
      <c r="Q842" s="481">
        <f t="shared" si="59"/>
        <v>2761.8</v>
      </c>
    </row>
    <row r="843" spans="1:17" outlineLevel="2" x14ac:dyDescent="0.3">
      <c r="A843" s="366" t="str">
        <f>IFERROR(VLOOKUP(RIGHT(E843,3)+0,[1]SchLocTable!$A$2:$B$47,2,FALSE)," ")</f>
        <v>Hooker</v>
      </c>
      <c r="B843" s="366" t="str">
        <f>VLOOKUP(VALUE(D843),$D$3:F$106,3,FALSE)</f>
        <v>Supplementary Supplies</v>
      </c>
      <c r="C843" t="s">
        <v>314</v>
      </c>
      <c r="D843">
        <v>806</v>
      </c>
      <c r="E843" t="s">
        <v>478</v>
      </c>
      <c r="F843" t="s">
        <v>483</v>
      </c>
      <c r="G843" t="s">
        <v>319</v>
      </c>
      <c r="H843" s="502">
        <v>51122</v>
      </c>
      <c r="I843" s="415">
        <v>0</v>
      </c>
      <c r="J843" s="415">
        <v>0</v>
      </c>
      <c r="K843" s="415">
        <v>0</v>
      </c>
      <c r="L843" s="415">
        <v>0</v>
      </c>
      <c r="M843" s="415">
        <v>0</v>
      </c>
      <c r="N843" s="415">
        <v>0</v>
      </c>
      <c r="O843" s="415">
        <v>0</v>
      </c>
      <c r="P843" s="415">
        <v>298.67</v>
      </c>
      <c r="Q843" s="481">
        <f t="shared" si="59"/>
        <v>0</v>
      </c>
    </row>
    <row r="844" spans="1:17" outlineLevel="2" x14ac:dyDescent="0.3">
      <c r="A844" s="366" t="str">
        <f>IFERROR(VLOOKUP(RIGHT(E844,3)+0,[1]SchLocTable!$A$2:$B$47,2,FALSE)," ")</f>
        <v>Batalla</v>
      </c>
      <c r="B844" s="366" t="str">
        <f>VLOOKUP(VALUE(D844),$D$3:F$106,3,FALSE)</f>
        <v>Supplementary Supplies</v>
      </c>
      <c r="C844" t="s">
        <v>314</v>
      </c>
      <c r="D844">
        <v>806</v>
      </c>
      <c r="E844" t="s">
        <v>479</v>
      </c>
      <c r="F844" t="s">
        <v>334</v>
      </c>
      <c r="G844" t="s">
        <v>319</v>
      </c>
      <c r="H844" s="502">
        <v>51400</v>
      </c>
      <c r="I844" s="415">
        <v>0</v>
      </c>
      <c r="J844" s="415">
        <v>630</v>
      </c>
      <c r="K844" s="415">
        <v>0</v>
      </c>
      <c r="L844" s="415">
        <v>0</v>
      </c>
      <c r="M844" s="415">
        <v>0</v>
      </c>
      <c r="N844" s="415">
        <v>600</v>
      </c>
      <c r="O844" s="415">
        <v>0</v>
      </c>
      <c r="P844" s="415">
        <v>0</v>
      </c>
      <c r="Q844" s="481">
        <f t="shared" si="59"/>
        <v>630</v>
      </c>
    </row>
    <row r="845" spans="1:17" outlineLevel="2" x14ac:dyDescent="0.3">
      <c r="A845" s="366" t="str">
        <f>IFERROR(VLOOKUP(RIGHT(E845,3)+0,[1]SchLocTable!$A$2:$B$47,2,FALSE)," ")</f>
        <v>Batalla</v>
      </c>
      <c r="B845" s="366" t="str">
        <f>VLOOKUP(VALUE(D845),$D$3:F$106,3,FALSE)</f>
        <v>Supplementary Supplies</v>
      </c>
      <c r="C845" t="s">
        <v>314</v>
      </c>
      <c r="D845">
        <v>806</v>
      </c>
      <c r="E845" t="s">
        <v>479</v>
      </c>
      <c r="F845" t="s">
        <v>458</v>
      </c>
      <c r="G845" t="s">
        <v>319</v>
      </c>
      <c r="H845" s="502">
        <v>54675</v>
      </c>
      <c r="I845" s="415">
        <v>806</v>
      </c>
      <c r="J845" s="415">
        <v>4993.58</v>
      </c>
      <c r="K845" s="415">
        <v>0</v>
      </c>
      <c r="L845" s="415">
        <v>0</v>
      </c>
      <c r="M845" s="415">
        <v>0</v>
      </c>
      <c r="N845" s="415">
        <v>0</v>
      </c>
      <c r="O845" s="415">
        <v>0</v>
      </c>
      <c r="P845" s="415">
        <v>0</v>
      </c>
      <c r="Q845" s="481">
        <f t="shared" si="59"/>
        <v>4187.58</v>
      </c>
    </row>
    <row r="846" spans="1:17" outlineLevel="2" x14ac:dyDescent="0.3">
      <c r="A846" s="366" t="str">
        <f>IFERROR(VLOOKUP(RIGHT(E846,3)+0,[1]SchLocTable!$A$2:$B$47,2,FALSE)," ")</f>
        <v>Batalla</v>
      </c>
      <c r="B846" s="366" t="str">
        <f>VLOOKUP(VALUE(D846),$D$3:F$106,3,FALSE)</f>
        <v>Supplementary Supplies</v>
      </c>
      <c r="C846" t="s">
        <v>314</v>
      </c>
      <c r="D846">
        <v>806</v>
      </c>
      <c r="E846" t="s">
        <v>479</v>
      </c>
      <c r="F846" t="s">
        <v>464</v>
      </c>
      <c r="G846" t="s">
        <v>319</v>
      </c>
      <c r="H846" s="502">
        <v>56180</v>
      </c>
      <c r="I846" s="415">
        <v>0</v>
      </c>
      <c r="J846" s="415">
        <v>0</v>
      </c>
      <c r="K846" s="415">
        <v>2708</v>
      </c>
      <c r="L846" s="415">
        <v>830</v>
      </c>
      <c r="M846" s="415">
        <v>1976.5</v>
      </c>
      <c r="N846" s="415">
        <v>0</v>
      </c>
      <c r="O846" s="415">
        <v>0</v>
      </c>
      <c r="P846" s="415">
        <v>0</v>
      </c>
      <c r="Q846" s="481">
        <f t="shared" si="59"/>
        <v>0</v>
      </c>
    </row>
    <row r="847" spans="1:17" outlineLevel="2" x14ac:dyDescent="0.3">
      <c r="A847" s="366" t="str">
        <f>IFERROR(VLOOKUP(RIGHT(E847,3)+0,[1]SchLocTable!$A$2:$B$47,2,FALSE)," ")</f>
        <v>Batalla</v>
      </c>
      <c r="B847" s="366" t="str">
        <f>VLOOKUP(VALUE(D847),$D$3:F$106,3,FALSE)</f>
        <v>Supplementary Supplies</v>
      </c>
      <c r="C847" t="s">
        <v>314</v>
      </c>
      <c r="D847">
        <v>806</v>
      </c>
      <c r="E847" t="s">
        <v>479</v>
      </c>
      <c r="F847" t="s">
        <v>463</v>
      </c>
      <c r="G847" t="s">
        <v>319</v>
      </c>
      <c r="H847" s="502">
        <v>54725</v>
      </c>
      <c r="I847" s="415">
        <v>653.66999999999996</v>
      </c>
      <c r="J847" s="415">
        <v>996.91</v>
      </c>
      <c r="K847" s="415">
        <v>1019.84</v>
      </c>
      <c r="L847" s="415">
        <v>764.76</v>
      </c>
      <c r="M847" s="415">
        <v>371.75</v>
      </c>
      <c r="N847" s="415">
        <v>1547.35</v>
      </c>
      <c r="O847" s="415">
        <v>630.47</v>
      </c>
      <c r="P847" s="415">
        <v>350</v>
      </c>
      <c r="Q847" s="481">
        <f t="shared" si="59"/>
        <v>343.24</v>
      </c>
    </row>
    <row r="848" spans="1:17" outlineLevel="2" x14ac:dyDescent="0.3">
      <c r="A848" s="366" t="str">
        <f>IFERROR(VLOOKUP(RIGHT(E848,3)+0,[1]SchLocTable!$A$2:$B$47,2,FALSE)," ")</f>
        <v>Batalla</v>
      </c>
      <c r="B848" s="366" t="str">
        <f>VLOOKUP(VALUE(D848),$D$3:F$106,3,FALSE)</f>
        <v>Supplementary Supplies</v>
      </c>
      <c r="C848" t="s">
        <v>314</v>
      </c>
      <c r="D848">
        <v>806</v>
      </c>
      <c r="E848" t="s">
        <v>479</v>
      </c>
      <c r="F848" t="s">
        <v>480</v>
      </c>
      <c r="G848" t="s">
        <v>319</v>
      </c>
      <c r="H848" s="502">
        <v>55075</v>
      </c>
      <c r="I848" s="415">
        <v>1394.79</v>
      </c>
      <c r="J848" s="415">
        <v>1394.79</v>
      </c>
      <c r="K848" s="415">
        <v>0</v>
      </c>
      <c r="L848" s="415">
        <v>0</v>
      </c>
      <c r="M848" s="415">
        <v>0</v>
      </c>
      <c r="N848" s="415">
        <v>0</v>
      </c>
      <c r="O848" s="415">
        <v>0</v>
      </c>
      <c r="P848" s="415">
        <v>0</v>
      </c>
      <c r="Q848" s="481">
        <f t="shared" si="59"/>
        <v>0</v>
      </c>
    </row>
    <row r="849" spans="1:17" outlineLevel="2" x14ac:dyDescent="0.3">
      <c r="A849" s="366" t="str">
        <f>IFERROR(VLOOKUP(RIGHT(E849,3)+0,[1]SchLocTable!$A$2:$B$47,2,FALSE)," ")</f>
        <v>Batalla</v>
      </c>
      <c r="B849" s="366" t="str">
        <f>VLOOKUP(VALUE(D849),$D$3:F$106,3,FALSE)</f>
        <v>Supplementary Supplies</v>
      </c>
      <c r="C849" t="s">
        <v>314</v>
      </c>
      <c r="D849">
        <v>806</v>
      </c>
      <c r="E849" t="s">
        <v>479</v>
      </c>
      <c r="F849" t="s">
        <v>457</v>
      </c>
      <c r="G849" t="s">
        <v>319</v>
      </c>
      <c r="H849" s="502">
        <v>54580</v>
      </c>
      <c r="I849" s="415">
        <v>10196.120000000001</v>
      </c>
      <c r="J849" s="415">
        <v>15221.42</v>
      </c>
      <c r="K849" s="415">
        <v>21267.89</v>
      </c>
      <c r="L849" s="415">
        <v>19080.009999999998</v>
      </c>
      <c r="M849" s="415">
        <v>19203.07</v>
      </c>
      <c r="N849" s="415">
        <v>7257.02</v>
      </c>
      <c r="O849" s="415">
        <v>19021.13</v>
      </c>
      <c r="P849" s="415">
        <v>19037.169999999998</v>
      </c>
      <c r="Q849" s="481">
        <f t="shared" si="59"/>
        <v>5025.2999999999993</v>
      </c>
    </row>
    <row r="850" spans="1:17" outlineLevel="2" x14ac:dyDescent="0.3">
      <c r="A850" s="366" t="str">
        <f>IFERROR(VLOOKUP(RIGHT(E850,3)+0,[1]SchLocTable!$A$2:$B$47,2,FALSE)," ")</f>
        <v>Batalla</v>
      </c>
      <c r="B850" s="366" t="str">
        <f>VLOOKUP(VALUE(D850),$D$3:F$106,3,FALSE)</f>
        <v>Supplementary Supplies</v>
      </c>
      <c r="C850" t="s">
        <v>314</v>
      </c>
      <c r="D850">
        <v>806</v>
      </c>
      <c r="E850" t="s">
        <v>479</v>
      </c>
      <c r="F850" t="s">
        <v>469</v>
      </c>
      <c r="G850" t="s">
        <v>319</v>
      </c>
      <c r="H850" s="502">
        <v>54760</v>
      </c>
      <c r="I850" s="415">
        <v>0</v>
      </c>
      <c r="J850" s="415">
        <v>238.3</v>
      </c>
      <c r="K850" s="415">
        <v>0</v>
      </c>
      <c r="L850" s="415">
        <v>0</v>
      </c>
      <c r="M850" s="415">
        <v>0</v>
      </c>
      <c r="N850" s="415">
        <v>0</v>
      </c>
      <c r="O850" s="415">
        <v>0</v>
      </c>
      <c r="P850" s="415">
        <v>0</v>
      </c>
      <c r="Q850" s="481">
        <f t="shared" si="59"/>
        <v>238.3</v>
      </c>
    </row>
    <row r="851" spans="1:17" outlineLevel="2" x14ac:dyDescent="0.3">
      <c r="A851" s="366" t="str">
        <f>IFERROR(VLOOKUP(RIGHT(E851,3)+0,[1]SchLocTable!$A$2:$B$47,2,FALSE)," ")</f>
        <v>Batalla</v>
      </c>
      <c r="B851" s="366" t="str">
        <f>VLOOKUP(VALUE(D851),$D$3:F$106,3,FALSE)</f>
        <v>Supplementary Supplies</v>
      </c>
      <c r="C851" t="s">
        <v>314</v>
      </c>
      <c r="D851">
        <v>806</v>
      </c>
      <c r="E851" t="s">
        <v>479</v>
      </c>
      <c r="F851" t="s">
        <v>465</v>
      </c>
      <c r="G851" t="s">
        <v>319</v>
      </c>
      <c r="H851" s="502">
        <v>56240</v>
      </c>
      <c r="I851" s="415">
        <v>675</v>
      </c>
      <c r="J851" s="415">
        <v>675</v>
      </c>
      <c r="K851" s="415">
        <v>648</v>
      </c>
      <c r="L851" s="415">
        <v>0</v>
      </c>
      <c r="M851" s="415">
        <v>0</v>
      </c>
      <c r="N851" s="415">
        <v>600</v>
      </c>
      <c r="O851" s="415">
        <v>0</v>
      </c>
      <c r="P851" s="415">
        <v>0</v>
      </c>
      <c r="Q851" s="481">
        <f t="shared" si="59"/>
        <v>0</v>
      </c>
    </row>
    <row r="852" spans="1:17" outlineLevel="2" x14ac:dyDescent="0.3">
      <c r="A852" s="366" t="str">
        <f>IFERROR(VLOOKUP(RIGHT(E852,3)+0,[1]SchLocTable!$A$2:$B$47,2,FALSE)," ")</f>
        <v>Info Tech HS</v>
      </c>
      <c r="B852" s="366" t="str">
        <f>VLOOKUP(VALUE(D852),$D$3:F$106,3,FALSE)</f>
        <v>Supplementary Supplies</v>
      </c>
      <c r="C852" t="s">
        <v>314</v>
      </c>
      <c r="D852">
        <v>806</v>
      </c>
      <c r="E852" t="s">
        <v>481</v>
      </c>
      <c r="F852" t="s">
        <v>474</v>
      </c>
      <c r="G852" t="s">
        <v>319</v>
      </c>
      <c r="H852" s="502">
        <v>54550</v>
      </c>
      <c r="I852" s="415">
        <v>0</v>
      </c>
      <c r="J852" s="415">
        <v>1916</v>
      </c>
      <c r="K852" s="415">
        <v>0</v>
      </c>
      <c r="L852" s="415">
        <v>0</v>
      </c>
      <c r="M852" s="415">
        <v>0</v>
      </c>
      <c r="N852" s="415">
        <v>0</v>
      </c>
      <c r="O852" s="415">
        <v>0</v>
      </c>
      <c r="P852" s="415">
        <v>0</v>
      </c>
      <c r="Q852" s="481">
        <f t="shared" si="59"/>
        <v>1916</v>
      </c>
    </row>
    <row r="853" spans="1:17" outlineLevel="2" x14ac:dyDescent="0.3">
      <c r="A853" s="366" t="str">
        <f>IFERROR(VLOOKUP(RIGHT(E853,3)+0,[1]SchLocTable!$A$2:$B$47,2,FALSE)," ")</f>
        <v>Info Tech HS</v>
      </c>
      <c r="B853" s="366" t="str">
        <f>VLOOKUP(VALUE(D853),$D$3:F$106,3,FALSE)</f>
        <v>Supplementary Supplies</v>
      </c>
      <c r="C853" t="s">
        <v>314</v>
      </c>
      <c r="D853">
        <v>806</v>
      </c>
      <c r="E853" t="s">
        <v>481</v>
      </c>
      <c r="F853" t="s">
        <v>334</v>
      </c>
      <c r="G853" t="s">
        <v>319</v>
      </c>
      <c r="H853" s="502">
        <v>51400</v>
      </c>
      <c r="I853" s="415">
        <v>0</v>
      </c>
      <c r="J853" s="415">
        <v>0</v>
      </c>
      <c r="K853" s="415">
        <v>0</v>
      </c>
      <c r="L853" s="415">
        <v>1680</v>
      </c>
      <c r="M853" s="415">
        <v>3360</v>
      </c>
      <c r="N853" s="415">
        <v>0</v>
      </c>
      <c r="O853" s="415">
        <v>0</v>
      </c>
      <c r="P853" s="415">
        <v>0</v>
      </c>
      <c r="Q853" s="481">
        <f t="shared" si="59"/>
        <v>0</v>
      </c>
    </row>
    <row r="854" spans="1:17" outlineLevel="2" x14ac:dyDescent="0.3">
      <c r="A854" s="366" t="str">
        <f>IFERROR(VLOOKUP(RIGHT(E854,3)+0,[1]SchLocTable!$A$2:$B$47,2,FALSE)," ")</f>
        <v>Info Tech HS</v>
      </c>
      <c r="B854" s="366" t="str">
        <f>VLOOKUP(VALUE(D854),$D$3:F$106,3,FALSE)</f>
        <v>Supplementary Supplies</v>
      </c>
      <c r="C854" t="s">
        <v>314</v>
      </c>
      <c r="D854">
        <v>806</v>
      </c>
      <c r="E854" t="s">
        <v>481</v>
      </c>
      <c r="F854" t="s">
        <v>320</v>
      </c>
      <c r="G854" t="s">
        <v>319</v>
      </c>
      <c r="H854" s="502">
        <v>52360</v>
      </c>
      <c r="I854" s="415">
        <v>0</v>
      </c>
      <c r="J854" s="415">
        <v>0</v>
      </c>
      <c r="K854" s="415">
        <v>0</v>
      </c>
      <c r="L854" s="415">
        <v>24.36</v>
      </c>
      <c r="M854" s="415">
        <v>48.72</v>
      </c>
      <c r="N854" s="415">
        <v>0</v>
      </c>
      <c r="O854" s="415">
        <v>0</v>
      </c>
      <c r="P854" s="415">
        <v>1.1499999999999999</v>
      </c>
      <c r="Q854" s="481">
        <f t="shared" si="59"/>
        <v>0</v>
      </c>
    </row>
    <row r="855" spans="1:17" outlineLevel="2" x14ac:dyDescent="0.3">
      <c r="A855" s="366" t="str">
        <f>IFERROR(VLOOKUP(RIGHT(E855,3)+0,[1]SchLocTable!$A$2:$B$47,2,FALSE)," ")</f>
        <v>Info Tech HS</v>
      </c>
      <c r="B855" s="366" t="str">
        <f>VLOOKUP(VALUE(D855),$D$3:F$106,3,FALSE)</f>
        <v>Supplementary Supplies</v>
      </c>
      <c r="C855" t="s">
        <v>314</v>
      </c>
      <c r="D855">
        <v>806</v>
      </c>
      <c r="E855" t="s">
        <v>481</v>
      </c>
      <c r="F855" t="s">
        <v>473</v>
      </c>
      <c r="G855" t="s">
        <v>319</v>
      </c>
      <c r="H855" s="502">
        <v>53605</v>
      </c>
      <c r="I855" s="415">
        <v>870</v>
      </c>
      <c r="J855" s="415">
        <v>1345</v>
      </c>
      <c r="K855" s="415">
        <v>1285</v>
      </c>
      <c r="L855" s="415">
        <v>1860</v>
      </c>
      <c r="M855" s="415">
        <v>1730</v>
      </c>
      <c r="N855" s="415">
        <v>635</v>
      </c>
      <c r="O855" s="415">
        <v>1245</v>
      </c>
      <c r="P855" s="415">
        <v>950</v>
      </c>
      <c r="Q855" s="481">
        <f t="shared" si="59"/>
        <v>475</v>
      </c>
    </row>
    <row r="856" spans="1:17" outlineLevel="2" x14ac:dyDescent="0.3">
      <c r="A856" s="366" t="str">
        <f>IFERROR(VLOOKUP(RIGHT(E856,3)+0,[1]SchLocTable!$A$2:$B$47,2,FALSE)," ")</f>
        <v>Info Tech HS</v>
      </c>
      <c r="B856" s="366" t="str">
        <f>VLOOKUP(VALUE(D856),$D$3:F$106,3,FALSE)</f>
        <v>Supplementary Supplies</v>
      </c>
      <c r="C856" t="s">
        <v>314</v>
      </c>
      <c r="D856">
        <v>806</v>
      </c>
      <c r="E856" t="s">
        <v>481</v>
      </c>
      <c r="F856" t="s">
        <v>458</v>
      </c>
      <c r="G856" t="s">
        <v>319</v>
      </c>
      <c r="H856" s="502">
        <v>54675</v>
      </c>
      <c r="I856" s="415">
        <v>0</v>
      </c>
      <c r="J856" s="415">
        <v>500</v>
      </c>
      <c r="K856" s="415">
        <v>0</v>
      </c>
      <c r="L856" s="415">
        <v>0</v>
      </c>
      <c r="M856" s="415">
        <v>0</v>
      </c>
      <c r="N856" s="415">
        <v>0</v>
      </c>
      <c r="O856" s="415">
        <v>0</v>
      </c>
      <c r="P856" s="415">
        <v>0</v>
      </c>
      <c r="Q856" s="481">
        <f t="shared" si="59"/>
        <v>500</v>
      </c>
    </row>
    <row r="857" spans="1:17" outlineLevel="2" x14ac:dyDescent="0.3">
      <c r="A857" s="366" t="str">
        <f>IFERROR(VLOOKUP(RIGHT(E857,3)+0,[1]SchLocTable!$A$2:$B$47,2,FALSE)," ")</f>
        <v>Info Tech HS</v>
      </c>
      <c r="B857" s="366" t="str">
        <f>VLOOKUP(VALUE(D857),$D$3:F$106,3,FALSE)</f>
        <v>Supplementary Supplies</v>
      </c>
      <c r="C857" t="s">
        <v>314</v>
      </c>
      <c r="D857">
        <v>806</v>
      </c>
      <c r="E857" t="s">
        <v>481</v>
      </c>
      <c r="F857" t="s">
        <v>464</v>
      </c>
      <c r="G857" t="s">
        <v>319</v>
      </c>
      <c r="H857" s="502">
        <v>56180</v>
      </c>
      <c r="I857" s="415">
        <v>383.24</v>
      </c>
      <c r="J857" s="415">
        <v>534.32000000000005</v>
      </c>
      <c r="K857" s="415">
        <v>668.5</v>
      </c>
      <c r="L857" s="415">
        <v>338</v>
      </c>
      <c r="M857" s="415">
        <v>598.54999999999995</v>
      </c>
      <c r="N857" s="415">
        <v>982.28</v>
      </c>
      <c r="O857" s="415">
        <v>667.17</v>
      </c>
      <c r="P857" s="415">
        <v>0</v>
      </c>
      <c r="Q857" s="481">
        <f t="shared" si="59"/>
        <v>151.08000000000004</v>
      </c>
    </row>
    <row r="858" spans="1:17" outlineLevel="2" x14ac:dyDescent="0.3">
      <c r="A858" s="366" t="str">
        <f>IFERROR(VLOOKUP(RIGHT(E858,3)+0,[1]SchLocTable!$A$2:$B$47,2,FALSE)," ")</f>
        <v>Info Tech HS</v>
      </c>
      <c r="B858" s="366" t="str">
        <f>VLOOKUP(VALUE(D858),$D$3:F$106,3,FALSE)</f>
        <v>Supplementary Supplies</v>
      </c>
      <c r="C858" t="s">
        <v>314</v>
      </c>
      <c r="D858">
        <v>806</v>
      </c>
      <c r="E858" t="s">
        <v>481</v>
      </c>
      <c r="F858" t="s">
        <v>463</v>
      </c>
      <c r="G858" t="s">
        <v>319</v>
      </c>
      <c r="H858" s="502">
        <v>54725</v>
      </c>
      <c r="I858" s="415">
        <v>260.79000000000002</v>
      </c>
      <c r="J858" s="415">
        <v>361.65</v>
      </c>
      <c r="K858" s="415">
        <v>226.86</v>
      </c>
      <c r="L858" s="415">
        <v>182.24</v>
      </c>
      <c r="M858" s="415">
        <v>307.97000000000003</v>
      </c>
      <c r="N858" s="415">
        <v>194.46</v>
      </c>
      <c r="O858" s="415">
        <v>271.22000000000003</v>
      </c>
      <c r="P858" s="415">
        <v>225</v>
      </c>
      <c r="Q858" s="481">
        <f t="shared" si="59"/>
        <v>100.85999999999996</v>
      </c>
    </row>
    <row r="859" spans="1:17" outlineLevel="2" x14ac:dyDescent="0.3">
      <c r="A859" s="366" t="str">
        <f>IFERROR(VLOOKUP(RIGHT(E859,3)+0,[1]SchLocTable!$A$2:$B$47,2,FALSE)," ")</f>
        <v>Info Tech HS</v>
      </c>
      <c r="B859" s="366" t="str">
        <f>VLOOKUP(VALUE(D859),$D$3:F$106,3,FALSE)</f>
        <v>Supplementary Supplies</v>
      </c>
      <c r="C859" t="s">
        <v>314</v>
      </c>
      <c r="D859">
        <v>806</v>
      </c>
      <c r="E859" t="s">
        <v>481</v>
      </c>
      <c r="F859" t="s">
        <v>457</v>
      </c>
      <c r="G859" t="s">
        <v>319</v>
      </c>
      <c r="H859" s="502">
        <v>54580</v>
      </c>
      <c r="I859" s="415">
        <v>3036.54</v>
      </c>
      <c r="J859" s="415">
        <v>6753.55</v>
      </c>
      <c r="K859" s="415">
        <v>10270.780000000001</v>
      </c>
      <c r="L859" s="415">
        <v>5590.23</v>
      </c>
      <c r="M859" s="415">
        <v>7676.07</v>
      </c>
      <c r="N859" s="415">
        <v>5421.62</v>
      </c>
      <c r="O859" s="415">
        <v>8080.37</v>
      </c>
      <c r="P859" s="415">
        <v>2231.87</v>
      </c>
      <c r="Q859" s="481">
        <f t="shared" si="59"/>
        <v>3717.01</v>
      </c>
    </row>
    <row r="860" spans="1:17" outlineLevel="2" x14ac:dyDescent="0.3">
      <c r="A860" s="366" t="str">
        <f>IFERROR(VLOOKUP(RIGHT(E860,3)+0,[1]SchLocTable!$A$2:$B$47,2,FALSE)," ")</f>
        <v>Info Tech HS</v>
      </c>
      <c r="B860" s="366" t="str">
        <f>VLOOKUP(VALUE(D860),$D$3:F$106,3,FALSE)</f>
        <v>Supplementary Supplies</v>
      </c>
      <c r="C860" t="s">
        <v>314</v>
      </c>
      <c r="D860">
        <v>806</v>
      </c>
      <c r="E860" t="s">
        <v>481</v>
      </c>
      <c r="F860" t="s">
        <v>469</v>
      </c>
      <c r="G860" t="s">
        <v>319</v>
      </c>
      <c r="H860" s="502">
        <v>54760</v>
      </c>
      <c r="I860" s="415">
        <v>0</v>
      </c>
      <c r="J860" s="415">
        <v>924.48</v>
      </c>
      <c r="K860" s="415">
        <v>0</v>
      </c>
      <c r="L860" s="415">
        <v>0</v>
      </c>
      <c r="M860" s="415">
        <v>0</v>
      </c>
      <c r="N860" s="415">
        <v>0</v>
      </c>
      <c r="O860" s="415">
        <v>0</v>
      </c>
      <c r="P860" s="415">
        <v>0</v>
      </c>
      <c r="Q860" s="481">
        <f t="shared" si="59"/>
        <v>924.48</v>
      </c>
    </row>
    <row r="861" spans="1:17" outlineLevel="2" x14ac:dyDescent="0.3">
      <c r="A861" s="366" t="str">
        <f>IFERROR(VLOOKUP(RIGHT(E861,3)+0,[1]SchLocTable!$A$2:$B$47,2,FALSE)," ")</f>
        <v>Info Tech HS</v>
      </c>
      <c r="B861" s="366" t="str">
        <f>VLOOKUP(VALUE(D861),$D$3:F$106,3,FALSE)</f>
        <v>Supplementary Supplies</v>
      </c>
      <c r="C861" t="s">
        <v>314</v>
      </c>
      <c r="D861">
        <v>806</v>
      </c>
      <c r="E861" t="s">
        <v>481</v>
      </c>
      <c r="F861" t="s">
        <v>465</v>
      </c>
      <c r="G861" t="s">
        <v>319</v>
      </c>
      <c r="H861" s="502">
        <v>56240</v>
      </c>
      <c r="I861" s="415">
        <v>0</v>
      </c>
      <c r="J861" s="415">
        <v>165</v>
      </c>
      <c r="K861" s="415">
        <v>0</v>
      </c>
      <c r="L861" s="415">
        <v>300</v>
      </c>
      <c r="M861" s="415">
        <v>0</v>
      </c>
      <c r="N861" s="415">
        <v>0</v>
      </c>
      <c r="O861" s="415">
        <v>0</v>
      </c>
      <c r="P861" s="415">
        <v>0</v>
      </c>
      <c r="Q861" s="481">
        <f t="shared" si="59"/>
        <v>165</v>
      </c>
    </row>
    <row r="862" spans="1:17" outlineLevel="2" x14ac:dyDescent="0.3">
      <c r="A862" s="366" t="str">
        <f>IFERROR(VLOOKUP(RIGHT(E862,3)+0,[1]SchLocTable!$A$2:$B$47,2,FALSE)," ")</f>
        <v>BMA HS</v>
      </c>
      <c r="B862" s="366" t="str">
        <f>VLOOKUP(VALUE(D862),$D$3:F$106,3,FALSE)</f>
        <v>Supplementary Supplies</v>
      </c>
      <c r="C862" t="s">
        <v>314</v>
      </c>
      <c r="D862">
        <v>806</v>
      </c>
      <c r="E862" t="s">
        <v>482</v>
      </c>
      <c r="F862" t="s">
        <v>320</v>
      </c>
      <c r="G862" t="s">
        <v>319</v>
      </c>
      <c r="H862" s="502">
        <v>52360</v>
      </c>
      <c r="I862" s="415">
        <v>0</v>
      </c>
      <c r="J862" s="415">
        <v>0</v>
      </c>
      <c r="K862" s="415">
        <v>0</v>
      </c>
      <c r="L862" s="415">
        <v>3.04</v>
      </c>
      <c r="M862" s="415">
        <v>0</v>
      </c>
      <c r="N862" s="415">
        <v>0</v>
      </c>
      <c r="O862" s="415">
        <v>0</v>
      </c>
      <c r="P862" s="415">
        <v>20.12</v>
      </c>
      <c r="Q862" s="481">
        <f t="shared" si="59"/>
        <v>0</v>
      </c>
    </row>
    <row r="863" spans="1:17" outlineLevel="2" x14ac:dyDescent="0.3">
      <c r="A863" s="366" t="str">
        <f>IFERROR(VLOOKUP(RIGHT(E863,3)+0,[1]SchLocTable!$A$2:$B$47,2,FALSE)," ")</f>
        <v>BMA HS</v>
      </c>
      <c r="B863" s="366" t="str">
        <f>VLOOKUP(VALUE(D863),$D$3:F$106,3,FALSE)</f>
        <v>Supplementary Supplies</v>
      </c>
      <c r="C863" t="s">
        <v>314</v>
      </c>
      <c r="D863">
        <v>806</v>
      </c>
      <c r="E863" t="s">
        <v>482</v>
      </c>
      <c r="F863" t="s">
        <v>473</v>
      </c>
      <c r="G863" t="s">
        <v>319</v>
      </c>
      <c r="H863" s="502">
        <v>53605</v>
      </c>
      <c r="I863" s="415">
        <v>0</v>
      </c>
      <c r="J863" s="415">
        <v>475</v>
      </c>
      <c r="K863" s="415">
        <v>0</v>
      </c>
      <c r="L863" s="415">
        <v>0</v>
      </c>
      <c r="M863" s="415">
        <v>385</v>
      </c>
      <c r="N863" s="415">
        <v>0</v>
      </c>
      <c r="O863" s="415">
        <v>385</v>
      </c>
      <c r="P863" s="415">
        <v>0</v>
      </c>
      <c r="Q863" s="481">
        <f t="shared" si="59"/>
        <v>475</v>
      </c>
    </row>
    <row r="864" spans="1:17" outlineLevel="2" x14ac:dyDescent="0.3">
      <c r="A864" s="366" t="str">
        <f>IFERROR(VLOOKUP(RIGHT(E864,3)+0,[1]SchLocTable!$A$2:$B$47,2,FALSE)," ")</f>
        <v>BMA HS</v>
      </c>
      <c r="B864" s="366" t="str">
        <f>VLOOKUP(VALUE(D864),$D$3:F$106,3,FALSE)</f>
        <v>Supplementary Supplies</v>
      </c>
      <c r="C864" t="s">
        <v>314</v>
      </c>
      <c r="D864">
        <v>806</v>
      </c>
      <c r="E864" t="s">
        <v>482</v>
      </c>
      <c r="F864" t="s">
        <v>392</v>
      </c>
      <c r="G864" t="s">
        <v>319</v>
      </c>
      <c r="H864" s="502">
        <v>52504</v>
      </c>
      <c r="I864" s="415">
        <v>0</v>
      </c>
      <c r="J864" s="415">
        <v>0</v>
      </c>
      <c r="K864" s="415">
        <v>0</v>
      </c>
      <c r="L864" s="415">
        <v>42.76</v>
      </c>
      <c r="M864" s="415">
        <v>0</v>
      </c>
      <c r="N864" s="415">
        <v>0</v>
      </c>
      <c r="O864" s="415">
        <v>0</v>
      </c>
      <c r="P864" s="415">
        <v>197.43</v>
      </c>
      <c r="Q864" s="481">
        <f t="shared" si="59"/>
        <v>0</v>
      </c>
    </row>
    <row r="865" spans="1:17" outlineLevel="2" x14ac:dyDescent="0.3">
      <c r="A865" s="366" t="str">
        <f>IFERROR(VLOOKUP(RIGHT(E865,3)+0,[1]SchLocTable!$A$2:$B$47,2,FALSE)," ")</f>
        <v>BMA HS</v>
      </c>
      <c r="B865" s="366" t="str">
        <f>VLOOKUP(VALUE(D865),$D$3:F$106,3,FALSE)</f>
        <v>Supplementary Supplies</v>
      </c>
      <c r="C865" t="s">
        <v>314</v>
      </c>
      <c r="D865">
        <v>806</v>
      </c>
      <c r="E865" t="s">
        <v>482</v>
      </c>
      <c r="F865" t="s">
        <v>458</v>
      </c>
      <c r="G865" t="s">
        <v>319</v>
      </c>
      <c r="H865" s="502">
        <v>54675</v>
      </c>
      <c r="I865" s="415">
        <v>405.54</v>
      </c>
      <c r="J865" s="415">
        <v>1500</v>
      </c>
      <c r="K865" s="415">
        <v>0</v>
      </c>
      <c r="L865" s="415">
        <v>0</v>
      </c>
      <c r="M865" s="415">
        <v>0</v>
      </c>
      <c r="N865" s="415">
        <v>0</v>
      </c>
      <c r="O865" s="415">
        <v>0</v>
      </c>
      <c r="P865" s="415">
        <v>0</v>
      </c>
      <c r="Q865" s="481">
        <f t="shared" si="59"/>
        <v>1094.46</v>
      </c>
    </row>
    <row r="866" spans="1:17" outlineLevel="2" x14ac:dyDescent="0.3">
      <c r="A866" s="366" t="str">
        <f>IFERROR(VLOOKUP(RIGHT(E866,3)+0,[1]SchLocTable!$A$2:$B$47,2,FALSE)," ")</f>
        <v>BMA HS</v>
      </c>
      <c r="B866" s="366" t="str">
        <f>VLOOKUP(VALUE(D866),$D$3:F$106,3,FALSE)</f>
        <v>Supplementary Supplies</v>
      </c>
      <c r="C866" t="s">
        <v>314</v>
      </c>
      <c r="D866">
        <v>806</v>
      </c>
      <c r="E866" t="s">
        <v>482</v>
      </c>
      <c r="F866" t="s">
        <v>464</v>
      </c>
      <c r="G866" t="s">
        <v>319</v>
      </c>
      <c r="H866" s="502">
        <v>56180</v>
      </c>
      <c r="I866" s="415">
        <v>315.10000000000002</v>
      </c>
      <c r="J866" s="415">
        <v>465</v>
      </c>
      <c r="K866" s="415">
        <v>169</v>
      </c>
      <c r="L866" s="415">
        <v>459</v>
      </c>
      <c r="M866" s="415">
        <v>488.6</v>
      </c>
      <c r="N866" s="415">
        <v>350</v>
      </c>
      <c r="O866" s="415">
        <v>0</v>
      </c>
      <c r="P866" s="415">
        <v>85</v>
      </c>
      <c r="Q866" s="481">
        <f t="shared" si="59"/>
        <v>149.89999999999998</v>
      </c>
    </row>
    <row r="867" spans="1:17" outlineLevel="2" x14ac:dyDescent="0.3">
      <c r="A867" s="366" t="str">
        <f>IFERROR(VLOOKUP(RIGHT(E867,3)+0,[1]SchLocTable!$A$2:$B$47,2,FALSE)," ")</f>
        <v>BMA HS</v>
      </c>
      <c r="B867" s="366" t="str">
        <f>VLOOKUP(VALUE(D867),$D$3:F$106,3,FALSE)</f>
        <v>Supplementary Supplies</v>
      </c>
      <c r="C867" t="s">
        <v>314</v>
      </c>
      <c r="D867">
        <v>806</v>
      </c>
      <c r="E867" t="s">
        <v>482</v>
      </c>
      <c r="F867" t="s">
        <v>463</v>
      </c>
      <c r="G867" t="s">
        <v>319</v>
      </c>
      <c r="H867" s="502">
        <v>54725</v>
      </c>
      <c r="I867" s="415">
        <v>522.79999999999995</v>
      </c>
      <c r="J867" s="415">
        <v>585.70000000000005</v>
      </c>
      <c r="K867" s="415">
        <v>133.99</v>
      </c>
      <c r="L867" s="415">
        <v>129.6</v>
      </c>
      <c r="M867" s="415">
        <v>154.02000000000001</v>
      </c>
      <c r="N867" s="415">
        <v>83.21</v>
      </c>
      <c r="O867" s="415">
        <v>141.44999999999999</v>
      </c>
      <c r="P867" s="415">
        <v>35.700000000000003</v>
      </c>
      <c r="Q867" s="481">
        <f t="shared" si="59"/>
        <v>62.900000000000091</v>
      </c>
    </row>
    <row r="868" spans="1:17" outlineLevel="2" x14ac:dyDescent="0.3">
      <c r="A868" s="366" t="str">
        <f>IFERROR(VLOOKUP(RIGHT(E868,3)+0,[1]SchLocTable!$A$2:$B$47,2,FALSE)," ")</f>
        <v>BMA HS</v>
      </c>
      <c r="B868" s="366" t="str">
        <f>VLOOKUP(VALUE(D868),$D$3:F$106,3,FALSE)</f>
        <v>Supplementary Supplies</v>
      </c>
      <c r="C868" t="s">
        <v>314</v>
      </c>
      <c r="D868">
        <v>806</v>
      </c>
      <c r="E868" t="s">
        <v>482</v>
      </c>
      <c r="F868" t="s">
        <v>457</v>
      </c>
      <c r="G868" t="s">
        <v>319</v>
      </c>
      <c r="H868" s="502">
        <v>54580</v>
      </c>
      <c r="I868" s="415">
        <v>2206.56</v>
      </c>
      <c r="J868" s="415">
        <v>4974.3</v>
      </c>
      <c r="K868" s="415">
        <v>5801.09</v>
      </c>
      <c r="L868" s="415">
        <v>5235.4399999999996</v>
      </c>
      <c r="M868" s="415">
        <v>4009.76</v>
      </c>
      <c r="N868" s="415">
        <v>827.25</v>
      </c>
      <c r="O868" s="415">
        <v>5021.57</v>
      </c>
      <c r="P868" s="415">
        <v>2108.0300000000002</v>
      </c>
      <c r="Q868" s="481">
        <f t="shared" si="59"/>
        <v>2767.7400000000002</v>
      </c>
    </row>
    <row r="869" spans="1:17" outlineLevel="2" x14ac:dyDescent="0.3">
      <c r="A869" s="366" t="str">
        <f>IFERROR(VLOOKUP(RIGHT(E869,3)+0,[1]SchLocTable!$A$2:$B$47,2,FALSE)," ")</f>
        <v>BMA HS</v>
      </c>
      <c r="B869" s="366" t="str">
        <f>VLOOKUP(VALUE(D869),$D$3:F$106,3,FALSE)</f>
        <v>Supplementary Supplies</v>
      </c>
      <c r="C869" t="s">
        <v>314</v>
      </c>
      <c r="D869">
        <v>806</v>
      </c>
      <c r="E869" t="s">
        <v>482</v>
      </c>
      <c r="F869" t="s">
        <v>483</v>
      </c>
      <c r="G869" t="s">
        <v>319</v>
      </c>
      <c r="H869" s="502">
        <v>51122</v>
      </c>
      <c r="I869" s="415">
        <v>0</v>
      </c>
      <c r="J869" s="415">
        <v>0</v>
      </c>
      <c r="K869" s="415">
        <v>0</v>
      </c>
      <c r="L869" s="415">
        <v>209.7</v>
      </c>
      <c r="M869" s="415">
        <v>0</v>
      </c>
      <c r="N869" s="415">
        <v>0</v>
      </c>
      <c r="O869" s="415">
        <v>0</v>
      </c>
      <c r="P869" s="415">
        <v>862.19</v>
      </c>
      <c r="Q869" s="481">
        <f t="shared" si="59"/>
        <v>0</v>
      </c>
    </row>
    <row r="870" spans="1:17" outlineLevel="2" x14ac:dyDescent="0.3">
      <c r="A870" s="366" t="str">
        <f>IFERROR(VLOOKUP(RIGHT(E870,3)+0,[1]SchLocTable!$A$2:$B$47,2,FALSE)," ")</f>
        <v>Park City Magnet</v>
      </c>
      <c r="B870" s="366" t="str">
        <f>VLOOKUP(VALUE(D870),$D$3:F$106,3,FALSE)</f>
        <v>Supplementary Supplies</v>
      </c>
      <c r="C870" t="s">
        <v>314</v>
      </c>
      <c r="D870">
        <v>806</v>
      </c>
      <c r="E870" t="s">
        <v>484</v>
      </c>
      <c r="F870" t="s">
        <v>474</v>
      </c>
      <c r="G870" t="s">
        <v>319</v>
      </c>
      <c r="H870" s="502">
        <v>54550</v>
      </c>
      <c r="I870" s="415">
        <v>0</v>
      </c>
      <c r="J870" s="415">
        <v>0</v>
      </c>
      <c r="K870" s="415">
        <v>649.99</v>
      </c>
      <c r="L870" s="415">
        <v>0</v>
      </c>
      <c r="M870" s="415">
        <v>0</v>
      </c>
      <c r="N870" s="415">
        <v>0</v>
      </c>
      <c r="O870" s="415">
        <v>0</v>
      </c>
      <c r="P870" s="415">
        <v>0</v>
      </c>
      <c r="Q870" s="481">
        <f t="shared" si="59"/>
        <v>0</v>
      </c>
    </row>
    <row r="871" spans="1:17" outlineLevel="2" x14ac:dyDescent="0.3">
      <c r="A871" s="366" t="str">
        <f>IFERROR(VLOOKUP(RIGHT(E871,3)+0,[1]SchLocTable!$A$2:$B$47,2,FALSE)," ")</f>
        <v>Park City Magnet</v>
      </c>
      <c r="B871" s="366" t="str">
        <f>VLOOKUP(VALUE(D871),$D$3:F$106,3,FALSE)</f>
        <v>Supplementary Supplies</v>
      </c>
      <c r="C871" t="s">
        <v>314</v>
      </c>
      <c r="D871">
        <v>806</v>
      </c>
      <c r="E871" t="s">
        <v>484</v>
      </c>
      <c r="F871" t="s">
        <v>334</v>
      </c>
      <c r="G871" t="s">
        <v>319</v>
      </c>
      <c r="H871" s="502">
        <v>51400</v>
      </c>
      <c r="I871" s="415">
        <v>0</v>
      </c>
      <c r="J871" s="415">
        <v>0</v>
      </c>
      <c r="K871" s="415">
        <v>0</v>
      </c>
      <c r="L871" s="415">
        <v>231</v>
      </c>
      <c r="M871" s="415">
        <v>0</v>
      </c>
      <c r="N871" s="415">
        <v>0</v>
      </c>
      <c r="O871" s="415">
        <v>5775</v>
      </c>
      <c r="P871" s="415">
        <v>0</v>
      </c>
      <c r="Q871" s="481">
        <f t="shared" si="59"/>
        <v>0</v>
      </c>
    </row>
    <row r="872" spans="1:17" outlineLevel="2" x14ac:dyDescent="0.3">
      <c r="A872" s="366" t="str">
        <f>IFERROR(VLOOKUP(RIGHT(E872,3)+0,[1]SchLocTable!$A$2:$B$47,2,FALSE)," ")</f>
        <v>Park City Magnet</v>
      </c>
      <c r="B872" s="366" t="str">
        <f>VLOOKUP(VALUE(D872),$D$3:F$106,3,FALSE)</f>
        <v>Supplementary Supplies</v>
      </c>
      <c r="C872" t="s">
        <v>314</v>
      </c>
      <c r="D872">
        <v>806</v>
      </c>
      <c r="E872" t="s">
        <v>484</v>
      </c>
      <c r="F872" t="s">
        <v>320</v>
      </c>
      <c r="G872" t="s">
        <v>319</v>
      </c>
      <c r="H872" s="502">
        <v>52360</v>
      </c>
      <c r="I872" s="415">
        <v>0</v>
      </c>
      <c r="J872" s="415">
        <v>0</v>
      </c>
      <c r="K872" s="415">
        <v>0</v>
      </c>
      <c r="L872" s="415">
        <v>3.35</v>
      </c>
      <c r="M872" s="415">
        <v>0</v>
      </c>
      <c r="N872" s="415">
        <v>0</v>
      </c>
      <c r="O872" s="415">
        <v>83.73</v>
      </c>
      <c r="P872" s="415">
        <v>0</v>
      </c>
      <c r="Q872" s="481">
        <f t="shared" si="59"/>
        <v>0</v>
      </c>
    </row>
    <row r="873" spans="1:17" outlineLevel="2" x14ac:dyDescent="0.3">
      <c r="A873" s="366" t="str">
        <f>IFERROR(VLOOKUP(RIGHT(E873,3)+0,[1]SchLocTable!$A$2:$B$47,2,FALSE)," ")</f>
        <v>Park City Magnet</v>
      </c>
      <c r="B873" s="366" t="str">
        <f>VLOOKUP(VALUE(D873),$D$3:F$106,3,FALSE)</f>
        <v>Supplementary Supplies</v>
      </c>
      <c r="C873" t="s">
        <v>314</v>
      </c>
      <c r="D873">
        <v>806</v>
      </c>
      <c r="E873" t="s">
        <v>484</v>
      </c>
      <c r="F873" t="s">
        <v>458</v>
      </c>
      <c r="G873" t="s">
        <v>319</v>
      </c>
      <c r="H873" s="502">
        <v>54675</v>
      </c>
      <c r="I873" s="415">
        <v>947.55</v>
      </c>
      <c r="J873" s="415">
        <v>2000</v>
      </c>
      <c r="K873" s="415">
        <v>0</v>
      </c>
      <c r="L873" s="415">
        <v>0</v>
      </c>
      <c r="M873" s="415">
        <v>0</v>
      </c>
      <c r="N873" s="415">
        <v>0</v>
      </c>
      <c r="O873" s="415">
        <v>0</v>
      </c>
      <c r="P873" s="415">
        <v>0</v>
      </c>
      <c r="Q873" s="481">
        <f t="shared" si="59"/>
        <v>1052.45</v>
      </c>
    </row>
    <row r="874" spans="1:17" outlineLevel="2" x14ac:dyDescent="0.3">
      <c r="A874" s="366" t="str">
        <f>IFERROR(VLOOKUP(RIGHT(E874,3)+0,[1]SchLocTable!$A$2:$B$47,2,FALSE)," ")</f>
        <v>Park City Magnet</v>
      </c>
      <c r="B874" s="366" t="str">
        <f>VLOOKUP(VALUE(D874),$D$3:F$106,3,FALSE)</f>
        <v>Supplementary Supplies</v>
      </c>
      <c r="C874" t="s">
        <v>314</v>
      </c>
      <c r="D874">
        <v>806</v>
      </c>
      <c r="E874" t="s">
        <v>484</v>
      </c>
      <c r="F874" t="s">
        <v>464</v>
      </c>
      <c r="G874" t="s">
        <v>319</v>
      </c>
      <c r="H874" s="502">
        <v>56180</v>
      </c>
      <c r="I874" s="415">
        <v>0</v>
      </c>
      <c r="J874" s="415">
        <v>0</v>
      </c>
      <c r="K874" s="415">
        <v>262.27999999999997</v>
      </c>
      <c r="L874" s="415">
        <v>5.81</v>
      </c>
      <c r="M874" s="415">
        <v>0</v>
      </c>
      <c r="N874" s="415">
        <v>0</v>
      </c>
      <c r="O874" s="415">
        <v>0</v>
      </c>
      <c r="P874" s="415">
        <v>0</v>
      </c>
      <c r="Q874" s="481">
        <f t="shared" si="59"/>
        <v>0</v>
      </c>
    </row>
    <row r="875" spans="1:17" outlineLevel="2" x14ac:dyDescent="0.3">
      <c r="A875" s="366" t="str">
        <f>IFERROR(VLOOKUP(RIGHT(E875,3)+0,[1]SchLocTable!$A$2:$B$47,2,FALSE)," ")</f>
        <v>Park City Magnet</v>
      </c>
      <c r="B875" s="366" t="str">
        <f>VLOOKUP(VALUE(D875),$D$3:F$106,3,FALSE)</f>
        <v>Supplementary Supplies</v>
      </c>
      <c r="C875" t="s">
        <v>314</v>
      </c>
      <c r="D875">
        <v>806</v>
      </c>
      <c r="E875" t="s">
        <v>484</v>
      </c>
      <c r="F875" t="s">
        <v>463</v>
      </c>
      <c r="G875" t="s">
        <v>319</v>
      </c>
      <c r="H875" s="502">
        <v>54725</v>
      </c>
      <c r="I875" s="415">
        <v>708.11</v>
      </c>
      <c r="J875" s="415">
        <v>803.08</v>
      </c>
      <c r="K875" s="415">
        <v>809.42</v>
      </c>
      <c r="L875" s="415">
        <v>354.83</v>
      </c>
      <c r="M875" s="415">
        <v>432.91</v>
      </c>
      <c r="N875" s="415">
        <v>203.67</v>
      </c>
      <c r="O875" s="415">
        <v>158</v>
      </c>
      <c r="P875" s="415">
        <v>450</v>
      </c>
      <c r="Q875" s="481">
        <f t="shared" si="59"/>
        <v>94.970000000000027</v>
      </c>
    </row>
    <row r="876" spans="1:17" outlineLevel="2" x14ac:dyDescent="0.3">
      <c r="A876" s="366" t="str">
        <f>IFERROR(VLOOKUP(RIGHT(E876,3)+0,[1]SchLocTable!$A$2:$B$47,2,FALSE)," ")</f>
        <v>Park City Magnet</v>
      </c>
      <c r="B876" s="366" t="str">
        <f>VLOOKUP(VALUE(D876),$D$3:F$106,3,FALSE)</f>
        <v>Supplementary Supplies</v>
      </c>
      <c r="C876" t="s">
        <v>314</v>
      </c>
      <c r="D876">
        <v>806</v>
      </c>
      <c r="E876" t="s">
        <v>484</v>
      </c>
      <c r="F876" t="s">
        <v>457</v>
      </c>
      <c r="G876" t="s">
        <v>319</v>
      </c>
      <c r="H876" s="502">
        <v>54580</v>
      </c>
      <c r="I876" s="415">
        <v>3855.13</v>
      </c>
      <c r="J876" s="415">
        <v>9006.93</v>
      </c>
      <c r="K876" s="415">
        <v>9417.4599999999991</v>
      </c>
      <c r="L876" s="415">
        <v>7797.88</v>
      </c>
      <c r="M876" s="415">
        <v>9391.94</v>
      </c>
      <c r="N876" s="415">
        <v>6565.59</v>
      </c>
      <c r="O876" s="415">
        <v>9985.01</v>
      </c>
      <c r="P876" s="415">
        <v>9025.35</v>
      </c>
      <c r="Q876" s="481">
        <f t="shared" si="59"/>
        <v>5151.8</v>
      </c>
    </row>
    <row r="877" spans="1:17" outlineLevel="2" x14ac:dyDescent="0.3">
      <c r="A877" s="366" t="str">
        <f>IFERROR(VLOOKUP(RIGHT(E877,3)+0,[1]SchLocTable!$A$2:$B$47,2,FALSE)," ")</f>
        <v>Park City Magnet</v>
      </c>
      <c r="B877" s="366" t="str">
        <f>VLOOKUP(VALUE(D877),$D$3:F$106,3,FALSE)</f>
        <v>Supplementary Supplies</v>
      </c>
      <c r="C877" t="s">
        <v>314</v>
      </c>
      <c r="D877">
        <v>806</v>
      </c>
      <c r="E877" t="s">
        <v>484</v>
      </c>
      <c r="F877" t="s">
        <v>899</v>
      </c>
      <c r="G877" t="s">
        <v>319</v>
      </c>
      <c r="H877" s="502">
        <v>54705</v>
      </c>
      <c r="I877" s="415">
        <v>0</v>
      </c>
      <c r="J877" s="415">
        <v>539.99</v>
      </c>
      <c r="K877" s="415">
        <v>0</v>
      </c>
      <c r="L877" s="415">
        <v>0</v>
      </c>
      <c r="M877" s="415">
        <v>0</v>
      </c>
      <c r="N877" s="415">
        <v>0</v>
      </c>
      <c r="O877" s="415">
        <v>0</v>
      </c>
      <c r="P877" s="415">
        <v>0</v>
      </c>
      <c r="Q877" s="481">
        <f t="shared" si="59"/>
        <v>539.99</v>
      </c>
    </row>
    <row r="878" spans="1:17" outlineLevel="2" x14ac:dyDescent="0.3">
      <c r="A878" s="366" t="str">
        <f>IFERROR(VLOOKUP(RIGHT(E878,3)+0,[1]SchLocTable!$A$2:$B$47,2,FALSE)," ")</f>
        <v>Zoo Science HS</v>
      </c>
      <c r="B878" s="366" t="str">
        <f>VLOOKUP(VALUE(D878),$D$3:F$106,3,FALSE)</f>
        <v>Supplementary Supplies</v>
      </c>
      <c r="C878" t="s">
        <v>314</v>
      </c>
      <c r="D878">
        <v>806</v>
      </c>
      <c r="E878" t="s">
        <v>485</v>
      </c>
      <c r="F878" t="s">
        <v>474</v>
      </c>
      <c r="G878" t="s">
        <v>319</v>
      </c>
      <c r="H878" s="502">
        <v>54550</v>
      </c>
      <c r="I878" s="415">
        <v>0</v>
      </c>
      <c r="J878" s="415">
        <v>1916</v>
      </c>
      <c r="K878" s="415">
        <v>0</v>
      </c>
      <c r="L878" s="415">
        <v>0</v>
      </c>
      <c r="M878" s="415">
        <v>0</v>
      </c>
      <c r="N878" s="415">
        <v>0</v>
      </c>
      <c r="O878" s="415">
        <v>0</v>
      </c>
      <c r="P878" s="415">
        <v>0</v>
      </c>
      <c r="Q878" s="481">
        <f t="shared" si="59"/>
        <v>1916</v>
      </c>
    </row>
    <row r="879" spans="1:17" outlineLevel="2" x14ac:dyDescent="0.3">
      <c r="A879" s="366" t="str">
        <f>IFERROR(VLOOKUP(RIGHT(E879,3)+0,[1]SchLocTable!$A$2:$B$47,2,FALSE)," ")</f>
        <v>Zoo Science HS</v>
      </c>
      <c r="B879" s="366" t="str">
        <f>VLOOKUP(VALUE(D879),$D$3:F$106,3,FALSE)</f>
        <v>Supplementary Supplies</v>
      </c>
      <c r="C879" t="s">
        <v>314</v>
      </c>
      <c r="D879">
        <v>806</v>
      </c>
      <c r="E879" t="s">
        <v>485</v>
      </c>
      <c r="F879" t="s">
        <v>473</v>
      </c>
      <c r="G879" t="s">
        <v>319</v>
      </c>
      <c r="H879" s="502">
        <v>53605</v>
      </c>
      <c r="I879" s="415">
        <v>385</v>
      </c>
      <c r="J879" s="415">
        <v>860</v>
      </c>
      <c r="K879" s="415">
        <v>860</v>
      </c>
      <c r="L879" s="415">
        <v>475</v>
      </c>
      <c r="M879" s="415">
        <v>0</v>
      </c>
      <c r="N879" s="415">
        <v>385</v>
      </c>
      <c r="O879" s="415">
        <v>1720</v>
      </c>
      <c r="P879" s="415">
        <v>475</v>
      </c>
      <c r="Q879" s="481">
        <f t="shared" si="59"/>
        <v>475</v>
      </c>
    </row>
    <row r="880" spans="1:17" outlineLevel="2" x14ac:dyDescent="0.3">
      <c r="A880" s="366" t="str">
        <f>IFERROR(VLOOKUP(RIGHT(E880,3)+0,[1]SchLocTable!$A$2:$B$47,2,FALSE)," ")</f>
        <v>Zoo Science HS</v>
      </c>
      <c r="B880" s="366" t="str">
        <f>VLOOKUP(VALUE(D880),$D$3:F$106,3,FALSE)</f>
        <v>Supplementary Supplies</v>
      </c>
      <c r="C880" t="s">
        <v>314</v>
      </c>
      <c r="D880">
        <v>806</v>
      </c>
      <c r="E880" t="s">
        <v>485</v>
      </c>
      <c r="F880" t="s">
        <v>464</v>
      </c>
      <c r="G880" t="s">
        <v>319</v>
      </c>
      <c r="H880" s="502">
        <v>56180</v>
      </c>
      <c r="I880" s="415">
        <v>543.41</v>
      </c>
      <c r="J880" s="415">
        <v>931.46</v>
      </c>
      <c r="K880" s="415">
        <v>1106.95</v>
      </c>
      <c r="L880" s="415">
        <v>1711.09</v>
      </c>
      <c r="M880" s="415">
        <v>965</v>
      </c>
      <c r="N880" s="415">
        <v>4091.45</v>
      </c>
      <c r="O880" s="415">
        <v>367.17</v>
      </c>
      <c r="P880" s="415">
        <v>0</v>
      </c>
      <c r="Q880" s="481">
        <f t="shared" si="59"/>
        <v>388.05000000000007</v>
      </c>
    </row>
    <row r="881" spans="1:17" outlineLevel="2" x14ac:dyDescent="0.3">
      <c r="A881" s="366" t="str">
        <f>IFERROR(VLOOKUP(RIGHT(E881,3)+0,[1]SchLocTable!$A$2:$B$47,2,FALSE)," ")</f>
        <v>Zoo Science HS</v>
      </c>
      <c r="B881" s="366" t="str">
        <f>VLOOKUP(VALUE(D881),$D$3:F$106,3,FALSE)</f>
        <v>Supplementary Supplies</v>
      </c>
      <c r="C881" t="s">
        <v>314</v>
      </c>
      <c r="D881">
        <v>806</v>
      </c>
      <c r="E881" t="s">
        <v>485</v>
      </c>
      <c r="F881" t="s">
        <v>463</v>
      </c>
      <c r="G881" t="s">
        <v>319</v>
      </c>
      <c r="H881" s="502">
        <v>54725</v>
      </c>
      <c r="I881" s="415">
        <v>306.41000000000003</v>
      </c>
      <c r="J881" s="415">
        <v>421.91</v>
      </c>
      <c r="K881" s="415">
        <v>557.41999999999996</v>
      </c>
      <c r="L881" s="415">
        <v>302.88</v>
      </c>
      <c r="M881" s="415">
        <v>0</v>
      </c>
      <c r="N881" s="415">
        <v>0</v>
      </c>
      <c r="O881" s="415">
        <v>345.93</v>
      </c>
      <c r="P881" s="415">
        <v>150</v>
      </c>
      <c r="Q881" s="481">
        <f t="shared" si="59"/>
        <v>115.5</v>
      </c>
    </row>
    <row r="882" spans="1:17" outlineLevel="2" x14ac:dyDescent="0.3">
      <c r="A882" s="366" t="str">
        <f>IFERROR(VLOOKUP(RIGHT(E882,3)+0,[1]SchLocTable!$A$2:$B$47,2,FALSE)," ")</f>
        <v>Zoo Science HS</v>
      </c>
      <c r="B882" s="366" t="str">
        <f>VLOOKUP(VALUE(D882),$D$3:F$106,3,FALSE)</f>
        <v>Supplementary Supplies</v>
      </c>
      <c r="C882" t="s">
        <v>314</v>
      </c>
      <c r="D882">
        <v>806</v>
      </c>
      <c r="E882" t="s">
        <v>485</v>
      </c>
      <c r="F882" t="s">
        <v>457</v>
      </c>
      <c r="G882" t="s">
        <v>319</v>
      </c>
      <c r="H882" s="502">
        <v>54580</v>
      </c>
      <c r="I882" s="415">
        <v>1055.99</v>
      </c>
      <c r="J882" s="415">
        <v>8370.6299999999992</v>
      </c>
      <c r="K882" s="415">
        <v>9725.6299999999992</v>
      </c>
      <c r="L882" s="415">
        <v>7477.14</v>
      </c>
      <c r="M882" s="415">
        <v>9221.41</v>
      </c>
      <c r="N882" s="415">
        <v>3924.77</v>
      </c>
      <c r="O882" s="415">
        <v>7288.31</v>
      </c>
      <c r="P882" s="415">
        <v>7305</v>
      </c>
      <c r="Q882" s="481">
        <f t="shared" si="59"/>
        <v>7314.6399999999994</v>
      </c>
    </row>
    <row r="883" spans="1:17" outlineLevel="2" x14ac:dyDescent="0.3">
      <c r="A883" s="366" t="str">
        <f>IFERROR(VLOOKUP(RIGHT(E883,3)+0,[1]SchLocTable!$A$2:$B$47,2,FALSE)," ")</f>
        <v>Madison</v>
      </c>
      <c r="B883" s="366" t="str">
        <f>VLOOKUP(VALUE(D883),$D$3:F$106,3,FALSE)</f>
        <v>Supplementary Supplies</v>
      </c>
      <c r="C883" t="s">
        <v>314</v>
      </c>
      <c r="D883">
        <v>806</v>
      </c>
      <c r="E883" t="s">
        <v>486</v>
      </c>
      <c r="F883" t="s">
        <v>334</v>
      </c>
      <c r="G883" t="s">
        <v>319</v>
      </c>
      <c r="H883" s="502">
        <v>51400</v>
      </c>
      <c r="I883" s="415">
        <v>0</v>
      </c>
      <c r="J883" s="415">
        <v>525</v>
      </c>
      <c r="K883" s="415">
        <v>0</v>
      </c>
      <c r="L883" s="415">
        <v>0</v>
      </c>
      <c r="M883" s="415">
        <v>500</v>
      </c>
      <c r="N883" s="415">
        <v>500</v>
      </c>
      <c r="O883" s="415">
        <v>500</v>
      </c>
      <c r="P883" s="415">
        <v>0</v>
      </c>
      <c r="Q883" s="481">
        <f t="shared" si="59"/>
        <v>525</v>
      </c>
    </row>
    <row r="884" spans="1:17" outlineLevel="2" x14ac:dyDescent="0.3">
      <c r="A884" s="366" t="str">
        <f>IFERROR(VLOOKUP(RIGHT(E884,3)+0,[1]SchLocTable!$A$2:$B$47,2,FALSE)," ")</f>
        <v>Madison</v>
      </c>
      <c r="B884" s="366" t="str">
        <f>VLOOKUP(VALUE(D884),$D$3:F$106,3,FALSE)</f>
        <v>Supplementary Supplies</v>
      </c>
      <c r="C884" t="s">
        <v>314</v>
      </c>
      <c r="D884">
        <v>806</v>
      </c>
      <c r="E884" t="s">
        <v>486</v>
      </c>
      <c r="F884" t="s">
        <v>320</v>
      </c>
      <c r="G884" t="s">
        <v>319</v>
      </c>
      <c r="H884" s="502">
        <v>52360</v>
      </c>
      <c r="I884" s="415">
        <v>0</v>
      </c>
      <c r="J884" s="415">
        <v>0</v>
      </c>
      <c r="K884" s="415">
        <v>0</v>
      </c>
      <c r="L884" s="415">
        <v>0</v>
      </c>
      <c r="M884" s="415">
        <v>7.25</v>
      </c>
      <c r="N884" s="415">
        <v>7.25</v>
      </c>
      <c r="O884" s="415">
        <v>7.25</v>
      </c>
      <c r="P884" s="415">
        <v>0</v>
      </c>
      <c r="Q884" s="481">
        <f t="shared" si="59"/>
        <v>0</v>
      </c>
    </row>
    <row r="885" spans="1:17" outlineLevel="2" x14ac:dyDescent="0.3">
      <c r="A885" s="366" t="str">
        <f>IFERROR(VLOOKUP(RIGHT(E885,3)+0,[1]SchLocTable!$A$2:$B$47,2,FALSE)," ")</f>
        <v>Madison</v>
      </c>
      <c r="B885" s="366" t="str">
        <f>VLOOKUP(VALUE(D885),$D$3:F$106,3,FALSE)</f>
        <v>Supplementary Supplies</v>
      </c>
      <c r="C885" t="s">
        <v>314</v>
      </c>
      <c r="D885">
        <v>806</v>
      </c>
      <c r="E885" t="s">
        <v>486</v>
      </c>
      <c r="F885" t="s">
        <v>458</v>
      </c>
      <c r="G885" t="s">
        <v>319</v>
      </c>
      <c r="H885" s="502">
        <v>54675</v>
      </c>
      <c r="I885" s="415">
        <v>699.94</v>
      </c>
      <c r="J885" s="415">
        <v>1909.81</v>
      </c>
      <c r="K885" s="415">
        <v>0</v>
      </c>
      <c r="L885" s="415">
        <v>0</v>
      </c>
      <c r="M885" s="415">
        <v>0</v>
      </c>
      <c r="N885" s="415">
        <v>0</v>
      </c>
      <c r="O885" s="415">
        <v>0</v>
      </c>
      <c r="P885" s="415">
        <v>0</v>
      </c>
      <c r="Q885" s="481">
        <f t="shared" si="59"/>
        <v>1209.8699999999999</v>
      </c>
    </row>
    <row r="886" spans="1:17" outlineLevel="1" x14ac:dyDescent="0.3">
      <c r="A886" s="366" t="str">
        <f>IFERROR(VLOOKUP(RIGHT(E886,3)+0,[1]SchLocTable!$A$2:$B$47,2,FALSE)," ")</f>
        <v>Madison</v>
      </c>
      <c r="B886" s="366" t="str">
        <f>VLOOKUP(VALUE(D886),$D$3:F$106,3,FALSE)</f>
        <v>Supplementary Supplies</v>
      </c>
      <c r="C886" t="s">
        <v>314</v>
      </c>
      <c r="D886">
        <v>806</v>
      </c>
      <c r="E886" t="s">
        <v>486</v>
      </c>
      <c r="F886" t="s">
        <v>464</v>
      </c>
      <c r="G886" t="s">
        <v>319</v>
      </c>
      <c r="H886" s="502">
        <v>56180</v>
      </c>
      <c r="I886" s="415">
        <v>350</v>
      </c>
      <c r="J886" s="415">
        <v>350</v>
      </c>
      <c r="K886" s="415">
        <v>234</v>
      </c>
      <c r="L886" s="415">
        <v>0</v>
      </c>
      <c r="M886" s="415">
        <v>350</v>
      </c>
      <c r="N886" s="415">
        <v>400</v>
      </c>
      <c r="O886" s="415">
        <v>0</v>
      </c>
      <c r="P886" s="415">
        <v>0</v>
      </c>
      <c r="Q886" s="481">
        <f t="shared" si="59"/>
        <v>0</v>
      </c>
    </row>
    <row r="887" spans="1:17" outlineLevel="2" x14ac:dyDescent="0.3">
      <c r="A887" s="366" t="str">
        <f>IFERROR(VLOOKUP(RIGHT(E887,3)+0,[1]SchLocTable!$A$2:$B$47,2,FALSE)," ")</f>
        <v>Madison</v>
      </c>
      <c r="B887" s="366" t="str">
        <f>VLOOKUP(VALUE(D887),$D$3:F$106,3,FALSE)</f>
        <v>Supplementary Supplies</v>
      </c>
      <c r="C887" t="s">
        <v>314</v>
      </c>
      <c r="D887">
        <v>806</v>
      </c>
      <c r="E887" t="s">
        <v>486</v>
      </c>
      <c r="F887" t="s">
        <v>463</v>
      </c>
      <c r="G887" t="s">
        <v>319</v>
      </c>
      <c r="H887" s="502">
        <v>54725</v>
      </c>
      <c r="I887" s="415">
        <v>646.91</v>
      </c>
      <c r="J887" s="415">
        <v>646.91</v>
      </c>
      <c r="K887" s="415">
        <v>52.08</v>
      </c>
      <c r="L887" s="415">
        <v>189.95</v>
      </c>
      <c r="M887" s="415">
        <v>113.56</v>
      </c>
      <c r="N887" s="415">
        <v>162.47999999999999</v>
      </c>
      <c r="O887" s="415">
        <v>526.35</v>
      </c>
      <c r="P887" s="415">
        <v>550</v>
      </c>
      <c r="Q887" s="481">
        <f t="shared" si="59"/>
        <v>0</v>
      </c>
    </row>
    <row r="888" spans="1:17" outlineLevel="2" x14ac:dyDescent="0.3">
      <c r="A888" s="366" t="str">
        <f>IFERROR(VLOOKUP(RIGHT(E888,3)+0,[1]SchLocTable!$A$2:$B$47,2,FALSE)," ")</f>
        <v>Madison</v>
      </c>
      <c r="B888" s="366" t="str">
        <f>VLOOKUP(VALUE(D888),$D$3:F$106,3,FALSE)</f>
        <v>Supplementary Supplies</v>
      </c>
      <c r="C888" t="s">
        <v>314</v>
      </c>
      <c r="D888">
        <v>806</v>
      </c>
      <c r="E888" t="s">
        <v>486</v>
      </c>
      <c r="F888" t="s">
        <v>457</v>
      </c>
      <c r="G888" t="s">
        <v>319</v>
      </c>
      <c r="H888" s="502">
        <v>54580</v>
      </c>
      <c r="I888" s="415">
        <v>7060.12</v>
      </c>
      <c r="J888" s="415">
        <v>8143.28</v>
      </c>
      <c r="K888" s="415">
        <v>11042.09</v>
      </c>
      <c r="L888" s="415">
        <v>7885.85</v>
      </c>
      <c r="M888" s="415">
        <v>6797.78</v>
      </c>
      <c r="N888" s="415">
        <v>5433.09</v>
      </c>
      <c r="O888" s="415">
        <v>8531.4599999999991</v>
      </c>
      <c r="P888" s="415">
        <v>8466.1</v>
      </c>
      <c r="Q888" s="481">
        <f t="shared" si="59"/>
        <v>1083.1599999999999</v>
      </c>
    </row>
    <row r="889" spans="1:17" outlineLevel="2" x14ac:dyDescent="0.3">
      <c r="A889" s="366" t="str">
        <f>IFERROR(VLOOKUP(RIGHT(E889,3)+0,[1]SchLocTable!$A$2:$B$47,2,FALSE)," ")</f>
        <v>Classical Studies Academy</v>
      </c>
      <c r="B889" s="366" t="str">
        <f>VLOOKUP(VALUE(D889),$D$3:F$106,3,FALSE)</f>
        <v>Supplementary Supplies</v>
      </c>
      <c r="C889" t="s">
        <v>314</v>
      </c>
      <c r="D889">
        <v>806</v>
      </c>
      <c r="E889" t="s">
        <v>487</v>
      </c>
      <c r="F889" t="s">
        <v>458</v>
      </c>
      <c r="G889" t="s">
        <v>319</v>
      </c>
      <c r="H889" s="502">
        <v>54675</v>
      </c>
      <c r="I889" s="415">
        <v>890.72</v>
      </c>
      <c r="J889" s="415">
        <v>4154.41</v>
      </c>
      <c r="K889" s="415">
        <v>0</v>
      </c>
      <c r="L889" s="415">
        <v>0</v>
      </c>
      <c r="M889" s="415">
        <v>0</v>
      </c>
      <c r="N889" s="415">
        <v>0</v>
      </c>
      <c r="O889" s="415">
        <v>0</v>
      </c>
      <c r="P889" s="415">
        <v>0</v>
      </c>
      <c r="Q889" s="481">
        <f t="shared" si="59"/>
        <v>3263.6899999999996</v>
      </c>
    </row>
    <row r="890" spans="1:17" outlineLevel="2" x14ac:dyDescent="0.3">
      <c r="A890" s="366" t="str">
        <f>IFERROR(VLOOKUP(RIGHT(E890,3)+0,[1]SchLocTable!$A$2:$B$47,2,FALSE)," ")</f>
        <v>Classical Studies Academy</v>
      </c>
      <c r="B890" s="366" t="str">
        <f>VLOOKUP(VALUE(D890),$D$3:F$106,3,FALSE)</f>
        <v>Supplementary Supplies</v>
      </c>
      <c r="C890" t="s">
        <v>314</v>
      </c>
      <c r="D890">
        <v>806</v>
      </c>
      <c r="E890" t="s">
        <v>487</v>
      </c>
      <c r="F890" t="s">
        <v>463</v>
      </c>
      <c r="G890" t="s">
        <v>319</v>
      </c>
      <c r="H890" s="502">
        <v>54725</v>
      </c>
      <c r="I890" s="415">
        <v>668.61</v>
      </c>
      <c r="J890" s="415">
        <v>746.91</v>
      </c>
      <c r="K890" s="415">
        <v>137.19999999999999</v>
      </c>
      <c r="L890" s="415">
        <v>108.41</v>
      </c>
      <c r="M890" s="415">
        <v>63.6</v>
      </c>
      <c r="N890" s="415">
        <v>342.78</v>
      </c>
      <c r="O890" s="415">
        <v>640.96</v>
      </c>
      <c r="P890" s="415">
        <v>150</v>
      </c>
      <c r="Q890" s="481">
        <f t="shared" si="59"/>
        <v>78.299999999999955</v>
      </c>
    </row>
    <row r="891" spans="1:17" outlineLevel="2" x14ac:dyDescent="0.3">
      <c r="A891" s="366" t="str">
        <f>IFERROR(VLOOKUP(RIGHT(E891,3)+0,[1]SchLocTable!$A$2:$B$47,2,FALSE)," ")</f>
        <v>Classical Studies Academy</v>
      </c>
      <c r="B891" s="366" t="str">
        <f>VLOOKUP(VALUE(D891),$D$3:F$106,3,FALSE)</f>
        <v>Supplementary Supplies</v>
      </c>
      <c r="C891" t="s">
        <v>314</v>
      </c>
      <c r="D891">
        <v>806</v>
      </c>
      <c r="E891" t="s">
        <v>487</v>
      </c>
      <c r="F891" t="s">
        <v>457</v>
      </c>
      <c r="G891" t="s">
        <v>319</v>
      </c>
      <c r="H891" s="502">
        <v>54580</v>
      </c>
      <c r="I891" s="415">
        <v>3203.19</v>
      </c>
      <c r="J891" s="415">
        <v>3798.68</v>
      </c>
      <c r="K891" s="415">
        <v>9560.15</v>
      </c>
      <c r="L891" s="415">
        <v>8160.88</v>
      </c>
      <c r="M891" s="415">
        <v>7823.81</v>
      </c>
      <c r="N891" s="415">
        <v>8029.02</v>
      </c>
      <c r="O891" s="415">
        <v>8017.38</v>
      </c>
      <c r="P891" s="415">
        <v>6421.5</v>
      </c>
      <c r="Q891" s="481">
        <f t="shared" si="59"/>
        <v>595.48999999999978</v>
      </c>
    </row>
    <row r="892" spans="1:17" outlineLevel="2" x14ac:dyDescent="0.3">
      <c r="A892" s="366" t="str">
        <f>IFERROR(VLOOKUP(RIGHT(E892,3)+0,[1]SchLocTable!$A$2:$B$47,2,FALSE)," ")</f>
        <v>Tisdale</v>
      </c>
      <c r="B892" s="366" t="str">
        <f>VLOOKUP(VALUE(D892),$D$3:F$106,3,FALSE)</f>
        <v>Supplementary Supplies</v>
      </c>
      <c r="C892" t="s">
        <v>314</v>
      </c>
      <c r="D892">
        <v>806</v>
      </c>
      <c r="E892" t="s">
        <v>488</v>
      </c>
      <c r="F892" t="s">
        <v>458</v>
      </c>
      <c r="G892" t="s">
        <v>319</v>
      </c>
      <c r="H892" s="502">
        <v>54675</v>
      </c>
      <c r="I892" s="415">
        <v>274.58</v>
      </c>
      <c r="J892" s="415">
        <v>2500</v>
      </c>
      <c r="K892" s="415">
        <v>0</v>
      </c>
      <c r="L892" s="415">
        <v>0</v>
      </c>
      <c r="M892" s="415">
        <v>0</v>
      </c>
      <c r="N892" s="415">
        <v>0</v>
      </c>
      <c r="O892" s="415">
        <v>0</v>
      </c>
      <c r="P892" s="415">
        <v>0</v>
      </c>
      <c r="Q892" s="481">
        <f t="shared" si="59"/>
        <v>2225.42</v>
      </c>
    </row>
    <row r="893" spans="1:17" outlineLevel="2" x14ac:dyDescent="0.3">
      <c r="A893" s="366" t="str">
        <f>IFERROR(VLOOKUP(RIGHT(E893,3)+0,[1]SchLocTable!$A$2:$B$47,2,FALSE)," ")</f>
        <v>Tisdale</v>
      </c>
      <c r="B893" s="366" t="str">
        <f>VLOOKUP(VALUE(D893),$D$3:F$106,3,FALSE)</f>
        <v>Supplementary Supplies</v>
      </c>
      <c r="C893" t="s">
        <v>314</v>
      </c>
      <c r="D893">
        <v>806</v>
      </c>
      <c r="E893" t="s">
        <v>488</v>
      </c>
      <c r="F893" t="s">
        <v>464</v>
      </c>
      <c r="G893" t="s">
        <v>319</v>
      </c>
      <c r="H893" s="502">
        <v>56180</v>
      </c>
      <c r="I893" s="415">
        <v>2680</v>
      </c>
      <c r="J893" s="415">
        <v>2680</v>
      </c>
      <c r="K893" s="415">
        <v>0</v>
      </c>
      <c r="L893" s="415">
        <v>0</v>
      </c>
      <c r="M893" s="415">
        <v>17.55</v>
      </c>
      <c r="N893" s="415">
        <v>0</v>
      </c>
      <c r="O893" s="415">
        <v>0</v>
      </c>
      <c r="P893" s="415">
        <v>0</v>
      </c>
      <c r="Q893" s="481">
        <f t="shared" si="59"/>
        <v>0</v>
      </c>
    </row>
    <row r="894" spans="1:17" outlineLevel="2" x14ac:dyDescent="0.3">
      <c r="A894" s="366" t="str">
        <f>IFERROR(VLOOKUP(RIGHT(E894,3)+0,[1]SchLocTable!$A$2:$B$47,2,FALSE)," ")</f>
        <v>Tisdale</v>
      </c>
      <c r="B894" s="366" t="str">
        <f>VLOOKUP(VALUE(D894),$D$3:F$106,3,FALSE)</f>
        <v>Supplementary Supplies</v>
      </c>
      <c r="C894" t="s">
        <v>314</v>
      </c>
      <c r="D894">
        <v>806</v>
      </c>
      <c r="E894" t="s">
        <v>488</v>
      </c>
      <c r="F894" t="s">
        <v>463</v>
      </c>
      <c r="G894" t="s">
        <v>319</v>
      </c>
      <c r="H894" s="502">
        <v>54725</v>
      </c>
      <c r="I894" s="415">
        <v>701.89</v>
      </c>
      <c r="J894" s="415">
        <v>746.91</v>
      </c>
      <c r="K894" s="415">
        <v>487.51</v>
      </c>
      <c r="L894" s="415">
        <v>301.36</v>
      </c>
      <c r="M894" s="415">
        <v>306.89</v>
      </c>
      <c r="N894" s="415">
        <v>243.19</v>
      </c>
      <c r="O894" s="415">
        <v>538.41</v>
      </c>
      <c r="P894" s="415">
        <v>300</v>
      </c>
      <c r="Q894" s="481">
        <f t="shared" si="59"/>
        <v>45.019999999999982</v>
      </c>
    </row>
    <row r="895" spans="1:17" outlineLevel="2" x14ac:dyDescent="0.3">
      <c r="A895" s="366" t="str">
        <f>IFERROR(VLOOKUP(RIGHT(E895,3)+0,[1]SchLocTable!$A$2:$B$47,2,FALSE)," ")</f>
        <v>Tisdale</v>
      </c>
      <c r="B895" s="366" t="str">
        <f>VLOOKUP(VALUE(D895),$D$3:F$106,3,FALSE)</f>
        <v>Supplementary Supplies</v>
      </c>
      <c r="C895" t="s">
        <v>314</v>
      </c>
      <c r="D895">
        <v>806</v>
      </c>
      <c r="E895" t="s">
        <v>488</v>
      </c>
      <c r="F895" t="s">
        <v>457</v>
      </c>
      <c r="G895" t="s">
        <v>319</v>
      </c>
      <c r="H895" s="502">
        <v>54580</v>
      </c>
      <c r="I895" s="415">
        <v>4639.7700000000004</v>
      </c>
      <c r="J895" s="415">
        <v>7873.09</v>
      </c>
      <c r="K895" s="415">
        <v>13290.47</v>
      </c>
      <c r="L895" s="415">
        <v>9406.66</v>
      </c>
      <c r="M895" s="415">
        <v>8905.5499999999993</v>
      </c>
      <c r="N895" s="415">
        <v>10348.879999999999</v>
      </c>
      <c r="O895" s="415">
        <v>11962.9</v>
      </c>
      <c r="P895" s="415">
        <v>11739.85</v>
      </c>
      <c r="Q895" s="481">
        <f t="shared" ref="Q895:Q958" si="60">J895-I895</f>
        <v>3233.3199999999997</v>
      </c>
    </row>
    <row r="896" spans="1:17" outlineLevel="2" x14ac:dyDescent="0.3">
      <c r="A896" s="366" t="str">
        <f>IFERROR(VLOOKUP(RIGHT(E896,3)+0,[1]SchLocTable!$A$2:$B$47,2,FALSE)," ")</f>
        <v>Read</v>
      </c>
      <c r="B896" s="366" t="str">
        <f>VLOOKUP(VALUE(D896),$D$3:F$106,3,FALSE)</f>
        <v>Supplementary Supplies</v>
      </c>
      <c r="C896" t="s">
        <v>314</v>
      </c>
      <c r="D896">
        <v>806</v>
      </c>
      <c r="E896" t="s">
        <v>489</v>
      </c>
      <c r="F896" t="s">
        <v>334</v>
      </c>
      <c r="G896" t="s">
        <v>319</v>
      </c>
      <c r="H896" s="502">
        <v>51400</v>
      </c>
      <c r="I896" s="415">
        <v>0</v>
      </c>
      <c r="J896" s="415">
        <v>525</v>
      </c>
      <c r="K896" s="415">
        <v>337.5</v>
      </c>
      <c r="L896" s="415">
        <v>0</v>
      </c>
      <c r="M896" s="415">
        <v>0</v>
      </c>
      <c r="N896" s="415">
        <v>500</v>
      </c>
      <c r="O896" s="415">
        <v>0</v>
      </c>
      <c r="P896" s="415">
        <v>0</v>
      </c>
      <c r="Q896" s="481">
        <f t="shared" si="60"/>
        <v>525</v>
      </c>
    </row>
    <row r="897" spans="1:17" outlineLevel="2" x14ac:dyDescent="0.3">
      <c r="A897" s="366" t="str">
        <f>IFERROR(VLOOKUP(RIGHT(E897,3)+0,[1]SchLocTable!$A$2:$B$47,2,FALSE)," ")</f>
        <v>Read</v>
      </c>
      <c r="B897" s="366" t="str">
        <f>VLOOKUP(VALUE(D897),$D$3:F$106,3,FALSE)</f>
        <v>Supplementary Supplies</v>
      </c>
      <c r="C897" t="s">
        <v>314</v>
      </c>
      <c r="D897">
        <v>806</v>
      </c>
      <c r="E897" t="s">
        <v>489</v>
      </c>
      <c r="F897" t="s">
        <v>320</v>
      </c>
      <c r="G897" t="s">
        <v>319</v>
      </c>
      <c r="H897" s="502">
        <v>52360</v>
      </c>
      <c r="I897" s="415">
        <v>0</v>
      </c>
      <c r="J897" s="415">
        <v>0</v>
      </c>
      <c r="K897" s="415">
        <v>4.8899999999999997</v>
      </c>
      <c r="L897" s="415">
        <v>0</v>
      </c>
      <c r="M897" s="415">
        <v>0</v>
      </c>
      <c r="N897" s="415">
        <v>7.75</v>
      </c>
      <c r="O897" s="415">
        <v>0</v>
      </c>
      <c r="P897" s="415">
        <v>0</v>
      </c>
      <c r="Q897" s="481">
        <f t="shared" si="60"/>
        <v>0</v>
      </c>
    </row>
    <row r="898" spans="1:17" outlineLevel="2" x14ac:dyDescent="0.3">
      <c r="A898" s="366" t="str">
        <f>IFERROR(VLOOKUP(RIGHT(E898,3)+0,[1]SchLocTable!$A$2:$B$47,2,FALSE)," ")</f>
        <v>Read</v>
      </c>
      <c r="B898" s="366" t="str">
        <f>VLOOKUP(VALUE(D898),$D$3:F$106,3,FALSE)</f>
        <v>Supplementary Supplies</v>
      </c>
      <c r="C898" t="s">
        <v>314</v>
      </c>
      <c r="D898">
        <v>806</v>
      </c>
      <c r="E898" t="s">
        <v>489</v>
      </c>
      <c r="F898" t="s">
        <v>473</v>
      </c>
      <c r="G898" t="s">
        <v>319</v>
      </c>
      <c r="H898" s="502">
        <v>53605</v>
      </c>
      <c r="I898" s="415">
        <v>0</v>
      </c>
      <c r="J898" s="415">
        <v>1600</v>
      </c>
      <c r="K898" s="415">
        <v>0</v>
      </c>
      <c r="L898" s="415">
        <v>0</v>
      </c>
      <c r="M898" s="415">
        <v>0</v>
      </c>
      <c r="N898" s="415">
        <v>0</v>
      </c>
      <c r="O898" s="415">
        <v>0</v>
      </c>
      <c r="P898" s="415">
        <v>0</v>
      </c>
      <c r="Q898" s="481">
        <f t="shared" si="60"/>
        <v>1600</v>
      </c>
    </row>
    <row r="899" spans="1:17" outlineLevel="2" x14ac:dyDescent="0.3">
      <c r="A899" s="366" t="str">
        <f>IFERROR(VLOOKUP(RIGHT(E899,3)+0,[1]SchLocTable!$A$2:$B$47,2,FALSE)," ")</f>
        <v>Read</v>
      </c>
      <c r="B899" s="366" t="str">
        <f>VLOOKUP(VALUE(D899),$D$3:F$106,3,FALSE)</f>
        <v>Supplementary Supplies</v>
      </c>
      <c r="C899" t="s">
        <v>314</v>
      </c>
      <c r="D899">
        <v>806</v>
      </c>
      <c r="E899" t="s">
        <v>489</v>
      </c>
      <c r="F899" t="s">
        <v>392</v>
      </c>
      <c r="G899" t="s">
        <v>319</v>
      </c>
      <c r="H899" s="502">
        <v>52504</v>
      </c>
      <c r="I899" s="415">
        <v>0</v>
      </c>
      <c r="J899" s="415">
        <v>0</v>
      </c>
      <c r="K899" s="415">
        <v>70.13</v>
      </c>
      <c r="L899" s="415">
        <v>0</v>
      </c>
      <c r="M899" s="415">
        <v>0</v>
      </c>
      <c r="N899" s="415">
        <v>6.62</v>
      </c>
      <c r="O899" s="415">
        <v>0</v>
      </c>
      <c r="P899" s="415">
        <v>0</v>
      </c>
      <c r="Q899" s="481">
        <f t="shared" si="60"/>
        <v>0</v>
      </c>
    </row>
    <row r="900" spans="1:17" outlineLevel="2" x14ac:dyDescent="0.3">
      <c r="A900" s="366" t="str">
        <f>IFERROR(VLOOKUP(RIGHT(E900,3)+0,[1]SchLocTable!$A$2:$B$47,2,FALSE)," ")</f>
        <v>Read</v>
      </c>
      <c r="B900" s="366" t="str">
        <f>VLOOKUP(VALUE(D900),$D$3:F$106,3,FALSE)</f>
        <v>Supplementary Supplies</v>
      </c>
      <c r="C900" t="s">
        <v>314</v>
      </c>
      <c r="D900">
        <v>806</v>
      </c>
      <c r="E900" t="s">
        <v>489</v>
      </c>
      <c r="F900" t="s">
        <v>458</v>
      </c>
      <c r="G900" t="s">
        <v>319</v>
      </c>
      <c r="H900" s="502">
        <v>54675</v>
      </c>
      <c r="I900" s="415">
        <v>488.05</v>
      </c>
      <c r="J900" s="415">
        <v>927.67</v>
      </c>
      <c r="K900" s="415">
        <v>0</v>
      </c>
      <c r="L900" s="415">
        <v>0</v>
      </c>
      <c r="M900" s="415">
        <v>0</v>
      </c>
      <c r="N900" s="415">
        <v>0</v>
      </c>
      <c r="O900" s="415">
        <v>0</v>
      </c>
      <c r="P900" s="415">
        <v>0</v>
      </c>
      <c r="Q900" s="481">
        <f t="shared" si="60"/>
        <v>439.61999999999995</v>
      </c>
    </row>
    <row r="901" spans="1:17" outlineLevel="2" x14ac:dyDescent="0.3">
      <c r="A901" s="366" t="str">
        <f>IFERROR(VLOOKUP(RIGHT(E901,3)+0,[1]SchLocTable!$A$2:$B$47,2,FALSE)," ")</f>
        <v>Read</v>
      </c>
      <c r="B901" s="366" t="str">
        <f>VLOOKUP(VALUE(D901),$D$3:F$106,3,FALSE)</f>
        <v>Supplementary Supplies</v>
      </c>
      <c r="C901" t="s">
        <v>314</v>
      </c>
      <c r="D901">
        <v>806</v>
      </c>
      <c r="E901" t="s">
        <v>489</v>
      </c>
      <c r="F901" t="s">
        <v>464</v>
      </c>
      <c r="G901" t="s">
        <v>319</v>
      </c>
      <c r="H901" s="502">
        <v>56180</v>
      </c>
      <c r="I901" s="415">
        <v>1850</v>
      </c>
      <c r="J901" s="415">
        <v>1850</v>
      </c>
      <c r="K901" s="415">
        <v>1520</v>
      </c>
      <c r="L901" s="415">
        <v>902</v>
      </c>
      <c r="M901" s="415">
        <v>1500</v>
      </c>
      <c r="N901" s="415">
        <v>575</v>
      </c>
      <c r="O901" s="415">
        <v>1612.5</v>
      </c>
      <c r="P901" s="415">
        <v>1850</v>
      </c>
      <c r="Q901" s="481">
        <f t="shared" si="60"/>
        <v>0</v>
      </c>
    </row>
    <row r="902" spans="1:17" outlineLevel="2" x14ac:dyDescent="0.3">
      <c r="A902" s="366" t="str">
        <f>IFERROR(VLOOKUP(RIGHT(E902,3)+0,[1]SchLocTable!$A$2:$B$47,2,FALSE)," ")</f>
        <v>Read</v>
      </c>
      <c r="B902" s="366" t="str">
        <f>VLOOKUP(VALUE(D902),$D$3:F$106,3,FALSE)</f>
        <v>Supplementary Supplies</v>
      </c>
      <c r="C902" t="s">
        <v>314</v>
      </c>
      <c r="D902">
        <v>806</v>
      </c>
      <c r="E902" t="s">
        <v>489</v>
      </c>
      <c r="F902" t="s">
        <v>463</v>
      </c>
      <c r="G902" t="s">
        <v>319</v>
      </c>
      <c r="H902" s="502">
        <v>54725</v>
      </c>
      <c r="I902" s="415">
        <v>513.29</v>
      </c>
      <c r="J902" s="415">
        <v>596.91</v>
      </c>
      <c r="K902" s="415">
        <v>322.69</v>
      </c>
      <c r="L902" s="415">
        <v>365.13</v>
      </c>
      <c r="M902" s="415">
        <v>115.68</v>
      </c>
      <c r="N902" s="415">
        <v>210.38</v>
      </c>
      <c r="O902" s="415">
        <v>655.03</v>
      </c>
      <c r="P902" s="415">
        <v>400</v>
      </c>
      <c r="Q902" s="481">
        <f t="shared" si="60"/>
        <v>83.62</v>
      </c>
    </row>
    <row r="903" spans="1:17" outlineLevel="2" x14ac:dyDescent="0.3">
      <c r="A903" s="366" t="str">
        <f>IFERROR(VLOOKUP(RIGHT(E903,3)+0,[1]SchLocTable!$A$2:$B$47,2,FALSE)," ")</f>
        <v>Read</v>
      </c>
      <c r="B903" s="366" t="str">
        <f>VLOOKUP(VALUE(D903),$D$3:F$106,3,FALSE)</f>
        <v>Supplementary Supplies</v>
      </c>
      <c r="C903" t="s">
        <v>314</v>
      </c>
      <c r="D903">
        <v>806</v>
      </c>
      <c r="E903" t="s">
        <v>489</v>
      </c>
      <c r="F903" t="s">
        <v>480</v>
      </c>
      <c r="G903" t="s">
        <v>319</v>
      </c>
      <c r="H903" s="502">
        <v>55075</v>
      </c>
      <c r="I903" s="415">
        <v>1454.35</v>
      </c>
      <c r="J903" s="415">
        <v>1454.35</v>
      </c>
      <c r="K903" s="415">
        <v>0</v>
      </c>
      <c r="L903" s="415">
        <v>0</v>
      </c>
      <c r="M903" s="415">
        <v>0</v>
      </c>
      <c r="N903" s="415">
        <v>1240.74</v>
      </c>
      <c r="O903" s="415">
        <v>75</v>
      </c>
      <c r="P903" s="415">
        <v>0</v>
      </c>
      <c r="Q903" s="481">
        <f t="shared" si="60"/>
        <v>0</v>
      </c>
    </row>
    <row r="904" spans="1:17" outlineLevel="2" x14ac:dyDescent="0.3">
      <c r="A904" s="366" t="str">
        <f>IFERROR(VLOOKUP(RIGHT(E904,3)+0,[1]SchLocTable!$A$2:$B$47,2,FALSE)," ")</f>
        <v>Read</v>
      </c>
      <c r="B904" s="366" t="str">
        <f>VLOOKUP(VALUE(D904),$D$3:F$106,3,FALSE)</f>
        <v>Supplementary Supplies</v>
      </c>
      <c r="C904" t="s">
        <v>314</v>
      </c>
      <c r="D904">
        <v>806</v>
      </c>
      <c r="E904" t="s">
        <v>489</v>
      </c>
      <c r="F904" t="s">
        <v>457</v>
      </c>
      <c r="G904" t="s">
        <v>319</v>
      </c>
      <c r="H904" s="502">
        <v>54580</v>
      </c>
      <c r="I904" s="415">
        <v>6699.22</v>
      </c>
      <c r="J904" s="415">
        <v>13271.07</v>
      </c>
      <c r="K904" s="415">
        <v>18071.2</v>
      </c>
      <c r="L904" s="415">
        <v>12871.59</v>
      </c>
      <c r="M904" s="415">
        <v>12037.8</v>
      </c>
      <c r="N904" s="415">
        <v>6507.94</v>
      </c>
      <c r="O904" s="415">
        <v>13906.42</v>
      </c>
      <c r="P904" s="415">
        <v>12043.46</v>
      </c>
      <c r="Q904" s="481">
        <f t="shared" si="60"/>
        <v>6571.8499999999995</v>
      </c>
    </row>
    <row r="905" spans="1:17" outlineLevel="2" x14ac:dyDescent="0.3">
      <c r="A905" s="366" t="str">
        <f>IFERROR(VLOOKUP(RIGHT(E905,3)+0,[1]SchLocTable!$A$2:$B$47,2,FALSE)," ")</f>
        <v>Read</v>
      </c>
      <c r="B905" s="366" t="str">
        <f>VLOOKUP(VALUE(D905),$D$3:F$106,3,FALSE)</f>
        <v>Supplementary Supplies</v>
      </c>
      <c r="C905" t="s">
        <v>314</v>
      </c>
      <c r="D905">
        <v>806</v>
      </c>
      <c r="E905" t="s">
        <v>489</v>
      </c>
      <c r="F905" t="s">
        <v>465</v>
      </c>
      <c r="G905" t="s">
        <v>319</v>
      </c>
      <c r="H905" s="502">
        <v>56240</v>
      </c>
      <c r="I905" s="415">
        <v>135</v>
      </c>
      <c r="J905" s="415">
        <v>300</v>
      </c>
      <c r="K905" s="415">
        <v>1296</v>
      </c>
      <c r="L905" s="415">
        <v>150</v>
      </c>
      <c r="M905" s="415">
        <v>750</v>
      </c>
      <c r="N905" s="415">
        <v>0</v>
      </c>
      <c r="O905" s="415">
        <v>0</v>
      </c>
      <c r="P905" s="415">
        <v>0</v>
      </c>
      <c r="Q905" s="481">
        <f t="shared" si="60"/>
        <v>165</v>
      </c>
    </row>
    <row r="906" spans="1:17" outlineLevel="2" x14ac:dyDescent="0.3">
      <c r="A906" s="366" t="str">
        <f>IFERROR(VLOOKUP(RIGHT(E906,3)+0,[1]SchLocTable!$A$2:$B$47,2,FALSE)," ")</f>
        <v>Roosevelt</v>
      </c>
      <c r="B906" s="366" t="str">
        <f>VLOOKUP(VALUE(D906),$D$3:F$106,3,FALSE)</f>
        <v>Supplementary Supplies</v>
      </c>
      <c r="C906" t="s">
        <v>314</v>
      </c>
      <c r="D906">
        <v>806</v>
      </c>
      <c r="E906" t="s">
        <v>490</v>
      </c>
      <c r="F906" t="s">
        <v>458</v>
      </c>
      <c r="G906" t="s">
        <v>319</v>
      </c>
      <c r="H906" s="502">
        <v>54675</v>
      </c>
      <c r="I906" s="415">
        <v>923.26</v>
      </c>
      <c r="J906" s="415">
        <v>1500</v>
      </c>
      <c r="K906" s="415">
        <v>0</v>
      </c>
      <c r="L906" s="415">
        <v>0</v>
      </c>
      <c r="M906" s="415">
        <v>0</v>
      </c>
      <c r="N906" s="415">
        <v>0</v>
      </c>
      <c r="O906" s="415">
        <v>0</v>
      </c>
      <c r="P906" s="415">
        <v>0</v>
      </c>
      <c r="Q906" s="481">
        <f t="shared" si="60"/>
        <v>576.74</v>
      </c>
    </row>
    <row r="907" spans="1:17" outlineLevel="2" x14ac:dyDescent="0.3">
      <c r="A907" s="366" t="str">
        <f>IFERROR(VLOOKUP(RIGHT(E907,3)+0,[1]SchLocTable!$A$2:$B$47,2,FALSE)," ")</f>
        <v>Roosevelt</v>
      </c>
      <c r="B907" s="366" t="str">
        <f>VLOOKUP(VALUE(D907),$D$3:F$106,3,FALSE)</f>
        <v>Supplementary Supplies</v>
      </c>
      <c r="C907" t="s">
        <v>314</v>
      </c>
      <c r="D907">
        <v>806</v>
      </c>
      <c r="E907" t="s">
        <v>490</v>
      </c>
      <c r="F907" t="s">
        <v>464</v>
      </c>
      <c r="G907" t="s">
        <v>319</v>
      </c>
      <c r="H907" s="502">
        <v>56180</v>
      </c>
      <c r="I907" s="415">
        <v>890</v>
      </c>
      <c r="J907" s="415">
        <v>890</v>
      </c>
      <c r="K907" s="415">
        <v>54.98</v>
      </c>
      <c r="L907" s="415">
        <v>715</v>
      </c>
      <c r="M907" s="415">
        <v>0</v>
      </c>
      <c r="N907" s="415">
        <v>1063</v>
      </c>
      <c r="O907" s="415">
        <v>990</v>
      </c>
      <c r="P907" s="415">
        <v>201.22</v>
      </c>
      <c r="Q907" s="481">
        <f t="shared" si="60"/>
        <v>0</v>
      </c>
    </row>
    <row r="908" spans="1:17" outlineLevel="2" x14ac:dyDescent="0.3">
      <c r="A908" s="366" t="str">
        <f>IFERROR(VLOOKUP(RIGHT(E908,3)+0,[1]SchLocTable!$A$2:$B$47,2,FALSE)," ")</f>
        <v>Roosevelt</v>
      </c>
      <c r="B908" s="366" t="str">
        <f>VLOOKUP(VALUE(D908),$D$3:F$106,3,FALSE)</f>
        <v>Supplementary Supplies</v>
      </c>
      <c r="C908" t="s">
        <v>314</v>
      </c>
      <c r="D908">
        <v>806</v>
      </c>
      <c r="E908" t="s">
        <v>490</v>
      </c>
      <c r="F908" t="s">
        <v>463</v>
      </c>
      <c r="G908" t="s">
        <v>319</v>
      </c>
      <c r="H908" s="502">
        <v>54725</v>
      </c>
      <c r="I908" s="415">
        <v>646.91</v>
      </c>
      <c r="J908" s="415">
        <v>646.91</v>
      </c>
      <c r="K908" s="415">
        <v>159.54</v>
      </c>
      <c r="L908" s="415">
        <v>172.12</v>
      </c>
      <c r="M908" s="415">
        <v>186.63</v>
      </c>
      <c r="N908" s="415">
        <v>322.05</v>
      </c>
      <c r="O908" s="415">
        <v>646.19000000000005</v>
      </c>
      <c r="P908" s="415">
        <v>550</v>
      </c>
      <c r="Q908" s="481">
        <f t="shared" si="60"/>
        <v>0</v>
      </c>
    </row>
    <row r="909" spans="1:17" outlineLevel="2" x14ac:dyDescent="0.3">
      <c r="A909" s="366" t="str">
        <f>IFERROR(VLOOKUP(RIGHT(E909,3)+0,[1]SchLocTable!$A$2:$B$47,2,FALSE)," ")</f>
        <v>Roosevelt</v>
      </c>
      <c r="B909" s="366" t="str">
        <f>VLOOKUP(VALUE(D909),$D$3:F$106,3,FALSE)</f>
        <v>Supplementary Supplies</v>
      </c>
      <c r="C909" t="s">
        <v>314</v>
      </c>
      <c r="D909">
        <v>806</v>
      </c>
      <c r="E909" t="s">
        <v>490</v>
      </c>
      <c r="F909" t="s">
        <v>457</v>
      </c>
      <c r="G909" t="s">
        <v>319</v>
      </c>
      <c r="H909" s="502">
        <v>54580</v>
      </c>
      <c r="I909" s="415">
        <v>5343.93</v>
      </c>
      <c r="J909" s="415">
        <v>9263.09</v>
      </c>
      <c r="K909" s="415">
        <v>9503.34</v>
      </c>
      <c r="L909" s="415">
        <v>7380.17</v>
      </c>
      <c r="M909" s="415">
        <v>7706.87</v>
      </c>
      <c r="N909" s="415">
        <v>6859.92</v>
      </c>
      <c r="O909" s="415">
        <v>9622.8799999999992</v>
      </c>
      <c r="P909" s="415">
        <v>8788.7800000000007</v>
      </c>
      <c r="Q909" s="481">
        <f t="shared" si="60"/>
        <v>3919.16</v>
      </c>
    </row>
    <row r="910" spans="1:17" outlineLevel="2" x14ac:dyDescent="0.3">
      <c r="A910" s="366" t="str">
        <f>IFERROR(VLOOKUP(RIGHT(E910,3)+0,[1]SchLocTable!$A$2:$B$47,2,FALSE)," ")</f>
        <v>Bridgeport Learning Center</v>
      </c>
      <c r="B910" s="366" t="str">
        <f>VLOOKUP(VALUE(D910),$D$3:F$106,3,FALSE)</f>
        <v>Supplementary Supplies</v>
      </c>
      <c r="C910" t="s">
        <v>314</v>
      </c>
      <c r="D910">
        <v>806</v>
      </c>
      <c r="E910" t="s">
        <v>491</v>
      </c>
      <c r="F910" t="s">
        <v>458</v>
      </c>
      <c r="G910" t="s">
        <v>319</v>
      </c>
      <c r="H910" s="502">
        <v>54675</v>
      </c>
      <c r="I910" s="415">
        <v>0</v>
      </c>
      <c r="J910" s="415">
        <v>197.26</v>
      </c>
      <c r="K910" s="415">
        <v>0</v>
      </c>
      <c r="L910" s="415">
        <v>0</v>
      </c>
      <c r="M910" s="415">
        <v>0</v>
      </c>
      <c r="N910" s="415">
        <v>0</v>
      </c>
      <c r="O910" s="415">
        <v>0</v>
      </c>
      <c r="P910" s="415">
        <v>0</v>
      </c>
      <c r="Q910" s="481">
        <f t="shared" si="60"/>
        <v>197.26</v>
      </c>
    </row>
    <row r="911" spans="1:17" outlineLevel="2" x14ac:dyDescent="0.3">
      <c r="A911" s="366" t="str">
        <f>IFERROR(VLOOKUP(RIGHT(E911,3)+0,[1]SchLocTable!$A$2:$B$47,2,FALSE)," ")</f>
        <v>Bridgeport Learning Center</v>
      </c>
      <c r="B911" s="366" t="str">
        <f>VLOOKUP(VALUE(D911),$D$3:F$106,3,FALSE)</f>
        <v>Supplementary Supplies</v>
      </c>
      <c r="C911" t="s">
        <v>314</v>
      </c>
      <c r="D911">
        <v>806</v>
      </c>
      <c r="E911" t="s">
        <v>491</v>
      </c>
      <c r="F911" t="s">
        <v>464</v>
      </c>
      <c r="G911" t="s">
        <v>319</v>
      </c>
      <c r="H911" s="502">
        <v>56180</v>
      </c>
      <c r="I911" s="415">
        <v>0</v>
      </c>
      <c r="J911" s="415">
        <v>0</v>
      </c>
      <c r="K911" s="415">
        <v>500</v>
      </c>
      <c r="L911" s="415">
        <v>0</v>
      </c>
      <c r="M911" s="415">
        <v>0</v>
      </c>
      <c r="N911" s="415">
        <v>0</v>
      </c>
      <c r="O911" s="415">
        <v>0</v>
      </c>
      <c r="P911" s="415">
        <v>0</v>
      </c>
      <c r="Q911" s="481">
        <f t="shared" si="60"/>
        <v>0</v>
      </c>
    </row>
    <row r="912" spans="1:17" outlineLevel="2" x14ac:dyDescent="0.3">
      <c r="A912" s="366" t="str">
        <f>IFERROR(VLOOKUP(RIGHT(E912,3)+0,[1]SchLocTable!$A$2:$B$47,2,FALSE)," ")</f>
        <v>Bridgeport Learning Center</v>
      </c>
      <c r="B912" s="366" t="str">
        <f>VLOOKUP(VALUE(D912),$D$3:F$106,3,FALSE)</f>
        <v>Supplementary Supplies</v>
      </c>
      <c r="C912" t="s">
        <v>314</v>
      </c>
      <c r="D912">
        <v>806</v>
      </c>
      <c r="E912" t="s">
        <v>491</v>
      </c>
      <c r="F912" t="s">
        <v>463</v>
      </c>
      <c r="G912" t="s">
        <v>319</v>
      </c>
      <c r="H912" s="502">
        <v>54725</v>
      </c>
      <c r="I912" s="415">
        <v>426</v>
      </c>
      <c r="J912" s="415">
        <v>500</v>
      </c>
      <c r="K912" s="415">
        <v>0</v>
      </c>
      <c r="L912" s="415">
        <v>500</v>
      </c>
      <c r="M912" s="415">
        <v>246.48</v>
      </c>
      <c r="N912" s="415">
        <v>100.11</v>
      </c>
      <c r="O912" s="415">
        <v>398.37</v>
      </c>
      <c r="P912" s="415">
        <v>369.82</v>
      </c>
      <c r="Q912" s="481">
        <f t="shared" si="60"/>
        <v>74</v>
      </c>
    </row>
    <row r="913" spans="1:17" outlineLevel="2" x14ac:dyDescent="0.3">
      <c r="A913" s="366" t="str">
        <f>IFERROR(VLOOKUP(RIGHT(E913,3)+0,[1]SchLocTable!$A$2:$B$47,2,FALSE)," ")</f>
        <v>Bridgeport Learning Center</v>
      </c>
      <c r="B913" s="366" t="str">
        <f>VLOOKUP(VALUE(D913),$D$3:F$106,3,FALSE)</f>
        <v>Supplementary Supplies</v>
      </c>
      <c r="C913" t="s">
        <v>314</v>
      </c>
      <c r="D913">
        <v>806</v>
      </c>
      <c r="E913" t="s">
        <v>491</v>
      </c>
      <c r="F913" t="s">
        <v>457</v>
      </c>
      <c r="G913" t="s">
        <v>319</v>
      </c>
      <c r="H913" s="502">
        <v>54580</v>
      </c>
      <c r="I913" s="415">
        <v>1177.74</v>
      </c>
      <c r="J913" s="415">
        <v>1177.74</v>
      </c>
      <c r="K913" s="415">
        <v>834.7</v>
      </c>
      <c r="L913" s="415">
        <v>1024.01</v>
      </c>
      <c r="M913" s="415">
        <v>385.91</v>
      </c>
      <c r="N913" s="415">
        <v>829.29</v>
      </c>
      <c r="O913" s="415">
        <v>1101.4000000000001</v>
      </c>
      <c r="P913" s="415">
        <v>1437.94</v>
      </c>
      <c r="Q913" s="481">
        <f t="shared" si="60"/>
        <v>0</v>
      </c>
    </row>
    <row r="914" spans="1:17" outlineLevel="2" x14ac:dyDescent="0.3">
      <c r="A914" s="366" t="str">
        <f>IFERROR(VLOOKUP(RIGHT(E914,3)+0,[1]SchLocTable!$A$2:$B$47,2,FALSE)," ")</f>
        <v>Waltersville</v>
      </c>
      <c r="B914" s="366" t="str">
        <f>VLOOKUP(VALUE(D914),$D$3:F$106,3,FALSE)</f>
        <v>Supplementary Supplies</v>
      </c>
      <c r="C914" t="s">
        <v>314</v>
      </c>
      <c r="D914">
        <v>806</v>
      </c>
      <c r="E914" t="s">
        <v>492</v>
      </c>
      <c r="F914" t="s">
        <v>464</v>
      </c>
      <c r="G914" t="s">
        <v>319</v>
      </c>
      <c r="H914" s="502">
        <v>56180</v>
      </c>
      <c r="I914" s="415">
        <v>325</v>
      </c>
      <c r="J914" s="415">
        <v>325</v>
      </c>
      <c r="K914" s="415">
        <v>59</v>
      </c>
      <c r="L914" s="415">
        <v>988.26</v>
      </c>
      <c r="M914" s="415">
        <v>744</v>
      </c>
      <c r="N914" s="415">
        <v>1245.43</v>
      </c>
      <c r="O914" s="415">
        <v>175</v>
      </c>
      <c r="P914" s="415">
        <v>0</v>
      </c>
      <c r="Q914" s="481">
        <f t="shared" si="60"/>
        <v>0</v>
      </c>
    </row>
    <row r="915" spans="1:17" outlineLevel="2" x14ac:dyDescent="0.3">
      <c r="A915" s="366" t="str">
        <f>IFERROR(VLOOKUP(RIGHT(E915,3)+0,[1]SchLocTable!$A$2:$B$47,2,FALSE)," ")</f>
        <v>Waltersville</v>
      </c>
      <c r="B915" s="366" t="str">
        <f>VLOOKUP(VALUE(D915),$D$3:F$106,3,FALSE)</f>
        <v>Supplementary Supplies</v>
      </c>
      <c r="C915" t="s">
        <v>314</v>
      </c>
      <c r="D915">
        <v>806</v>
      </c>
      <c r="E915" t="s">
        <v>492</v>
      </c>
      <c r="F915" t="s">
        <v>463</v>
      </c>
      <c r="G915" t="s">
        <v>319</v>
      </c>
      <c r="H915" s="502">
        <v>54725</v>
      </c>
      <c r="I915" s="415">
        <v>909.64</v>
      </c>
      <c r="J915" s="415">
        <v>996.91</v>
      </c>
      <c r="K915" s="415">
        <v>236.26</v>
      </c>
      <c r="L915" s="415">
        <v>547.54</v>
      </c>
      <c r="M915" s="415">
        <v>233.82</v>
      </c>
      <c r="N915" s="415">
        <v>241.81</v>
      </c>
      <c r="O915" s="415">
        <v>566.34</v>
      </c>
      <c r="P915" s="415">
        <v>864.37</v>
      </c>
      <c r="Q915" s="481">
        <f t="shared" si="60"/>
        <v>87.269999999999982</v>
      </c>
    </row>
    <row r="916" spans="1:17" outlineLevel="2" x14ac:dyDescent="0.3">
      <c r="A916" s="366" t="str">
        <f>IFERROR(VLOOKUP(RIGHT(E916,3)+0,[1]SchLocTable!$A$2:$B$47,2,FALSE)," ")</f>
        <v>Waltersville</v>
      </c>
      <c r="B916" s="366" t="str">
        <f>VLOOKUP(VALUE(D916),$D$3:F$106,3,FALSE)</f>
        <v>Supplementary Supplies</v>
      </c>
      <c r="C916" t="s">
        <v>314</v>
      </c>
      <c r="D916">
        <v>806</v>
      </c>
      <c r="E916" t="s">
        <v>492</v>
      </c>
      <c r="F916" t="s">
        <v>457</v>
      </c>
      <c r="G916" t="s">
        <v>319</v>
      </c>
      <c r="H916" s="502">
        <v>54580</v>
      </c>
      <c r="I916" s="415">
        <v>7888.09</v>
      </c>
      <c r="J916" s="415">
        <v>9128.09</v>
      </c>
      <c r="K916" s="415">
        <v>9931.94</v>
      </c>
      <c r="L916" s="415">
        <v>6605.02</v>
      </c>
      <c r="M916" s="415">
        <v>7784.48</v>
      </c>
      <c r="N916" s="415">
        <v>7369.73</v>
      </c>
      <c r="O916" s="415">
        <v>4639.87</v>
      </c>
      <c r="P916" s="415">
        <v>8414.31</v>
      </c>
      <c r="Q916" s="481">
        <f t="shared" si="60"/>
        <v>1240</v>
      </c>
    </row>
    <row r="917" spans="1:17" outlineLevel="2" x14ac:dyDescent="0.3">
      <c r="A917" s="366" t="str">
        <f>IFERROR(VLOOKUP(RIGHT(E917,3)+0,[1]SchLocTable!$A$2:$B$47,2,FALSE)," ")</f>
        <v>Claytor</v>
      </c>
      <c r="B917" s="366" t="str">
        <f>VLOOKUP(VALUE(D917),$D$3:F$106,3,FALSE)</f>
        <v>Supplementary Supplies</v>
      </c>
      <c r="C917" t="s">
        <v>314</v>
      </c>
      <c r="D917">
        <v>806</v>
      </c>
      <c r="E917" t="s">
        <v>493</v>
      </c>
      <c r="F917" t="s">
        <v>463</v>
      </c>
      <c r="G917" t="s">
        <v>319</v>
      </c>
      <c r="H917" s="502">
        <v>54725</v>
      </c>
      <c r="I917" s="415">
        <v>972.89</v>
      </c>
      <c r="J917" s="415">
        <v>1046.9100000000001</v>
      </c>
      <c r="K917" s="415">
        <v>83.87</v>
      </c>
      <c r="L917" s="415">
        <v>80.63</v>
      </c>
      <c r="M917" s="415">
        <v>52.5</v>
      </c>
      <c r="N917" s="415">
        <v>208.62</v>
      </c>
      <c r="O917" s="415">
        <v>236.85</v>
      </c>
      <c r="P917" s="415">
        <v>385</v>
      </c>
      <c r="Q917" s="481">
        <f t="shared" si="60"/>
        <v>74.020000000000095</v>
      </c>
    </row>
    <row r="918" spans="1:17" outlineLevel="2" x14ac:dyDescent="0.3">
      <c r="A918" s="366" t="str">
        <f>IFERROR(VLOOKUP(RIGHT(E918,3)+0,[1]SchLocTable!$A$2:$B$47,2,FALSE)," ")</f>
        <v>Claytor</v>
      </c>
      <c r="B918" s="366" t="str">
        <f>VLOOKUP(VALUE(D918),$D$3:F$106,3,FALSE)</f>
        <v>Supplementary Supplies</v>
      </c>
      <c r="C918" t="s">
        <v>314</v>
      </c>
      <c r="D918">
        <v>806</v>
      </c>
      <c r="E918" t="s">
        <v>493</v>
      </c>
      <c r="F918" t="s">
        <v>457</v>
      </c>
      <c r="G918" t="s">
        <v>319</v>
      </c>
      <c r="H918" s="502">
        <v>54580</v>
      </c>
      <c r="I918" s="415">
        <v>5000.41</v>
      </c>
      <c r="J918" s="415">
        <v>9253.09</v>
      </c>
      <c r="K918" s="415">
        <v>10804.65</v>
      </c>
      <c r="L918" s="415">
        <v>7381.73</v>
      </c>
      <c r="M918" s="415">
        <v>9125.93</v>
      </c>
      <c r="N918" s="415">
        <v>7211.57</v>
      </c>
      <c r="O918" s="415">
        <v>7972.71</v>
      </c>
      <c r="P918" s="415">
        <v>5810.06</v>
      </c>
      <c r="Q918" s="481">
        <f t="shared" si="60"/>
        <v>4252.68</v>
      </c>
    </row>
    <row r="919" spans="1:17" outlineLevel="2" x14ac:dyDescent="0.3">
      <c r="A919" s="366" t="str">
        <f>IFERROR(VLOOKUP(RIGHT(E919,3)+0,[1]SchLocTable!$A$2:$B$47,2,FALSE)," ")</f>
        <v>Johnson</v>
      </c>
      <c r="B919" s="366" t="str">
        <f>VLOOKUP(VALUE(D919),$D$3:F$106,3,FALSE)</f>
        <v>Supplementary Supplies</v>
      </c>
      <c r="C919" t="s">
        <v>314</v>
      </c>
      <c r="D919">
        <v>806</v>
      </c>
      <c r="E919" t="s">
        <v>494</v>
      </c>
      <c r="F919" t="s">
        <v>464</v>
      </c>
      <c r="G919" t="s">
        <v>319</v>
      </c>
      <c r="H919" s="502">
        <v>56180</v>
      </c>
      <c r="I919" s="415">
        <v>1299</v>
      </c>
      <c r="J919" s="415">
        <v>1299</v>
      </c>
      <c r="K919" s="415">
        <v>305</v>
      </c>
      <c r="L919" s="415">
        <v>315</v>
      </c>
      <c r="M919" s="415">
        <v>1028.75</v>
      </c>
      <c r="N919" s="415">
        <v>385</v>
      </c>
      <c r="O919" s="415">
        <v>299</v>
      </c>
      <c r="P919" s="415">
        <v>0</v>
      </c>
      <c r="Q919" s="481">
        <f t="shared" si="60"/>
        <v>0</v>
      </c>
    </row>
    <row r="920" spans="1:17" outlineLevel="2" x14ac:dyDescent="0.3">
      <c r="A920" s="366" t="str">
        <f>IFERROR(VLOOKUP(RIGHT(E920,3)+0,[1]SchLocTable!$A$2:$B$47,2,FALSE)," ")</f>
        <v>Johnson</v>
      </c>
      <c r="B920" s="366" t="str">
        <f>VLOOKUP(VALUE(D920),$D$3:F$106,3,FALSE)</f>
        <v>Supplementary Supplies</v>
      </c>
      <c r="C920" t="s">
        <v>314</v>
      </c>
      <c r="D920">
        <v>806</v>
      </c>
      <c r="E920" t="s">
        <v>494</v>
      </c>
      <c r="F920" t="s">
        <v>463</v>
      </c>
      <c r="G920" t="s">
        <v>319</v>
      </c>
      <c r="H920" s="502">
        <v>54725</v>
      </c>
      <c r="I920" s="415">
        <v>2515.0500000000002</v>
      </c>
      <c r="J920" s="415">
        <v>2546.91</v>
      </c>
      <c r="K920" s="415">
        <v>488.4</v>
      </c>
      <c r="L920" s="415">
        <v>1207.6500000000001</v>
      </c>
      <c r="M920" s="415">
        <v>1186.92</v>
      </c>
      <c r="N920" s="415">
        <v>725.13</v>
      </c>
      <c r="O920" s="415">
        <v>573.1</v>
      </c>
      <c r="P920" s="415">
        <v>250</v>
      </c>
      <c r="Q920" s="481">
        <f t="shared" si="60"/>
        <v>31.859999999999673</v>
      </c>
    </row>
    <row r="921" spans="1:17" outlineLevel="2" x14ac:dyDescent="0.3">
      <c r="A921" s="366" t="str">
        <f>IFERROR(VLOOKUP(RIGHT(E921,3)+0,[1]SchLocTable!$A$2:$B$47,2,FALSE)," ")</f>
        <v>Johnson</v>
      </c>
      <c r="B921" s="366" t="str">
        <f>VLOOKUP(VALUE(D921),$D$3:F$106,3,FALSE)</f>
        <v>Supplementary Supplies</v>
      </c>
      <c r="C921" t="s">
        <v>314</v>
      </c>
      <c r="D921">
        <v>806</v>
      </c>
      <c r="E921" t="s">
        <v>494</v>
      </c>
      <c r="F921" t="s">
        <v>457</v>
      </c>
      <c r="G921" t="s">
        <v>319</v>
      </c>
      <c r="H921" s="502">
        <v>54580</v>
      </c>
      <c r="I921" s="415">
        <v>15629.09</v>
      </c>
      <c r="J921" s="415">
        <v>15629.09</v>
      </c>
      <c r="K921" s="415">
        <v>18805.849999999999</v>
      </c>
      <c r="L921" s="415">
        <v>12944.98</v>
      </c>
      <c r="M921" s="415">
        <v>11754.84</v>
      </c>
      <c r="N921" s="415">
        <v>13204.37</v>
      </c>
      <c r="O921" s="415">
        <v>15184.41</v>
      </c>
      <c r="P921" s="415">
        <v>14543.08</v>
      </c>
      <c r="Q921" s="481">
        <f t="shared" si="60"/>
        <v>0</v>
      </c>
    </row>
    <row r="922" spans="1:17" outlineLevel="2" x14ac:dyDescent="0.3">
      <c r="A922" s="366" t="str">
        <f>IFERROR(VLOOKUP(RIGHT(E922,3)+0,[1]SchLocTable!$A$2:$B$47,2,FALSE)," ")</f>
        <v>Winthrop</v>
      </c>
      <c r="B922" s="366" t="str">
        <f>VLOOKUP(VALUE(D922),$D$3:F$106,3,FALSE)</f>
        <v>Supplementary Supplies</v>
      </c>
      <c r="C922" t="s">
        <v>314</v>
      </c>
      <c r="D922">
        <v>806</v>
      </c>
      <c r="E922" t="s">
        <v>495</v>
      </c>
      <c r="F922" t="s">
        <v>474</v>
      </c>
      <c r="G922" t="s">
        <v>319</v>
      </c>
      <c r="H922" s="502">
        <v>54550</v>
      </c>
      <c r="I922" s="415">
        <v>0</v>
      </c>
      <c r="J922" s="415">
        <v>499</v>
      </c>
      <c r="K922" s="415">
        <v>0</v>
      </c>
      <c r="L922" s="415">
        <v>0</v>
      </c>
      <c r="M922" s="415">
        <v>0</v>
      </c>
      <c r="N922" s="415">
        <v>0</v>
      </c>
      <c r="O922" s="415">
        <v>0</v>
      </c>
      <c r="P922" s="415">
        <v>0</v>
      </c>
      <c r="Q922" s="481">
        <f t="shared" si="60"/>
        <v>499</v>
      </c>
    </row>
    <row r="923" spans="1:17" outlineLevel="2" x14ac:dyDescent="0.3">
      <c r="A923" s="366" t="str">
        <f>IFERROR(VLOOKUP(RIGHT(E923,3)+0,[1]SchLocTable!$A$2:$B$47,2,FALSE)," ")</f>
        <v>Winthrop</v>
      </c>
      <c r="B923" s="366" t="str">
        <f>VLOOKUP(VALUE(D923),$D$3:F$106,3,FALSE)</f>
        <v>Supplementary Supplies</v>
      </c>
      <c r="C923" t="s">
        <v>314</v>
      </c>
      <c r="D923">
        <v>806</v>
      </c>
      <c r="E923" t="s">
        <v>495</v>
      </c>
      <c r="F923" t="s">
        <v>320</v>
      </c>
      <c r="G923" t="s">
        <v>319</v>
      </c>
      <c r="H923" s="502">
        <v>52360</v>
      </c>
      <c r="I923" s="415">
        <v>0</v>
      </c>
      <c r="J923" s="415">
        <v>0</v>
      </c>
      <c r="K923" s="415">
        <v>0</v>
      </c>
      <c r="L923" s="415">
        <v>2.69</v>
      </c>
      <c r="M923" s="415">
        <v>0</v>
      </c>
      <c r="N923" s="415">
        <v>0</v>
      </c>
      <c r="O923" s="415">
        <v>0</v>
      </c>
      <c r="P923" s="415">
        <v>0.9</v>
      </c>
      <c r="Q923" s="481">
        <f t="shared" si="60"/>
        <v>0</v>
      </c>
    </row>
    <row r="924" spans="1:17" outlineLevel="2" x14ac:dyDescent="0.3">
      <c r="A924" s="366" t="str">
        <f>IFERROR(VLOOKUP(RIGHT(E924,3)+0,[1]SchLocTable!$A$2:$B$47,2,FALSE)," ")</f>
        <v>Winthrop</v>
      </c>
      <c r="B924" s="366" t="str">
        <f>VLOOKUP(VALUE(D924),$D$3:F$106,3,FALSE)</f>
        <v>Supplementary Supplies</v>
      </c>
      <c r="C924" t="s">
        <v>314</v>
      </c>
      <c r="D924">
        <v>806</v>
      </c>
      <c r="E924" t="s">
        <v>495</v>
      </c>
      <c r="F924" t="s">
        <v>392</v>
      </c>
      <c r="G924" t="s">
        <v>319</v>
      </c>
      <c r="H924" s="502">
        <v>52504</v>
      </c>
      <c r="I924" s="415">
        <v>0</v>
      </c>
      <c r="J924" s="415">
        <v>0</v>
      </c>
      <c r="K924" s="415">
        <v>0</v>
      </c>
      <c r="L924" s="415">
        <v>37.83</v>
      </c>
      <c r="M924" s="415">
        <v>0</v>
      </c>
      <c r="N924" s="415">
        <v>0</v>
      </c>
      <c r="O924" s="415">
        <v>0</v>
      </c>
      <c r="P924" s="415">
        <v>8.8000000000000007</v>
      </c>
      <c r="Q924" s="481">
        <f t="shared" si="60"/>
        <v>0</v>
      </c>
    </row>
    <row r="925" spans="1:17" outlineLevel="2" x14ac:dyDescent="0.3">
      <c r="A925" s="366" t="str">
        <f>IFERROR(VLOOKUP(RIGHT(E925,3)+0,[1]SchLocTable!$A$2:$B$47,2,FALSE)," ")</f>
        <v>Winthrop</v>
      </c>
      <c r="B925" s="366" t="str">
        <f>VLOOKUP(VALUE(D925),$D$3:F$106,3,FALSE)</f>
        <v>Supplementary Supplies</v>
      </c>
      <c r="C925" t="s">
        <v>314</v>
      </c>
      <c r="D925">
        <v>806</v>
      </c>
      <c r="E925" t="s">
        <v>495</v>
      </c>
      <c r="F925" t="s">
        <v>464</v>
      </c>
      <c r="G925" t="s">
        <v>319</v>
      </c>
      <c r="H925" s="502">
        <v>56180</v>
      </c>
      <c r="I925" s="415">
        <v>970.4</v>
      </c>
      <c r="J925" s="415">
        <v>970.4</v>
      </c>
      <c r="K925" s="415">
        <v>0</v>
      </c>
      <c r="L925" s="415">
        <v>1334</v>
      </c>
      <c r="M925" s="415">
        <v>1392</v>
      </c>
      <c r="N925" s="415">
        <v>1698</v>
      </c>
      <c r="O925" s="415">
        <v>2340.4499999999998</v>
      </c>
      <c r="P925" s="415">
        <v>233.97</v>
      </c>
      <c r="Q925" s="481">
        <f t="shared" si="60"/>
        <v>0</v>
      </c>
    </row>
    <row r="926" spans="1:17" outlineLevel="2" x14ac:dyDescent="0.3">
      <c r="A926" s="366" t="str">
        <f>IFERROR(VLOOKUP(RIGHT(E926,3)+0,[1]SchLocTable!$A$2:$B$47,2,FALSE)," ")</f>
        <v>Winthrop</v>
      </c>
      <c r="B926" s="366" t="str">
        <f>VLOOKUP(VALUE(D926),$D$3:F$106,3,FALSE)</f>
        <v>Supplementary Supplies</v>
      </c>
      <c r="C926" t="s">
        <v>314</v>
      </c>
      <c r="D926">
        <v>806</v>
      </c>
      <c r="E926" t="s">
        <v>495</v>
      </c>
      <c r="F926" t="s">
        <v>463</v>
      </c>
      <c r="G926" t="s">
        <v>319</v>
      </c>
      <c r="H926" s="502">
        <v>54725</v>
      </c>
      <c r="I926" s="415">
        <v>746.91</v>
      </c>
      <c r="J926" s="415">
        <v>746.91</v>
      </c>
      <c r="K926" s="415">
        <v>569.25</v>
      </c>
      <c r="L926" s="415">
        <v>230.31</v>
      </c>
      <c r="M926" s="415">
        <v>540.15</v>
      </c>
      <c r="N926" s="415">
        <v>246.91</v>
      </c>
      <c r="O926" s="415">
        <v>446.8</v>
      </c>
      <c r="P926" s="415">
        <v>850</v>
      </c>
      <c r="Q926" s="481">
        <f t="shared" si="60"/>
        <v>0</v>
      </c>
    </row>
    <row r="927" spans="1:17" outlineLevel="2" x14ac:dyDescent="0.3">
      <c r="A927" s="366" t="str">
        <f>IFERROR(VLOOKUP(RIGHT(E927,3)+0,[1]SchLocTable!$A$2:$B$47,2,FALSE)," ")</f>
        <v>Winthrop</v>
      </c>
      <c r="B927" s="366" t="str">
        <f>VLOOKUP(VALUE(D927),$D$3:F$106,3,FALSE)</f>
        <v>Supplementary Supplies</v>
      </c>
      <c r="C927" t="s">
        <v>314</v>
      </c>
      <c r="D927">
        <v>806</v>
      </c>
      <c r="E927" t="s">
        <v>495</v>
      </c>
      <c r="F927" t="s">
        <v>452</v>
      </c>
      <c r="G927" t="s">
        <v>319</v>
      </c>
      <c r="H927" s="502">
        <v>51108</v>
      </c>
      <c r="I927" s="415">
        <v>0</v>
      </c>
      <c r="J927" s="415">
        <v>0</v>
      </c>
      <c r="K927" s="415">
        <v>0</v>
      </c>
      <c r="L927" s="415">
        <v>22.44</v>
      </c>
      <c r="M927" s="415">
        <v>0</v>
      </c>
      <c r="N927" s="415">
        <v>0</v>
      </c>
      <c r="O927" s="415">
        <v>0</v>
      </c>
      <c r="P927" s="415">
        <v>0</v>
      </c>
      <c r="Q927" s="481">
        <f t="shared" si="60"/>
        <v>0</v>
      </c>
    </row>
    <row r="928" spans="1:17" outlineLevel="2" x14ac:dyDescent="0.3">
      <c r="A928" s="366" t="str">
        <f>IFERROR(VLOOKUP(RIGHT(E928,3)+0,[1]SchLocTable!$A$2:$B$47,2,FALSE)," ")</f>
        <v>Winthrop</v>
      </c>
      <c r="B928" s="366" t="str">
        <f>VLOOKUP(VALUE(D928),$D$3:F$106,3,FALSE)</f>
        <v>Supplementary Supplies</v>
      </c>
      <c r="C928" t="s">
        <v>314</v>
      </c>
      <c r="D928">
        <v>806</v>
      </c>
      <c r="E928" t="s">
        <v>495</v>
      </c>
      <c r="F928" t="s">
        <v>457</v>
      </c>
      <c r="G928" t="s">
        <v>319</v>
      </c>
      <c r="H928" s="502">
        <v>54580</v>
      </c>
      <c r="I928" s="415">
        <v>4659.59</v>
      </c>
      <c r="J928" s="415">
        <v>12158.69</v>
      </c>
      <c r="K928" s="415">
        <v>14655.99</v>
      </c>
      <c r="L928" s="415">
        <v>10905.8</v>
      </c>
      <c r="M928" s="415">
        <v>8762.41</v>
      </c>
      <c r="N928" s="415">
        <v>9465.93</v>
      </c>
      <c r="O928" s="415">
        <v>9585.73</v>
      </c>
      <c r="P928" s="415">
        <v>11019.72</v>
      </c>
      <c r="Q928" s="481">
        <f t="shared" si="60"/>
        <v>7499.1</v>
      </c>
    </row>
    <row r="929" spans="1:17" outlineLevel="2" x14ac:dyDescent="0.3">
      <c r="A929" s="366" t="str">
        <f>IFERROR(VLOOKUP(RIGHT(E929,3)+0,[1]SchLocTable!$A$2:$B$47,2,FALSE)," ")</f>
        <v>Winthrop</v>
      </c>
      <c r="B929" s="366" t="str">
        <f>VLOOKUP(VALUE(D929),$D$3:F$106,3,FALSE)</f>
        <v>Supplementary Supplies</v>
      </c>
      <c r="C929" t="s">
        <v>314</v>
      </c>
      <c r="D929">
        <v>806</v>
      </c>
      <c r="E929" t="s">
        <v>495</v>
      </c>
      <c r="F929" t="s">
        <v>483</v>
      </c>
      <c r="G929" t="s">
        <v>319</v>
      </c>
      <c r="H929" s="502">
        <v>51122</v>
      </c>
      <c r="I929" s="415">
        <v>0</v>
      </c>
      <c r="J929" s="415">
        <v>0</v>
      </c>
      <c r="K929" s="415">
        <v>0</v>
      </c>
      <c r="L929" s="415">
        <v>163.1</v>
      </c>
      <c r="M929" s="415">
        <v>0</v>
      </c>
      <c r="N929" s="415">
        <v>0</v>
      </c>
      <c r="O929" s="415">
        <v>0</v>
      </c>
      <c r="P929" s="415">
        <v>61.83</v>
      </c>
      <c r="Q929" s="481">
        <f t="shared" si="60"/>
        <v>0</v>
      </c>
    </row>
    <row r="930" spans="1:17" outlineLevel="2" x14ac:dyDescent="0.3">
      <c r="A930" s="366" t="str">
        <f>IFERROR(VLOOKUP(RIGHT(E930,3)+0,[1]SchLocTable!$A$2:$B$47,2,FALSE)," ")</f>
        <v>Discovery</v>
      </c>
      <c r="B930" s="366" t="str">
        <f>VLOOKUP(VALUE(D930),$D$3:F$106,3,FALSE)</f>
        <v>Supplementary Supplies</v>
      </c>
      <c r="C930" t="s">
        <v>314</v>
      </c>
      <c r="D930">
        <v>806</v>
      </c>
      <c r="E930" t="s">
        <v>496</v>
      </c>
      <c r="F930" t="s">
        <v>320</v>
      </c>
      <c r="G930" t="s">
        <v>319</v>
      </c>
      <c r="H930" s="502">
        <v>52360</v>
      </c>
      <c r="I930" s="415">
        <v>0</v>
      </c>
      <c r="J930" s="415">
        <v>0</v>
      </c>
      <c r="K930" s="415">
        <v>2.86</v>
      </c>
      <c r="L930" s="415">
        <v>0</v>
      </c>
      <c r="M930" s="415">
        <v>0</v>
      </c>
      <c r="N930" s="415">
        <v>3.47</v>
      </c>
      <c r="O930" s="415">
        <v>0</v>
      </c>
      <c r="P930" s="415">
        <v>0</v>
      </c>
      <c r="Q930" s="481">
        <f t="shared" si="60"/>
        <v>0</v>
      </c>
    </row>
    <row r="931" spans="1:17" outlineLevel="2" x14ac:dyDescent="0.3">
      <c r="A931" s="366" t="str">
        <f>IFERROR(VLOOKUP(RIGHT(E931,3)+0,[1]SchLocTable!$A$2:$B$47,2,FALSE)," ")</f>
        <v>Discovery</v>
      </c>
      <c r="B931" s="366" t="str">
        <f>VLOOKUP(VALUE(D931),$D$3:F$106,3,FALSE)</f>
        <v>Supplementary Supplies</v>
      </c>
      <c r="C931" t="s">
        <v>314</v>
      </c>
      <c r="D931">
        <v>806</v>
      </c>
      <c r="E931" t="s">
        <v>496</v>
      </c>
      <c r="F931" t="s">
        <v>392</v>
      </c>
      <c r="G931" t="s">
        <v>319</v>
      </c>
      <c r="H931" s="502">
        <v>52504</v>
      </c>
      <c r="I931" s="415">
        <v>0</v>
      </c>
      <c r="J931" s="415">
        <v>0</v>
      </c>
      <c r="K931" s="415">
        <v>40.630000000000003</v>
      </c>
      <c r="L931" s="415">
        <v>0</v>
      </c>
      <c r="M931" s="415">
        <v>0</v>
      </c>
      <c r="N931" s="415">
        <v>45.57</v>
      </c>
      <c r="O931" s="415">
        <v>0</v>
      </c>
      <c r="P931" s="415">
        <v>0</v>
      </c>
      <c r="Q931" s="481">
        <f t="shared" si="60"/>
        <v>0</v>
      </c>
    </row>
    <row r="932" spans="1:17" outlineLevel="2" x14ac:dyDescent="0.3">
      <c r="A932" s="366" t="str">
        <f>IFERROR(VLOOKUP(RIGHT(E932,3)+0,[1]SchLocTable!$A$2:$B$47,2,FALSE)," ")</f>
        <v>Discovery</v>
      </c>
      <c r="B932" s="366" t="str">
        <f>VLOOKUP(VALUE(D932),$D$3:F$106,3,FALSE)</f>
        <v>Supplementary Supplies</v>
      </c>
      <c r="C932" t="s">
        <v>314</v>
      </c>
      <c r="D932">
        <v>806</v>
      </c>
      <c r="E932" t="s">
        <v>496</v>
      </c>
      <c r="F932" t="s">
        <v>458</v>
      </c>
      <c r="G932" t="s">
        <v>319</v>
      </c>
      <c r="H932" s="502">
        <v>54675</v>
      </c>
      <c r="I932" s="415">
        <v>503.01</v>
      </c>
      <c r="J932" s="415">
        <v>3000</v>
      </c>
      <c r="K932" s="415">
        <v>0</v>
      </c>
      <c r="L932" s="415">
        <v>0</v>
      </c>
      <c r="M932" s="415">
        <v>0</v>
      </c>
      <c r="N932" s="415">
        <v>0</v>
      </c>
      <c r="O932" s="415">
        <v>0</v>
      </c>
      <c r="P932" s="415">
        <v>0</v>
      </c>
      <c r="Q932" s="481">
        <f t="shared" si="60"/>
        <v>2496.9899999999998</v>
      </c>
    </row>
    <row r="933" spans="1:17" outlineLevel="2" x14ac:dyDescent="0.3">
      <c r="A933" s="366" t="str">
        <f>IFERROR(VLOOKUP(RIGHT(E933,3)+0,[1]SchLocTable!$A$2:$B$47,2,FALSE)," ")</f>
        <v>Discovery</v>
      </c>
      <c r="B933" s="366" t="str">
        <f>VLOOKUP(VALUE(D933),$D$3:F$106,3,FALSE)</f>
        <v>Supplementary Supplies</v>
      </c>
      <c r="C933" t="s">
        <v>314</v>
      </c>
      <c r="D933">
        <v>806</v>
      </c>
      <c r="E933" t="s">
        <v>496</v>
      </c>
      <c r="F933" t="s">
        <v>464</v>
      </c>
      <c r="G933" t="s">
        <v>319</v>
      </c>
      <c r="H933" s="502">
        <v>56180</v>
      </c>
      <c r="I933" s="415">
        <v>0</v>
      </c>
      <c r="J933" s="415">
        <v>675</v>
      </c>
      <c r="K933" s="415">
        <v>10</v>
      </c>
      <c r="L933" s="415">
        <v>0</v>
      </c>
      <c r="M933" s="415">
        <v>0</v>
      </c>
      <c r="N933" s="415">
        <v>500</v>
      </c>
      <c r="O933" s="415">
        <v>0</v>
      </c>
      <c r="P933" s="415">
        <v>0</v>
      </c>
      <c r="Q933" s="481">
        <f t="shared" si="60"/>
        <v>675</v>
      </c>
    </row>
    <row r="934" spans="1:17" outlineLevel="2" x14ac:dyDescent="0.3">
      <c r="A934" s="366" t="str">
        <f>IFERROR(VLOOKUP(RIGHT(E934,3)+0,[1]SchLocTable!$A$2:$B$47,2,FALSE)," ")</f>
        <v>Discovery</v>
      </c>
      <c r="B934" s="366" t="str">
        <f>VLOOKUP(VALUE(D934),$D$3:F$106,3,FALSE)</f>
        <v>Supplementary Supplies</v>
      </c>
      <c r="C934" t="s">
        <v>314</v>
      </c>
      <c r="D934">
        <v>806</v>
      </c>
      <c r="E934" t="s">
        <v>496</v>
      </c>
      <c r="F934" t="s">
        <v>463</v>
      </c>
      <c r="G934" t="s">
        <v>319</v>
      </c>
      <c r="H934" s="502">
        <v>54725</v>
      </c>
      <c r="I934" s="415">
        <v>354.39</v>
      </c>
      <c r="J934" s="415">
        <v>396.91</v>
      </c>
      <c r="K934" s="415">
        <v>209.17</v>
      </c>
      <c r="L934" s="415">
        <v>348.75</v>
      </c>
      <c r="M934" s="415">
        <v>135.24</v>
      </c>
      <c r="N934" s="415">
        <v>143.51</v>
      </c>
      <c r="O934" s="415">
        <v>260.76</v>
      </c>
      <c r="P934" s="415">
        <v>300</v>
      </c>
      <c r="Q934" s="481">
        <f t="shared" si="60"/>
        <v>42.520000000000039</v>
      </c>
    </row>
    <row r="935" spans="1:17" outlineLevel="2" x14ac:dyDescent="0.3">
      <c r="A935" s="366" t="str">
        <f>IFERROR(VLOOKUP(RIGHT(E935,3)+0,[1]SchLocTable!$A$2:$B$47,2,FALSE)," ")</f>
        <v>Discovery</v>
      </c>
      <c r="B935" s="366" t="str">
        <f>VLOOKUP(VALUE(D935),$D$3:F$106,3,FALSE)</f>
        <v>Supplementary Supplies</v>
      </c>
      <c r="C935" t="s">
        <v>314</v>
      </c>
      <c r="D935">
        <v>806</v>
      </c>
      <c r="E935" t="s">
        <v>496</v>
      </c>
      <c r="F935" t="s">
        <v>457</v>
      </c>
      <c r="G935" t="s">
        <v>319</v>
      </c>
      <c r="H935" s="502">
        <v>54580</v>
      </c>
      <c r="I935" s="415">
        <v>5069.66</v>
      </c>
      <c r="J935" s="415">
        <v>8278.09</v>
      </c>
      <c r="K935" s="415">
        <v>11282.75</v>
      </c>
      <c r="L935" s="415">
        <v>7180.99</v>
      </c>
      <c r="M935" s="415">
        <v>9169.5499999999993</v>
      </c>
      <c r="N935" s="415">
        <v>7094.71</v>
      </c>
      <c r="O935" s="415">
        <v>9444.14</v>
      </c>
      <c r="P935" s="415">
        <v>9172.2099999999991</v>
      </c>
      <c r="Q935" s="481">
        <f t="shared" si="60"/>
        <v>3208.4300000000003</v>
      </c>
    </row>
    <row r="936" spans="1:17" outlineLevel="2" x14ac:dyDescent="0.3">
      <c r="A936" s="366" t="str">
        <f>IFERROR(VLOOKUP(RIGHT(E936,3)+0,[1]SchLocTable!$A$2:$B$47,2,FALSE)," ")</f>
        <v>Discovery</v>
      </c>
      <c r="B936" s="366" t="str">
        <f>VLOOKUP(VALUE(D936),$D$3:F$106,3,FALSE)</f>
        <v>Supplementary Supplies</v>
      </c>
      <c r="C936" t="s">
        <v>314</v>
      </c>
      <c r="D936">
        <v>806</v>
      </c>
      <c r="E936" t="s">
        <v>496</v>
      </c>
      <c r="F936" t="s">
        <v>483</v>
      </c>
      <c r="G936" t="s">
        <v>319</v>
      </c>
      <c r="H936" s="502">
        <v>51122</v>
      </c>
      <c r="I936" s="415">
        <v>0</v>
      </c>
      <c r="J936" s="415">
        <v>0</v>
      </c>
      <c r="K936" s="415">
        <v>197.33</v>
      </c>
      <c r="L936" s="415">
        <v>0</v>
      </c>
      <c r="M936" s="415">
        <v>0</v>
      </c>
      <c r="N936" s="415">
        <v>239.58</v>
      </c>
      <c r="O936" s="415">
        <v>0</v>
      </c>
      <c r="P936" s="415">
        <v>0</v>
      </c>
      <c r="Q936" s="481">
        <f t="shared" si="60"/>
        <v>0</v>
      </c>
    </row>
    <row r="937" spans="1:17" outlineLevel="2" x14ac:dyDescent="0.3">
      <c r="A937" s="366" t="str">
        <f>IFERROR(VLOOKUP(RIGHT(E937,3)+0,[1]SchLocTable!$A$2:$B$47,2,FALSE)," ")</f>
        <v>Cross</v>
      </c>
      <c r="B937" s="366" t="str">
        <f>VLOOKUP(VALUE(D937),$D$3:F$106,3,FALSE)</f>
        <v>Supplementary Supplies</v>
      </c>
      <c r="C937" t="s">
        <v>314</v>
      </c>
      <c r="D937">
        <v>806</v>
      </c>
      <c r="E937" t="s">
        <v>497</v>
      </c>
      <c r="F937" t="s">
        <v>464</v>
      </c>
      <c r="G937" t="s">
        <v>319</v>
      </c>
      <c r="H937" s="502">
        <v>56180</v>
      </c>
      <c r="I937" s="415">
        <v>1000</v>
      </c>
      <c r="J937" s="415">
        <v>1000</v>
      </c>
      <c r="K937" s="415">
        <v>2131.94</v>
      </c>
      <c r="L937" s="415">
        <v>1860.95</v>
      </c>
      <c r="M937" s="415">
        <v>860.77</v>
      </c>
      <c r="N937" s="415">
        <v>0</v>
      </c>
      <c r="O937" s="415">
        <v>0</v>
      </c>
      <c r="P937" s="415">
        <v>0</v>
      </c>
      <c r="Q937" s="481">
        <f t="shared" si="60"/>
        <v>0</v>
      </c>
    </row>
    <row r="938" spans="1:17" outlineLevel="2" x14ac:dyDescent="0.3">
      <c r="A938" s="366" t="str">
        <f>IFERROR(VLOOKUP(RIGHT(E938,3)+0,[1]SchLocTable!$A$2:$B$47,2,FALSE)," ")</f>
        <v>Cross</v>
      </c>
      <c r="B938" s="366" t="str">
        <f>VLOOKUP(VALUE(D938),$D$3:F$106,3,FALSE)</f>
        <v>Supplementary Supplies</v>
      </c>
      <c r="C938" t="s">
        <v>314</v>
      </c>
      <c r="D938">
        <v>806</v>
      </c>
      <c r="E938" t="s">
        <v>497</v>
      </c>
      <c r="F938" t="s">
        <v>463</v>
      </c>
      <c r="G938" t="s">
        <v>319</v>
      </c>
      <c r="H938" s="502">
        <v>54725</v>
      </c>
      <c r="I938" s="415">
        <v>646.91</v>
      </c>
      <c r="J938" s="415">
        <v>646.91</v>
      </c>
      <c r="K938" s="415">
        <v>270.82</v>
      </c>
      <c r="L938" s="415">
        <v>150.1</v>
      </c>
      <c r="M938" s="415">
        <v>169.2</v>
      </c>
      <c r="N938" s="415">
        <v>171.78</v>
      </c>
      <c r="O938" s="415">
        <v>539.91</v>
      </c>
      <c r="P938" s="415">
        <v>502.24</v>
      </c>
      <c r="Q938" s="481">
        <f t="shared" si="60"/>
        <v>0</v>
      </c>
    </row>
    <row r="939" spans="1:17" outlineLevel="2" x14ac:dyDescent="0.3">
      <c r="A939" s="366" t="str">
        <f>IFERROR(VLOOKUP(RIGHT(E939,3)+0,[1]SchLocTable!$A$2:$B$47,2,FALSE)," ")</f>
        <v>Cross</v>
      </c>
      <c r="B939" s="366" t="str">
        <f>VLOOKUP(VALUE(D939),$D$3:F$106,3,FALSE)</f>
        <v>Supplementary Supplies</v>
      </c>
      <c r="C939" t="s">
        <v>314</v>
      </c>
      <c r="D939">
        <v>806</v>
      </c>
      <c r="E939" t="s">
        <v>497</v>
      </c>
      <c r="F939" t="s">
        <v>457</v>
      </c>
      <c r="G939" t="s">
        <v>319</v>
      </c>
      <c r="H939" s="502">
        <v>54580</v>
      </c>
      <c r="I939" s="415">
        <v>1603.69</v>
      </c>
      <c r="J939" s="415">
        <v>6503.09</v>
      </c>
      <c r="K939" s="415">
        <v>5649.42</v>
      </c>
      <c r="L939" s="415">
        <v>4292.37</v>
      </c>
      <c r="M939" s="415">
        <v>4176.07</v>
      </c>
      <c r="N939" s="415">
        <v>5867.61</v>
      </c>
      <c r="O939" s="415">
        <v>4206.92</v>
      </c>
      <c r="P939" s="415">
        <v>4121.88</v>
      </c>
      <c r="Q939" s="481">
        <f t="shared" si="60"/>
        <v>4899.3999999999996</v>
      </c>
    </row>
    <row r="940" spans="1:17" outlineLevel="2" x14ac:dyDescent="0.3">
      <c r="A940" s="366" t="str">
        <f>IFERROR(VLOOKUP(RIGHT(E940,3)+0,[1]SchLocTable!$A$2:$B$47,2,FALSE)," ")</f>
        <v>Blackham</v>
      </c>
      <c r="B940" s="366" t="str">
        <f>VLOOKUP(VALUE(D940),$D$3:F$106,3,FALSE)</f>
        <v>Supplementary Supplies</v>
      </c>
      <c r="C940" t="s">
        <v>314</v>
      </c>
      <c r="D940">
        <v>806</v>
      </c>
      <c r="E940" t="s">
        <v>498</v>
      </c>
      <c r="F940" t="s">
        <v>334</v>
      </c>
      <c r="G940" t="s">
        <v>319</v>
      </c>
      <c r="H940" s="502">
        <v>51400</v>
      </c>
      <c r="I940" s="415">
        <v>0</v>
      </c>
      <c r="J940" s="415">
        <v>0</v>
      </c>
      <c r="K940" s="415">
        <v>0</v>
      </c>
      <c r="L940" s="415">
        <v>0</v>
      </c>
      <c r="M940" s="415">
        <v>1200</v>
      </c>
      <c r="N940" s="415">
        <v>0</v>
      </c>
      <c r="O940" s="415">
        <v>0</v>
      </c>
      <c r="P940" s="415">
        <v>0</v>
      </c>
      <c r="Q940" s="481">
        <f t="shared" si="60"/>
        <v>0</v>
      </c>
    </row>
    <row r="941" spans="1:17" outlineLevel="2" x14ac:dyDescent="0.3">
      <c r="A941" s="366" t="str">
        <f>IFERROR(VLOOKUP(RIGHT(E941,3)+0,[1]SchLocTable!$A$2:$B$47,2,FALSE)," ")</f>
        <v>Blackham</v>
      </c>
      <c r="B941" s="366" t="str">
        <f>VLOOKUP(VALUE(D941),$D$3:F$106,3,FALSE)</f>
        <v>Supplementary Supplies</v>
      </c>
      <c r="C941" t="s">
        <v>314</v>
      </c>
      <c r="D941">
        <v>806</v>
      </c>
      <c r="E941" t="s">
        <v>498</v>
      </c>
      <c r="F941" t="s">
        <v>320</v>
      </c>
      <c r="G941" t="s">
        <v>319</v>
      </c>
      <c r="H941" s="502">
        <v>52360</v>
      </c>
      <c r="I941" s="415">
        <v>0</v>
      </c>
      <c r="J941" s="415">
        <v>0</v>
      </c>
      <c r="K941" s="415">
        <v>0</v>
      </c>
      <c r="L941" s="415">
        <v>0</v>
      </c>
      <c r="M941" s="415">
        <v>17.399999999999999</v>
      </c>
      <c r="N941" s="415">
        <v>0</v>
      </c>
      <c r="O941" s="415">
        <v>0</v>
      </c>
      <c r="P941" s="415">
        <v>0</v>
      </c>
      <c r="Q941" s="481">
        <f t="shared" si="60"/>
        <v>0</v>
      </c>
    </row>
    <row r="942" spans="1:17" outlineLevel="2" x14ac:dyDescent="0.3">
      <c r="A942" s="366" t="str">
        <f>IFERROR(VLOOKUP(RIGHT(E942,3)+0,[1]SchLocTable!$A$2:$B$47,2,FALSE)," ")</f>
        <v>Blackham</v>
      </c>
      <c r="B942" s="366" t="str">
        <f>VLOOKUP(VALUE(D942),$D$3:F$106,3,FALSE)</f>
        <v>Supplementary Supplies</v>
      </c>
      <c r="C942" t="s">
        <v>314</v>
      </c>
      <c r="D942">
        <v>806</v>
      </c>
      <c r="E942" t="s">
        <v>498</v>
      </c>
      <c r="F942" t="s">
        <v>893</v>
      </c>
      <c r="G942" t="s">
        <v>319</v>
      </c>
      <c r="H942" s="502">
        <v>54595</v>
      </c>
      <c r="I942" s="415">
        <v>3556</v>
      </c>
      <c r="J942" s="415">
        <v>3556</v>
      </c>
      <c r="K942" s="415">
        <v>0</v>
      </c>
      <c r="L942" s="415">
        <v>0</v>
      </c>
      <c r="M942" s="415">
        <v>0</v>
      </c>
      <c r="N942" s="415">
        <v>0</v>
      </c>
      <c r="O942" s="415">
        <v>0</v>
      </c>
      <c r="P942" s="415">
        <v>0</v>
      </c>
      <c r="Q942" s="481">
        <f t="shared" si="60"/>
        <v>0</v>
      </c>
    </row>
    <row r="943" spans="1:17" outlineLevel="2" x14ac:dyDescent="0.3">
      <c r="A943" s="366" t="str">
        <f>IFERROR(VLOOKUP(RIGHT(E943,3)+0,[1]SchLocTable!$A$2:$B$47,2,FALSE)," ")</f>
        <v>Blackham</v>
      </c>
      <c r="B943" s="366" t="str">
        <f>VLOOKUP(VALUE(D943),$D$3:F$106,3,FALSE)</f>
        <v>Supplementary Supplies</v>
      </c>
      <c r="C943" t="s">
        <v>314</v>
      </c>
      <c r="D943">
        <v>806</v>
      </c>
      <c r="E943" t="s">
        <v>498</v>
      </c>
      <c r="F943" t="s">
        <v>458</v>
      </c>
      <c r="G943" t="s">
        <v>319</v>
      </c>
      <c r="H943" s="502">
        <v>54675</v>
      </c>
      <c r="I943" s="415">
        <v>0</v>
      </c>
      <c r="J943" s="415">
        <v>7354.92</v>
      </c>
      <c r="K943" s="415">
        <v>0</v>
      </c>
      <c r="L943" s="415">
        <v>0</v>
      </c>
      <c r="M943" s="415">
        <v>0</v>
      </c>
      <c r="N943" s="415">
        <v>0</v>
      </c>
      <c r="O943" s="415">
        <v>0</v>
      </c>
      <c r="P943" s="415">
        <v>0</v>
      </c>
      <c r="Q943" s="481">
        <f t="shared" si="60"/>
        <v>7354.92</v>
      </c>
    </row>
    <row r="944" spans="1:17" outlineLevel="2" x14ac:dyDescent="0.3">
      <c r="A944" s="366" t="str">
        <f>IFERROR(VLOOKUP(RIGHT(E944,3)+0,[1]SchLocTable!$A$2:$B$47,2,FALSE)," ")</f>
        <v>Blackham</v>
      </c>
      <c r="B944" s="366" t="str">
        <f>VLOOKUP(VALUE(D944),$D$3:F$106,3,FALSE)</f>
        <v>Supplementary Supplies</v>
      </c>
      <c r="C944" t="s">
        <v>314</v>
      </c>
      <c r="D944">
        <v>806</v>
      </c>
      <c r="E944" t="s">
        <v>498</v>
      </c>
      <c r="F944" t="s">
        <v>464</v>
      </c>
      <c r="G944" t="s">
        <v>319</v>
      </c>
      <c r="H944" s="502">
        <v>56180</v>
      </c>
      <c r="I944" s="415">
        <v>1960.51</v>
      </c>
      <c r="J944" s="415">
        <v>1960.51</v>
      </c>
      <c r="K944" s="415">
        <v>0</v>
      </c>
      <c r="L944" s="415">
        <v>1920</v>
      </c>
      <c r="M944" s="415">
        <v>291.10000000000002</v>
      </c>
      <c r="N944" s="415">
        <v>2345</v>
      </c>
      <c r="O944" s="415">
        <v>1960.51</v>
      </c>
      <c r="P944" s="415">
        <v>1050</v>
      </c>
      <c r="Q944" s="481">
        <f t="shared" si="60"/>
        <v>0</v>
      </c>
    </row>
    <row r="945" spans="1:17" outlineLevel="1" x14ac:dyDescent="0.3">
      <c r="A945" s="366" t="str">
        <f>IFERROR(VLOOKUP(RIGHT(E945,3)+0,[1]SchLocTable!$A$2:$B$47,2,FALSE)," ")</f>
        <v>Blackham</v>
      </c>
      <c r="B945" s="366" t="str">
        <f>VLOOKUP(VALUE(D945),$D$3:F$106,3,FALSE)</f>
        <v>Supplementary Supplies</v>
      </c>
      <c r="C945" t="s">
        <v>314</v>
      </c>
      <c r="D945">
        <v>806</v>
      </c>
      <c r="E945" t="s">
        <v>498</v>
      </c>
      <c r="F945" t="s">
        <v>463</v>
      </c>
      <c r="G945" t="s">
        <v>319</v>
      </c>
      <c r="H945" s="502">
        <v>54725</v>
      </c>
      <c r="I945" s="415">
        <v>763.86</v>
      </c>
      <c r="J945" s="415">
        <v>946.91</v>
      </c>
      <c r="K945" s="415">
        <v>404.94</v>
      </c>
      <c r="L945" s="415">
        <v>795.05</v>
      </c>
      <c r="M945" s="415">
        <v>486.27</v>
      </c>
      <c r="N945" s="415">
        <v>548.15</v>
      </c>
      <c r="O945" s="415">
        <v>519.37</v>
      </c>
      <c r="P945" s="415">
        <v>1221.25</v>
      </c>
      <c r="Q945" s="481">
        <f t="shared" si="60"/>
        <v>183.04999999999995</v>
      </c>
    </row>
    <row r="946" spans="1:17" outlineLevel="2" x14ac:dyDescent="0.3">
      <c r="A946" s="366" t="str">
        <f>IFERROR(VLOOKUP(RIGHT(E946,3)+0,[1]SchLocTable!$A$2:$B$47,2,FALSE)," ")</f>
        <v>Blackham</v>
      </c>
      <c r="B946" s="366" t="str">
        <f>VLOOKUP(VALUE(D946),$D$3:F$106,3,FALSE)</f>
        <v>Supplementary Supplies</v>
      </c>
      <c r="C946" t="s">
        <v>314</v>
      </c>
      <c r="D946">
        <v>806</v>
      </c>
      <c r="E946" t="s">
        <v>498</v>
      </c>
      <c r="F946" t="s">
        <v>457</v>
      </c>
      <c r="G946" t="s">
        <v>319</v>
      </c>
      <c r="H946" s="502">
        <v>54580</v>
      </c>
      <c r="I946" s="415">
        <v>9814.01</v>
      </c>
      <c r="J946" s="415">
        <v>12381.66</v>
      </c>
      <c r="K946" s="415">
        <v>23940.81</v>
      </c>
      <c r="L946" s="415">
        <v>18327.73</v>
      </c>
      <c r="M946" s="415">
        <v>14627.42</v>
      </c>
      <c r="N946" s="415">
        <v>14753.27</v>
      </c>
      <c r="O946" s="415">
        <v>18081.310000000001</v>
      </c>
      <c r="P946" s="415">
        <v>18047.46</v>
      </c>
      <c r="Q946" s="481">
        <f t="shared" si="60"/>
        <v>2567.6499999999996</v>
      </c>
    </row>
    <row r="947" spans="1:17" outlineLevel="2" x14ac:dyDescent="0.3">
      <c r="A947" s="366" t="str">
        <f>IFERROR(VLOOKUP(RIGHT(E947,3)+0,[1]SchLocTable!$A$2:$B$47,2,FALSE)," ")</f>
        <v>Dunbar</v>
      </c>
      <c r="B947" s="366" t="str">
        <f>VLOOKUP(VALUE(D947),$D$3:F$106,3,FALSE)</f>
        <v>Supplementary Supplies</v>
      </c>
      <c r="C947" t="s">
        <v>314</v>
      </c>
      <c r="D947">
        <v>806</v>
      </c>
      <c r="E947" t="s">
        <v>499</v>
      </c>
      <c r="F947" t="s">
        <v>334</v>
      </c>
      <c r="G947" t="s">
        <v>319</v>
      </c>
      <c r="H947" s="502">
        <v>51400</v>
      </c>
      <c r="I947" s="415">
        <v>0</v>
      </c>
      <c r="J947" s="415">
        <v>0</v>
      </c>
      <c r="K947" s="415">
        <v>0</v>
      </c>
      <c r="L947" s="415">
        <v>0</v>
      </c>
      <c r="M947" s="415">
        <v>84</v>
      </c>
      <c r="N947" s="415">
        <v>0</v>
      </c>
      <c r="O947" s="415">
        <v>0</v>
      </c>
      <c r="P947" s="415">
        <v>0</v>
      </c>
      <c r="Q947" s="481">
        <f t="shared" si="60"/>
        <v>0</v>
      </c>
    </row>
    <row r="948" spans="1:17" outlineLevel="2" x14ac:dyDescent="0.3">
      <c r="A948" s="366" t="str">
        <f>IFERROR(VLOOKUP(RIGHT(E948,3)+0,[1]SchLocTable!$A$2:$B$47,2,FALSE)," ")</f>
        <v>Dunbar</v>
      </c>
      <c r="B948" s="366" t="str">
        <f>VLOOKUP(VALUE(D948),$D$3:F$106,3,FALSE)</f>
        <v>Supplementary Supplies</v>
      </c>
      <c r="C948" t="s">
        <v>314</v>
      </c>
      <c r="D948">
        <v>806</v>
      </c>
      <c r="E948" t="s">
        <v>499</v>
      </c>
      <c r="F948" t="s">
        <v>320</v>
      </c>
      <c r="G948" t="s">
        <v>319</v>
      </c>
      <c r="H948" s="502">
        <v>52360</v>
      </c>
      <c r="I948" s="415">
        <v>0</v>
      </c>
      <c r="J948" s="415">
        <v>0</v>
      </c>
      <c r="K948" s="415">
        <v>0</v>
      </c>
      <c r="L948" s="415">
        <v>0</v>
      </c>
      <c r="M948" s="415">
        <v>1.22</v>
      </c>
      <c r="N948" s="415">
        <v>0</v>
      </c>
      <c r="O948" s="415">
        <v>0</v>
      </c>
      <c r="P948" s="415">
        <v>0</v>
      </c>
      <c r="Q948" s="481">
        <f t="shared" si="60"/>
        <v>0</v>
      </c>
    </row>
    <row r="949" spans="1:17" outlineLevel="2" x14ac:dyDescent="0.3">
      <c r="A949" s="366" t="str">
        <f>IFERROR(VLOOKUP(RIGHT(E949,3)+0,[1]SchLocTable!$A$2:$B$47,2,FALSE)," ")</f>
        <v>Dunbar</v>
      </c>
      <c r="B949" s="366" t="str">
        <f>VLOOKUP(VALUE(D949),$D$3:F$106,3,FALSE)</f>
        <v>Supplementary Supplies</v>
      </c>
      <c r="C949" t="s">
        <v>314</v>
      </c>
      <c r="D949">
        <v>806</v>
      </c>
      <c r="E949" t="s">
        <v>499</v>
      </c>
      <c r="F949" t="s">
        <v>458</v>
      </c>
      <c r="G949" t="s">
        <v>319</v>
      </c>
      <c r="H949" s="502">
        <v>54675</v>
      </c>
      <c r="I949" s="415">
        <v>0</v>
      </c>
      <c r="J949" s="415">
        <v>757.63</v>
      </c>
      <c r="K949" s="415">
        <v>0</v>
      </c>
      <c r="L949" s="415">
        <v>0</v>
      </c>
      <c r="M949" s="415">
        <v>0</v>
      </c>
      <c r="N949" s="415">
        <v>0</v>
      </c>
      <c r="O949" s="415">
        <v>0</v>
      </c>
      <c r="P949" s="415">
        <v>0</v>
      </c>
      <c r="Q949" s="481">
        <f t="shared" si="60"/>
        <v>757.63</v>
      </c>
    </row>
    <row r="950" spans="1:17" outlineLevel="2" x14ac:dyDescent="0.3">
      <c r="A950" s="366" t="str">
        <f>IFERROR(VLOOKUP(RIGHT(E950,3)+0,[1]SchLocTable!$A$2:$B$47,2,FALSE)," ")</f>
        <v>Dunbar</v>
      </c>
      <c r="B950" s="366" t="str">
        <f>VLOOKUP(VALUE(D950),$D$3:F$106,3,FALSE)</f>
        <v>Supplementary Supplies</v>
      </c>
      <c r="C950" t="s">
        <v>314</v>
      </c>
      <c r="D950">
        <v>806</v>
      </c>
      <c r="E950" t="s">
        <v>499</v>
      </c>
      <c r="F950" t="s">
        <v>464</v>
      </c>
      <c r="G950" t="s">
        <v>319</v>
      </c>
      <c r="H950" s="502">
        <v>56180</v>
      </c>
      <c r="I950" s="415">
        <v>0</v>
      </c>
      <c r="J950" s="415">
        <v>0</v>
      </c>
      <c r="K950" s="415">
        <v>590</v>
      </c>
      <c r="L950" s="415">
        <v>1630</v>
      </c>
      <c r="M950" s="415">
        <v>0</v>
      </c>
      <c r="N950" s="415">
        <v>0</v>
      </c>
      <c r="O950" s="415">
        <v>0</v>
      </c>
      <c r="P950" s="415">
        <v>0</v>
      </c>
      <c r="Q950" s="481">
        <f t="shared" si="60"/>
        <v>0</v>
      </c>
    </row>
    <row r="951" spans="1:17" outlineLevel="2" x14ac:dyDescent="0.3">
      <c r="A951" s="366" t="str">
        <f>IFERROR(VLOOKUP(RIGHT(E951,3)+0,[1]SchLocTable!$A$2:$B$47,2,FALSE)," ")</f>
        <v>Dunbar</v>
      </c>
      <c r="B951" s="366" t="str">
        <f>VLOOKUP(VALUE(D951),$D$3:F$106,3,FALSE)</f>
        <v>Supplementary Supplies</v>
      </c>
      <c r="C951" t="s">
        <v>314</v>
      </c>
      <c r="D951">
        <v>806</v>
      </c>
      <c r="E951" t="s">
        <v>499</v>
      </c>
      <c r="F951" t="s">
        <v>463</v>
      </c>
      <c r="G951" t="s">
        <v>319</v>
      </c>
      <c r="H951" s="502">
        <v>54725</v>
      </c>
      <c r="I951" s="415">
        <v>1336.89</v>
      </c>
      <c r="J951" s="415">
        <v>1336.89</v>
      </c>
      <c r="K951" s="415">
        <v>359.44</v>
      </c>
      <c r="L951" s="415">
        <v>399.04</v>
      </c>
      <c r="M951" s="415">
        <v>470.02</v>
      </c>
      <c r="N951" s="415">
        <v>0</v>
      </c>
      <c r="O951" s="415">
        <v>10.84</v>
      </c>
      <c r="P951" s="415">
        <v>1239</v>
      </c>
      <c r="Q951" s="481">
        <f t="shared" si="60"/>
        <v>0</v>
      </c>
    </row>
    <row r="952" spans="1:17" outlineLevel="2" x14ac:dyDescent="0.3">
      <c r="A952" s="366" t="str">
        <f>IFERROR(VLOOKUP(RIGHT(E952,3)+0,[1]SchLocTable!$A$2:$B$47,2,FALSE)," ")</f>
        <v>Dunbar</v>
      </c>
      <c r="B952" s="366" t="str">
        <f>VLOOKUP(VALUE(D952),$D$3:F$106,3,FALSE)</f>
        <v>Supplementary Supplies</v>
      </c>
      <c r="C952" t="s">
        <v>314</v>
      </c>
      <c r="D952">
        <v>806</v>
      </c>
      <c r="E952" t="s">
        <v>499</v>
      </c>
      <c r="F952" t="s">
        <v>457</v>
      </c>
      <c r="G952" t="s">
        <v>319</v>
      </c>
      <c r="H952" s="502">
        <v>54580</v>
      </c>
      <c r="I952" s="415">
        <v>8081.78</v>
      </c>
      <c r="J952" s="415">
        <v>8380.48</v>
      </c>
      <c r="K952" s="415">
        <v>3707.93</v>
      </c>
      <c r="L952" s="415">
        <v>4840.01</v>
      </c>
      <c r="M952" s="415">
        <v>6824.89</v>
      </c>
      <c r="N952" s="415">
        <v>4040.91</v>
      </c>
      <c r="O952" s="415">
        <v>4768.67</v>
      </c>
      <c r="P952" s="415">
        <v>6510.36</v>
      </c>
      <c r="Q952" s="481">
        <f t="shared" si="60"/>
        <v>298.69999999999982</v>
      </c>
    </row>
    <row r="953" spans="1:17" outlineLevel="2" x14ac:dyDescent="0.3">
      <c r="A953" s="366" t="str">
        <f>IFERROR(VLOOKUP(RIGHT(E953,3)+0,[1]SchLocTable!$A$2:$B$47,2,FALSE)," ")</f>
        <v>Dunbar</v>
      </c>
      <c r="B953" s="366" t="str">
        <f>VLOOKUP(VALUE(D953),$D$3:F$106,3,FALSE)</f>
        <v>Supplementary Supplies</v>
      </c>
      <c r="C953" t="s">
        <v>314</v>
      </c>
      <c r="D953">
        <v>806</v>
      </c>
      <c r="E953" t="s">
        <v>499</v>
      </c>
      <c r="F953" t="s">
        <v>465</v>
      </c>
      <c r="G953" t="s">
        <v>319</v>
      </c>
      <c r="H953" s="502">
        <v>56240</v>
      </c>
      <c r="I953" s="415">
        <v>0</v>
      </c>
      <c r="J953" s="415">
        <v>0</v>
      </c>
      <c r="K953" s="415">
        <v>162</v>
      </c>
      <c r="L953" s="415">
        <v>0</v>
      </c>
      <c r="M953" s="415">
        <v>0</v>
      </c>
      <c r="N953" s="415">
        <v>0</v>
      </c>
      <c r="O953" s="415">
        <v>0</v>
      </c>
      <c r="P953" s="415">
        <v>0</v>
      </c>
      <c r="Q953" s="481">
        <f t="shared" si="60"/>
        <v>0</v>
      </c>
    </row>
    <row r="954" spans="1:17" outlineLevel="2" x14ac:dyDescent="0.3">
      <c r="A954" s="366" t="str">
        <f>IFERROR(VLOOKUP(RIGHT(E954,3)+0,[1]SchLocTable!$A$2:$B$47,2,FALSE)," ")</f>
        <v>Curiale</v>
      </c>
      <c r="B954" s="366" t="str">
        <f>VLOOKUP(VALUE(D954),$D$3:F$106,3,FALSE)</f>
        <v>Supplementary Supplies</v>
      </c>
      <c r="C954" t="s">
        <v>314</v>
      </c>
      <c r="D954">
        <v>806</v>
      </c>
      <c r="E954" t="s">
        <v>500</v>
      </c>
      <c r="F954" t="s">
        <v>320</v>
      </c>
      <c r="G954" t="s">
        <v>319</v>
      </c>
      <c r="H954" s="502">
        <v>52360</v>
      </c>
      <c r="I954" s="415">
        <v>0</v>
      </c>
      <c r="J954" s="415">
        <v>2.02</v>
      </c>
      <c r="K954" s="415">
        <v>0</v>
      </c>
      <c r="L954" s="415">
        <v>0</v>
      </c>
      <c r="M954" s="415">
        <v>2.02</v>
      </c>
      <c r="N954" s="415">
        <v>17.45</v>
      </c>
      <c r="O954" s="415">
        <v>3.57</v>
      </c>
      <c r="P954" s="415">
        <v>44.34</v>
      </c>
      <c r="Q954" s="481">
        <f t="shared" si="60"/>
        <v>2.02</v>
      </c>
    </row>
    <row r="955" spans="1:17" outlineLevel="2" x14ac:dyDescent="0.3">
      <c r="A955" s="366" t="str">
        <f>IFERROR(VLOOKUP(RIGHT(E955,3)+0,[1]SchLocTable!$A$2:$B$47,2,FALSE)," ")</f>
        <v>Curiale</v>
      </c>
      <c r="B955" s="366" t="str">
        <f>VLOOKUP(VALUE(D955),$D$3:F$106,3,FALSE)</f>
        <v>Supplementary Supplies</v>
      </c>
      <c r="C955" t="s">
        <v>314</v>
      </c>
      <c r="D955">
        <v>806</v>
      </c>
      <c r="E955" t="s">
        <v>500</v>
      </c>
      <c r="F955" t="s">
        <v>392</v>
      </c>
      <c r="G955" t="s">
        <v>319</v>
      </c>
      <c r="H955" s="502">
        <v>52504</v>
      </c>
      <c r="I955" s="415">
        <v>0</v>
      </c>
      <c r="J955" s="415">
        <v>30.05</v>
      </c>
      <c r="K955" s="415">
        <v>0</v>
      </c>
      <c r="L955" s="415">
        <v>0</v>
      </c>
      <c r="M955" s="415">
        <v>30.05</v>
      </c>
      <c r="N955" s="415">
        <v>228.87</v>
      </c>
      <c r="O955" s="415">
        <v>40.35</v>
      </c>
      <c r="P955" s="415">
        <v>434.78</v>
      </c>
      <c r="Q955" s="481">
        <f t="shared" si="60"/>
        <v>30.05</v>
      </c>
    </row>
    <row r="956" spans="1:17" outlineLevel="2" x14ac:dyDescent="0.3">
      <c r="A956" s="366" t="str">
        <f>IFERROR(VLOOKUP(RIGHT(E956,3)+0,[1]SchLocTable!$A$2:$B$47,2,FALSE)," ")</f>
        <v>Curiale</v>
      </c>
      <c r="B956" s="366" t="str">
        <f>VLOOKUP(VALUE(D956),$D$3:F$106,3,FALSE)</f>
        <v>Supplementary Supplies</v>
      </c>
      <c r="C956" t="s">
        <v>314</v>
      </c>
      <c r="D956">
        <v>806</v>
      </c>
      <c r="E956" t="s">
        <v>500</v>
      </c>
      <c r="F956" t="s">
        <v>464</v>
      </c>
      <c r="G956" t="s">
        <v>319</v>
      </c>
      <c r="H956" s="502">
        <v>56180</v>
      </c>
      <c r="I956" s="415">
        <v>0</v>
      </c>
      <c r="J956" s="415">
        <v>0</v>
      </c>
      <c r="K956" s="415">
        <v>0</v>
      </c>
      <c r="L956" s="415">
        <v>0</v>
      </c>
      <c r="M956" s="415">
        <v>4.1500000000000004</v>
      </c>
      <c r="N956" s="415">
        <v>0</v>
      </c>
      <c r="O956" s="415">
        <v>0</v>
      </c>
      <c r="P956" s="415">
        <v>0</v>
      </c>
      <c r="Q956" s="481">
        <f t="shared" si="60"/>
        <v>0</v>
      </c>
    </row>
    <row r="957" spans="1:17" outlineLevel="2" x14ac:dyDescent="0.3">
      <c r="A957" s="366" t="str">
        <f>IFERROR(VLOOKUP(RIGHT(E957,3)+0,[1]SchLocTable!$A$2:$B$47,2,FALSE)," ")</f>
        <v>Curiale</v>
      </c>
      <c r="B957" s="366" t="str">
        <f>VLOOKUP(VALUE(D957),$D$3:F$106,3,FALSE)</f>
        <v>Supplementary Supplies</v>
      </c>
      <c r="C957" t="s">
        <v>314</v>
      </c>
      <c r="D957">
        <v>806</v>
      </c>
      <c r="E957" t="s">
        <v>500</v>
      </c>
      <c r="F957" t="s">
        <v>463</v>
      </c>
      <c r="G957" t="s">
        <v>319</v>
      </c>
      <c r="H957" s="502">
        <v>54725</v>
      </c>
      <c r="I957" s="415">
        <v>683.49</v>
      </c>
      <c r="J957" s="415">
        <v>724.41</v>
      </c>
      <c r="K957" s="415">
        <v>242.72</v>
      </c>
      <c r="L957" s="415">
        <v>343.96</v>
      </c>
      <c r="M957" s="415">
        <v>267.57</v>
      </c>
      <c r="N957" s="415">
        <v>563.86</v>
      </c>
      <c r="O957" s="415">
        <v>563.61</v>
      </c>
      <c r="P957" s="415">
        <v>600</v>
      </c>
      <c r="Q957" s="481">
        <f t="shared" si="60"/>
        <v>40.919999999999959</v>
      </c>
    </row>
    <row r="958" spans="1:17" outlineLevel="2" x14ac:dyDescent="0.3">
      <c r="A958" s="366" t="str">
        <f>IFERROR(VLOOKUP(RIGHT(E958,3)+0,[1]SchLocTable!$A$2:$B$47,2,FALSE)," ")</f>
        <v>Curiale</v>
      </c>
      <c r="B958" s="366" t="str">
        <f>VLOOKUP(VALUE(D958),$D$3:F$106,3,FALSE)</f>
        <v>Supplementary Supplies</v>
      </c>
      <c r="C958" t="s">
        <v>314</v>
      </c>
      <c r="D958">
        <v>806</v>
      </c>
      <c r="E958" t="s">
        <v>500</v>
      </c>
      <c r="F958" t="s">
        <v>457</v>
      </c>
      <c r="G958" t="s">
        <v>319</v>
      </c>
      <c r="H958" s="502">
        <v>54580</v>
      </c>
      <c r="I958" s="415">
        <v>5730.22</v>
      </c>
      <c r="J958" s="415">
        <v>11804.28</v>
      </c>
      <c r="K958" s="415">
        <v>12109.8</v>
      </c>
      <c r="L958" s="415">
        <v>9317.25</v>
      </c>
      <c r="M958" s="415">
        <v>9561.6</v>
      </c>
      <c r="N958" s="415">
        <v>7013.22</v>
      </c>
      <c r="O958" s="415">
        <v>9170.5499999999993</v>
      </c>
      <c r="P958" s="415">
        <v>7632</v>
      </c>
      <c r="Q958" s="481">
        <f t="shared" si="60"/>
        <v>6074.06</v>
      </c>
    </row>
    <row r="959" spans="1:17" outlineLevel="2" x14ac:dyDescent="0.3">
      <c r="A959" s="366" t="str">
        <f>IFERROR(VLOOKUP(RIGHT(E959,3)+0,[1]SchLocTable!$A$2:$B$47,2,FALSE)," ")</f>
        <v>Curiale</v>
      </c>
      <c r="B959" s="366" t="str">
        <f>VLOOKUP(VALUE(D959),$D$3:F$106,3,FALSE)</f>
        <v>Supplementary Supplies</v>
      </c>
      <c r="C959" t="s">
        <v>314</v>
      </c>
      <c r="D959">
        <v>806</v>
      </c>
      <c r="E959" t="s">
        <v>500</v>
      </c>
      <c r="F959" t="s">
        <v>483</v>
      </c>
      <c r="G959" t="s">
        <v>319</v>
      </c>
      <c r="H959" s="502">
        <v>51122</v>
      </c>
      <c r="I959" s="415">
        <v>144.80960000000002</v>
      </c>
      <c r="J959" s="415">
        <v>139.24</v>
      </c>
      <c r="K959" s="415">
        <v>0</v>
      </c>
      <c r="L959" s="415">
        <v>0</v>
      </c>
      <c r="M959" s="415">
        <v>139.24</v>
      </c>
      <c r="N959" s="415">
        <v>1159.21</v>
      </c>
      <c r="O959" s="415">
        <v>0</v>
      </c>
      <c r="P959" s="415">
        <v>643.76</v>
      </c>
      <c r="Q959" s="481">
        <f t="shared" ref="Q959:Q1022" si="61">J959-I959</f>
        <v>-5.5696000000000083</v>
      </c>
    </row>
    <row r="960" spans="1:17" outlineLevel="2" x14ac:dyDescent="0.3">
      <c r="A960" s="366" t="str">
        <f>IFERROR(VLOOKUP(RIGHT(E960,3)+0,[1]SchLocTable!$A$2:$B$47,2,FALSE)," ")</f>
        <v>Skane</v>
      </c>
      <c r="B960" s="366" t="str">
        <f>VLOOKUP(VALUE(D960),$D$3:F$106,3,FALSE)</f>
        <v>Supplementary Supplies</v>
      </c>
      <c r="C960" t="s">
        <v>314</v>
      </c>
      <c r="D960">
        <v>806</v>
      </c>
      <c r="E960" t="s">
        <v>501</v>
      </c>
      <c r="F960" t="s">
        <v>334</v>
      </c>
      <c r="G960" t="s">
        <v>319</v>
      </c>
      <c r="H960" s="502">
        <v>51400</v>
      </c>
      <c r="I960" s="415">
        <v>0</v>
      </c>
      <c r="J960" s="415">
        <v>3554.43</v>
      </c>
      <c r="K960" s="415">
        <v>0</v>
      </c>
      <c r="L960" s="415">
        <v>5261.49</v>
      </c>
      <c r="M960" s="415">
        <v>0</v>
      </c>
      <c r="N960" s="415">
        <v>3385.17</v>
      </c>
      <c r="O960" s="415">
        <v>7411.25</v>
      </c>
      <c r="P960" s="415">
        <v>3747.95</v>
      </c>
      <c r="Q960" s="481">
        <f t="shared" si="61"/>
        <v>3554.43</v>
      </c>
    </row>
    <row r="961" spans="1:17" outlineLevel="2" x14ac:dyDescent="0.3">
      <c r="A961" s="366" t="str">
        <f>IFERROR(VLOOKUP(RIGHT(E961,3)+0,[1]SchLocTable!$A$2:$B$47,2,FALSE)," ")</f>
        <v>Skane</v>
      </c>
      <c r="B961" s="366" t="str">
        <f>VLOOKUP(VALUE(D961),$D$3:F$106,3,FALSE)</f>
        <v>Supplementary Supplies</v>
      </c>
      <c r="C961" t="s">
        <v>314</v>
      </c>
      <c r="D961">
        <v>806</v>
      </c>
      <c r="E961" t="s">
        <v>501</v>
      </c>
      <c r="F961" t="s">
        <v>320</v>
      </c>
      <c r="G961" t="s">
        <v>319</v>
      </c>
      <c r="H961" s="502">
        <v>52360</v>
      </c>
      <c r="I961" s="415">
        <v>0</v>
      </c>
      <c r="J961" s="415">
        <v>0</v>
      </c>
      <c r="K961" s="415">
        <v>0</v>
      </c>
      <c r="L961" s="415">
        <v>76.290000000000006</v>
      </c>
      <c r="M961" s="415">
        <v>0</v>
      </c>
      <c r="N961" s="415">
        <v>49.08</v>
      </c>
      <c r="O961" s="415">
        <v>107.47</v>
      </c>
      <c r="P961" s="415">
        <v>54.12</v>
      </c>
      <c r="Q961" s="481">
        <f t="shared" si="61"/>
        <v>0</v>
      </c>
    </row>
    <row r="962" spans="1:17" outlineLevel="2" x14ac:dyDescent="0.3">
      <c r="A962" s="366" t="str">
        <f>IFERROR(VLOOKUP(RIGHT(E962,3)+0,[1]SchLocTable!$A$2:$B$47,2,FALSE)," ")</f>
        <v>Skane</v>
      </c>
      <c r="B962" s="366" t="str">
        <f>VLOOKUP(VALUE(D962),$D$3:F$106,3,FALSE)</f>
        <v>Supplementary Supplies</v>
      </c>
      <c r="C962" t="s">
        <v>314</v>
      </c>
      <c r="D962">
        <v>806</v>
      </c>
      <c r="E962" t="s">
        <v>501</v>
      </c>
      <c r="F962" t="s">
        <v>458</v>
      </c>
      <c r="G962" t="s">
        <v>319</v>
      </c>
      <c r="H962" s="502">
        <v>54675</v>
      </c>
      <c r="I962" s="415">
        <v>0</v>
      </c>
      <c r="J962" s="415">
        <v>512.27</v>
      </c>
      <c r="K962" s="415">
        <v>0</v>
      </c>
      <c r="L962" s="415">
        <v>0</v>
      </c>
      <c r="M962" s="415">
        <v>0</v>
      </c>
      <c r="N962" s="415">
        <v>0</v>
      </c>
      <c r="O962" s="415">
        <v>0</v>
      </c>
      <c r="P962" s="415">
        <v>0</v>
      </c>
      <c r="Q962" s="481">
        <f t="shared" si="61"/>
        <v>512.27</v>
      </c>
    </row>
    <row r="963" spans="1:17" outlineLevel="2" x14ac:dyDescent="0.3">
      <c r="A963" s="366" t="str">
        <f>IFERROR(VLOOKUP(RIGHT(E963,3)+0,[1]SchLocTable!$A$2:$B$47,2,FALSE)," ")</f>
        <v>Skane</v>
      </c>
      <c r="B963" s="366" t="str">
        <f>VLOOKUP(VALUE(D963),$D$3:F$106,3,FALSE)</f>
        <v>Supplementary Supplies</v>
      </c>
      <c r="C963" t="s">
        <v>314</v>
      </c>
      <c r="D963">
        <v>806</v>
      </c>
      <c r="E963" t="s">
        <v>501</v>
      </c>
      <c r="F963" t="s">
        <v>464</v>
      </c>
      <c r="G963" t="s">
        <v>319</v>
      </c>
      <c r="H963" s="502">
        <v>56180</v>
      </c>
      <c r="I963" s="415">
        <v>1617</v>
      </c>
      <c r="J963" s="415">
        <v>1617</v>
      </c>
      <c r="K963" s="415">
        <v>0</v>
      </c>
      <c r="L963" s="415">
        <v>1620</v>
      </c>
      <c r="M963" s="415">
        <v>0</v>
      </c>
      <c r="N963" s="415">
        <v>325</v>
      </c>
      <c r="O963" s="415">
        <v>0</v>
      </c>
      <c r="P963" s="415">
        <v>1617</v>
      </c>
      <c r="Q963" s="481">
        <f t="shared" si="61"/>
        <v>0</v>
      </c>
    </row>
    <row r="964" spans="1:17" outlineLevel="2" x14ac:dyDescent="0.3">
      <c r="A964" s="366" t="str">
        <f>IFERROR(VLOOKUP(RIGHT(E964,3)+0,[1]SchLocTable!$A$2:$B$47,2,FALSE)," ")</f>
        <v>Skane</v>
      </c>
      <c r="B964" s="366" t="str">
        <f>VLOOKUP(VALUE(D964),$D$3:F$106,3,FALSE)</f>
        <v>Supplementary Supplies</v>
      </c>
      <c r="C964" t="s">
        <v>314</v>
      </c>
      <c r="D964">
        <v>806</v>
      </c>
      <c r="E964" t="s">
        <v>501</v>
      </c>
      <c r="F964" t="s">
        <v>463</v>
      </c>
      <c r="G964" t="s">
        <v>319</v>
      </c>
      <c r="H964" s="502">
        <v>54725</v>
      </c>
      <c r="I964" s="415">
        <v>726.91</v>
      </c>
      <c r="J964" s="415">
        <v>1096.9100000000001</v>
      </c>
      <c r="K964" s="415">
        <v>828.69</v>
      </c>
      <c r="L964" s="415">
        <v>890.38</v>
      </c>
      <c r="M964" s="415">
        <v>717.42</v>
      </c>
      <c r="N964" s="415">
        <v>769.03</v>
      </c>
      <c r="O964" s="415">
        <v>1096</v>
      </c>
      <c r="P964" s="415">
        <v>1850</v>
      </c>
      <c r="Q964" s="481">
        <f t="shared" si="61"/>
        <v>370.00000000000011</v>
      </c>
    </row>
    <row r="965" spans="1:17" outlineLevel="2" x14ac:dyDescent="0.3">
      <c r="A965" s="366" t="str">
        <f>IFERROR(VLOOKUP(RIGHT(E965,3)+0,[1]SchLocTable!$A$2:$B$47,2,FALSE)," ")</f>
        <v>Skane</v>
      </c>
      <c r="B965" s="366" t="str">
        <f>VLOOKUP(VALUE(D965),$D$3:F$106,3,FALSE)</f>
        <v>Supplementary Supplies</v>
      </c>
      <c r="C965" t="s">
        <v>314</v>
      </c>
      <c r="D965">
        <v>806</v>
      </c>
      <c r="E965" t="s">
        <v>501</v>
      </c>
      <c r="F965" t="s">
        <v>457</v>
      </c>
      <c r="G965" t="s">
        <v>319</v>
      </c>
      <c r="H965" s="502">
        <v>54580</v>
      </c>
      <c r="I965" s="415">
        <v>16282.4</v>
      </c>
      <c r="J965" s="415">
        <v>17149.39</v>
      </c>
      <c r="K965" s="415">
        <v>19728.650000000001</v>
      </c>
      <c r="L965" s="415">
        <v>19958.55</v>
      </c>
      <c r="M965" s="415">
        <v>15596.94</v>
      </c>
      <c r="N965" s="415">
        <v>9393.83</v>
      </c>
      <c r="O965" s="415">
        <v>5721.2</v>
      </c>
      <c r="P965" s="415">
        <v>8213.69</v>
      </c>
      <c r="Q965" s="481">
        <f t="shared" si="61"/>
        <v>866.98999999999978</v>
      </c>
    </row>
    <row r="966" spans="1:17" outlineLevel="2" x14ac:dyDescent="0.3">
      <c r="A966" s="366" t="str">
        <f>IFERROR(VLOOKUP(RIGHT(E966,3)+0,[1]SchLocTable!$A$2:$B$47,2,FALSE)," ")</f>
        <v>Skane</v>
      </c>
      <c r="B966" s="366" t="str">
        <f>VLOOKUP(VALUE(D966),$D$3:F$106,3,FALSE)</f>
        <v>Supplementary Supplies</v>
      </c>
      <c r="C966" t="s">
        <v>314</v>
      </c>
      <c r="D966">
        <v>806</v>
      </c>
      <c r="E966" t="s">
        <v>501</v>
      </c>
      <c r="F966" t="s">
        <v>469</v>
      </c>
      <c r="G966" t="s">
        <v>319</v>
      </c>
      <c r="H966" s="502">
        <v>54760</v>
      </c>
      <c r="I966" s="415">
        <v>0</v>
      </c>
      <c r="J966" s="415">
        <v>0</v>
      </c>
      <c r="K966" s="415">
        <v>62.32</v>
      </c>
      <c r="L966" s="415">
        <v>0</v>
      </c>
      <c r="M966" s="415">
        <v>0</v>
      </c>
      <c r="N966" s="415">
        <v>0</v>
      </c>
      <c r="O966" s="415">
        <v>0</v>
      </c>
      <c r="P966" s="415">
        <v>0</v>
      </c>
      <c r="Q966" s="481">
        <f t="shared" si="61"/>
        <v>0</v>
      </c>
    </row>
    <row r="967" spans="1:17" outlineLevel="2" x14ac:dyDescent="0.3">
      <c r="A967" s="366" t="str">
        <f>IFERROR(VLOOKUP(RIGHT(E967,3)+0,[1]SchLocTable!$A$2:$B$47,2,FALSE)," ")</f>
        <v>Skane</v>
      </c>
      <c r="B967" s="366" t="str">
        <f>VLOOKUP(VALUE(D967),$D$3:F$106,3,FALSE)</f>
        <v>Supplementary Supplies</v>
      </c>
      <c r="C967" t="s">
        <v>314</v>
      </c>
      <c r="D967">
        <v>806</v>
      </c>
      <c r="E967" t="s">
        <v>501</v>
      </c>
      <c r="F967" t="s">
        <v>502</v>
      </c>
      <c r="G967" t="s">
        <v>319</v>
      </c>
      <c r="H967" s="502">
        <v>53610</v>
      </c>
      <c r="I967" s="415">
        <v>2275</v>
      </c>
      <c r="J967" s="415">
        <v>2500</v>
      </c>
      <c r="K967" s="415">
        <v>0</v>
      </c>
      <c r="L967" s="415">
        <v>0</v>
      </c>
      <c r="M967" s="415">
        <v>0</v>
      </c>
      <c r="N967" s="415">
        <v>0</v>
      </c>
      <c r="O967" s="415">
        <v>5995</v>
      </c>
      <c r="P967" s="415">
        <v>600</v>
      </c>
      <c r="Q967" s="481">
        <f t="shared" si="61"/>
        <v>225</v>
      </c>
    </row>
    <row r="968" spans="1:17" outlineLevel="2" x14ac:dyDescent="0.3">
      <c r="A968" s="366" t="str">
        <f>IFERROR(VLOOKUP(RIGHT(E968,3)+0,[1]SchLocTable!$A$2:$B$47,2,FALSE)," ")</f>
        <v>High Horizons Magnet</v>
      </c>
      <c r="B968" s="366" t="str">
        <f>VLOOKUP(VALUE(D968),$D$3:F$106,3,FALSE)</f>
        <v>Supplementary Supplies</v>
      </c>
      <c r="C968" t="s">
        <v>314</v>
      </c>
      <c r="D968">
        <v>806</v>
      </c>
      <c r="E968" t="s">
        <v>503</v>
      </c>
      <c r="F968" t="s">
        <v>458</v>
      </c>
      <c r="G968" t="s">
        <v>319</v>
      </c>
      <c r="H968" s="502">
        <v>54675</v>
      </c>
      <c r="I968" s="415">
        <v>0</v>
      </c>
      <c r="J968" s="415">
        <v>775</v>
      </c>
      <c r="K968" s="415">
        <v>0</v>
      </c>
      <c r="L968" s="415">
        <v>0</v>
      </c>
      <c r="M968" s="415">
        <v>0</v>
      </c>
      <c r="N968" s="415">
        <v>0</v>
      </c>
      <c r="O968" s="415">
        <v>0</v>
      </c>
      <c r="P968" s="415">
        <v>0</v>
      </c>
      <c r="Q968" s="481">
        <f t="shared" si="61"/>
        <v>775</v>
      </c>
    </row>
    <row r="969" spans="1:17" outlineLevel="2" x14ac:dyDescent="0.3">
      <c r="A969" s="366" t="str">
        <f>IFERROR(VLOOKUP(RIGHT(E969,3)+0,[1]SchLocTable!$A$2:$B$47,2,FALSE)," ")</f>
        <v>High Horizons Magnet</v>
      </c>
      <c r="B969" s="366" t="str">
        <f>VLOOKUP(VALUE(D969),$D$3:F$106,3,FALSE)</f>
        <v>Supplementary Supplies</v>
      </c>
      <c r="C969" t="s">
        <v>314</v>
      </c>
      <c r="D969">
        <v>806</v>
      </c>
      <c r="E969" t="s">
        <v>503</v>
      </c>
      <c r="F969" t="s">
        <v>464</v>
      </c>
      <c r="G969" t="s">
        <v>319</v>
      </c>
      <c r="H969" s="502">
        <v>56180</v>
      </c>
      <c r="I969" s="415">
        <v>900</v>
      </c>
      <c r="J969" s="415">
        <v>900</v>
      </c>
      <c r="K969" s="415">
        <v>0</v>
      </c>
      <c r="L969" s="415">
        <v>3192.58</v>
      </c>
      <c r="M969" s="415">
        <v>1500</v>
      </c>
      <c r="N969" s="415">
        <v>0</v>
      </c>
      <c r="O969" s="415">
        <v>1669.5</v>
      </c>
      <c r="P969" s="415">
        <v>0</v>
      </c>
      <c r="Q969" s="481">
        <f t="shared" si="61"/>
        <v>0</v>
      </c>
    </row>
    <row r="970" spans="1:17" outlineLevel="2" x14ac:dyDescent="0.3">
      <c r="A970" s="366" t="str">
        <f>IFERROR(VLOOKUP(RIGHT(E970,3)+0,[1]SchLocTable!$A$2:$B$47,2,FALSE)," ")</f>
        <v>High Horizons Magnet</v>
      </c>
      <c r="B970" s="366" t="str">
        <f>VLOOKUP(VALUE(D970),$D$3:F$106,3,FALSE)</f>
        <v>Supplementary Supplies</v>
      </c>
      <c r="C970" t="s">
        <v>314</v>
      </c>
      <c r="D970">
        <v>806</v>
      </c>
      <c r="E970" t="s">
        <v>503</v>
      </c>
      <c r="F970" t="s">
        <v>463</v>
      </c>
      <c r="G970" t="s">
        <v>319</v>
      </c>
      <c r="H970" s="502">
        <v>54725</v>
      </c>
      <c r="I970" s="415">
        <v>680.51</v>
      </c>
      <c r="J970" s="415">
        <v>796.91</v>
      </c>
      <c r="K970" s="415">
        <v>258.56</v>
      </c>
      <c r="L970" s="415">
        <v>169.43</v>
      </c>
      <c r="M970" s="415">
        <v>117.66</v>
      </c>
      <c r="N970" s="415">
        <v>140.69</v>
      </c>
      <c r="O970" s="415">
        <v>289.23</v>
      </c>
      <c r="P970" s="415">
        <v>359.56</v>
      </c>
      <c r="Q970" s="481">
        <f t="shared" si="61"/>
        <v>116.39999999999998</v>
      </c>
    </row>
    <row r="971" spans="1:17" outlineLevel="2" x14ac:dyDescent="0.3">
      <c r="A971" s="366" t="str">
        <f>IFERROR(VLOOKUP(RIGHT(E971,3)+0,[1]SchLocTable!$A$2:$B$47,2,FALSE)," ")</f>
        <v>High Horizons Magnet</v>
      </c>
      <c r="B971" s="366" t="str">
        <f>VLOOKUP(VALUE(D971),$D$3:F$106,3,FALSE)</f>
        <v>Supplementary Supplies</v>
      </c>
      <c r="C971" t="s">
        <v>314</v>
      </c>
      <c r="D971">
        <v>806</v>
      </c>
      <c r="E971" t="s">
        <v>503</v>
      </c>
      <c r="F971" t="s">
        <v>457</v>
      </c>
      <c r="G971" t="s">
        <v>319</v>
      </c>
      <c r="H971" s="502">
        <v>54580</v>
      </c>
      <c r="I971" s="415">
        <v>4691.99</v>
      </c>
      <c r="J971" s="415">
        <v>8378.09</v>
      </c>
      <c r="K971" s="415">
        <v>10887.41</v>
      </c>
      <c r="L971" s="415">
        <v>5061.1899999999996</v>
      </c>
      <c r="M971" s="415">
        <v>6527.8</v>
      </c>
      <c r="N971" s="415">
        <v>7117.95</v>
      </c>
      <c r="O971" s="415">
        <v>6915.19</v>
      </c>
      <c r="P971" s="415">
        <v>6569.53</v>
      </c>
      <c r="Q971" s="481">
        <f t="shared" si="61"/>
        <v>3686.1000000000004</v>
      </c>
    </row>
    <row r="972" spans="1:17" outlineLevel="2" x14ac:dyDescent="0.3">
      <c r="A972" s="366" t="str">
        <f>IFERROR(VLOOKUP(RIGHT(E972,3)+0,[1]SchLocTable!$A$2:$B$47,2,FALSE)," ")</f>
        <v>Multicultural Magnet</v>
      </c>
      <c r="B972" s="366" t="str">
        <f>VLOOKUP(VALUE(D972),$D$3:F$106,3,FALSE)</f>
        <v>Supplementary Supplies</v>
      </c>
      <c r="C972" t="s">
        <v>314</v>
      </c>
      <c r="D972">
        <v>806</v>
      </c>
      <c r="E972" t="s">
        <v>504</v>
      </c>
      <c r="F972" t="s">
        <v>458</v>
      </c>
      <c r="G972" t="s">
        <v>319</v>
      </c>
      <c r="H972" s="502">
        <v>54675</v>
      </c>
      <c r="I972" s="415">
        <v>127.35</v>
      </c>
      <c r="J972" s="415">
        <v>1000</v>
      </c>
      <c r="K972" s="415">
        <v>0</v>
      </c>
      <c r="L972" s="415">
        <v>0</v>
      </c>
      <c r="M972" s="415">
        <v>0</v>
      </c>
      <c r="N972" s="415">
        <v>0</v>
      </c>
      <c r="O972" s="415">
        <v>0</v>
      </c>
      <c r="P972" s="415">
        <v>0</v>
      </c>
      <c r="Q972" s="481">
        <f t="shared" si="61"/>
        <v>872.65</v>
      </c>
    </row>
    <row r="973" spans="1:17" outlineLevel="2" x14ac:dyDescent="0.3">
      <c r="A973" s="366" t="str">
        <f>IFERROR(VLOOKUP(RIGHT(E973,3)+0,[1]SchLocTable!$A$2:$B$47,2,FALSE)," ")</f>
        <v>Multicultural Magnet</v>
      </c>
      <c r="B973" s="366" t="str">
        <f>VLOOKUP(VALUE(D973),$D$3:F$106,3,FALSE)</f>
        <v>Supplementary Supplies</v>
      </c>
      <c r="C973" t="s">
        <v>314</v>
      </c>
      <c r="D973">
        <v>806</v>
      </c>
      <c r="E973" t="s">
        <v>504</v>
      </c>
      <c r="F973" t="s">
        <v>464</v>
      </c>
      <c r="G973" t="s">
        <v>319</v>
      </c>
      <c r="H973" s="502">
        <v>56180</v>
      </c>
      <c r="I973" s="415">
        <v>1000</v>
      </c>
      <c r="J973" s="415">
        <v>1000</v>
      </c>
      <c r="K973" s="415">
        <v>0</v>
      </c>
      <c r="L973" s="415">
        <v>2024</v>
      </c>
      <c r="M973" s="415">
        <v>1000</v>
      </c>
      <c r="N973" s="415">
        <v>1048.56</v>
      </c>
      <c r="O973" s="415">
        <v>0</v>
      </c>
      <c r="P973" s="415">
        <v>0</v>
      </c>
      <c r="Q973" s="481">
        <f t="shared" si="61"/>
        <v>0</v>
      </c>
    </row>
    <row r="974" spans="1:17" outlineLevel="2" x14ac:dyDescent="0.3">
      <c r="A974" s="366" t="str">
        <f>IFERROR(VLOOKUP(RIGHT(E974,3)+0,[1]SchLocTable!$A$2:$B$47,2,FALSE)," ")</f>
        <v>Multicultural Magnet</v>
      </c>
      <c r="B974" s="366" t="str">
        <f>VLOOKUP(VALUE(D974),$D$3:F$106,3,FALSE)</f>
        <v>Supplementary Supplies</v>
      </c>
      <c r="C974" t="s">
        <v>314</v>
      </c>
      <c r="D974">
        <v>806</v>
      </c>
      <c r="E974" t="s">
        <v>504</v>
      </c>
      <c r="F974" t="s">
        <v>463</v>
      </c>
      <c r="G974" t="s">
        <v>319</v>
      </c>
      <c r="H974" s="502">
        <v>54725</v>
      </c>
      <c r="I974" s="415">
        <v>176.5</v>
      </c>
      <c r="J974" s="415">
        <v>346.91</v>
      </c>
      <c r="K974" s="415">
        <v>214.54</v>
      </c>
      <c r="L974" s="415">
        <v>469.62</v>
      </c>
      <c r="M974" s="415">
        <v>131.37</v>
      </c>
      <c r="N974" s="415">
        <v>159.33000000000001</v>
      </c>
      <c r="O974" s="415">
        <v>346.91</v>
      </c>
      <c r="P974" s="415">
        <v>250</v>
      </c>
      <c r="Q974" s="481">
        <f t="shared" si="61"/>
        <v>170.41000000000003</v>
      </c>
    </row>
    <row r="975" spans="1:17" outlineLevel="2" x14ac:dyDescent="0.3">
      <c r="A975" s="366" t="str">
        <f>IFERROR(VLOOKUP(RIGHT(E975,3)+0,[1]SchLocTable!$A$2:$B$47,2,FALSE)," ")</f>
        <v>Multicultural Magnet</v>
      </c>
      <c r="B975" s="366" t="str">
        <f>VLOOKUP(VALUE(D975),$D$3:F$106,3,FALSE)</f>
        <v>Supplementary Supplies</v>
      </c>
      <c r="C975" t="s">
        <v>314</v>
      </c>
      <c r="D975">
        <v>806</v>
      </c>
      <c r="E975" t="s">
        <v>504</v>
      </c>
      <c r="F975" t="s">
        <v>457</v>
      </c>
      <c r="G975" t="s">
        <v>319</v>
      </c>
      <c r="H975" s="502">
        <v>54580</v>
      </c>
      <c r="I975" s="415">
        <v>5552.04</v>
      </c>
      <c r="J975" s="415">
        <v>8403.09</v>
      </c>
      <c r="K975" s="415">
        <v>9609.9500000000007</v>
      </c>
      <c r="L975" s="415">
        <v>4710.54</v>
      </c>
      <c r="M975" s="415">
        <v>7584.1</v>
      </c>
      <c r="N975" s="415">
        <v>6649.06</v>
      </c>
      <c r="O975" s="415">
        <v>8654.1</v>
      </c>
      <c r="P975" s="415">
        <v>8693.18</v>
      </c>
      <c r="Q975" s="481">
        <f t="shared" si="61"/>
        <v>2851.05</v>
      </c>
    </row>
    <row r="976" spans="1:17" outlineLevel="2" x14ac:dyDescent="0.3">
      <c r="A976" s="366" t="str">
        <f>IFERROR(VLOOKUP(RIGHT(E976,3)+0,[1]SchLocTable!$A$2:$B$47,2,FALSE)," ")</f>
        <v>Bassick HS</v>
      </c>
      <c r="B976" s="366" t="str">
        <f>VLOOKUP(VALUE(D976),$D$3:F$106,3,FALSE)</f>
        <v>Supplementary Supplies</v>
      </c>
      <c r="C976" t="s">
        <v>314</v>
      </c>
      <c r="D976">
        <v>806</v>
      </c>
      <c r="E976" t="s">
        <v>505</v>
      </c>
      <c r="F976" t="s">
        <v>334</v>
      </c>
      <c r="G976" t="s">
        <v>319</v>
      </c>
      <c r="H976" s="502">
        <v>51400</v>
      </c>
      <c r="I976" s="415">
        <v>0</v>
      </c>
      <c r="J976" s="415">
        <v>970.2</v>
      </c>
      <c r="K976" s="415">
        <v>0</v>
      </c>
      <c r="L976" s="415">
        <v>77</v>
      </c>
      <c r="M976" s="415">
        <v>0</v>
      </c>
      <c r="N976" s="415">
        <v>924</v>
      </c>
      <c r="O976" s="415">
        <v>0</v>
      </c>
      <c r="P976" s="415">
        <v>0</v>
      </c>
      <c r="Q976" s="481">
        <f t="shared" si="61"/>
        <v>970.2</v>
      </c>
    </row>
    <row r="977" spans="1:17" outlineLevel="2" x14ac:dyDescent="0.3">
      <c r="A977" s="366" t="str">
        <f>IFERROR(VLOOKUP(RIGHT(E977,3)+0,[1]SchLocTable!$A$2:$B$47,2,FALSE)," ")</f>
        <v>Bassick HS</v>
      </c>
      <c r="B977" s="366" t="str">
        <f>VLOOKUP(VALUE(D977),$D$3:F$106,3,FALSE)</f>
        <v>Supplementary Supplies</v>
      </c>
      <c r="C977" t="s">
        <v>314</v>
      </c>
      <c r="D977">
        <v>806</v>
      </c>
      <c r="E977" t="s">
        <v>505</v>
      </c>
      <c r="F977" t="s">
        <v>320</v>
      </c>
      <c r="G977" t="s">
        <v>319</v>
      </c>
      <c r="H977" s="502">
        <v>52360</v>
      </c>
      <c r="I977" s="415">
        <v>0</v>
      </c>
      <c r="J977" s="415">
        <v>0</v>
      </c>
      <c r="K977" s="415">
        <v>0</v>
      </c>
      <c r="L977" s="415">
        <v>1.1200000000000001</v>
      </c>
      <c r="M977" s="415">
        <v>0</v>
      </c>
      <c r="N977" s="415">
        <v>6.7</v>
      </c>
      <c r="O977" s="415">
        <v>0</v>
      </c>
      <c r="P977" s="415">
        <v>0</v>
      </c>
      <c r="Q977" s="481">
        <f t="shared" si="61"/>
        <v>0</v>
      </c>
    </row>
    <row r="978" spans="1:17" outlineLevel="2" x14ac:dyDescent="0.3">
      <c r="A978" s="366" t="str">
        <f>IFERROR(VLOOKUP(RIGHT(E978,3)+0,[1]SchLocTable!$A$2:$B$47,2,FALSE)," ")</f>
        <v>Bassick HS</v>
      </c>
      <c r="B978" s="366" t="str">
        <f>VLOOKUP(VALUE(D978),$D$3:F$106,3,FALSE)</f>
        <v>Supplementary Supplies</v>
      </c>
      <c r="C978" t="s">
        <v>314</v>
      </c>
      <c r="D978">
        <v>806</v>
      </c>
      <c r="E978" t="s">
        <v>505</v>
      </c>
      <c r="F978" t="s">
        <v>473</v>
      </c>
      <c r="G978" t="s">
        <v>319</v>
      </c>
      <c r="H978" s="502">
        <v>53605</v>
      </c>
      <c r="I978" s="415">
        <v>0</v>
      </c>
      <c r="J978" s="415">
        <v>0</v>
      </c>
      <c r="K978" s="415">
        <v>210</v>
      </c>
      <c r="L978" s="415">
        <v>0</v>
      </c>
      <c r="M978" s="415">
        <v>0</v>
      </c>
      <c r="N978" s="415">
        <v>0</v>
      </c>
      <c r="O978" s="415">
        <v>215</v>
      </c>
      <c r="P978" s="415">
        <v>0</v>
      </c>
      <c r="Q978" s="481">
        <f t="shared" si="61"/>
        <v>0</v>
      </c>
    </row>
    <row r="979" spans="1:17" outlineLevel="2" x14ac:dyDescent="0.3">
      <c r="A979" s="366" t="str">
        <f>IFERROR(VLOOKUP(RIGHT(E979,3)+0,[1]SchLocTable!$A$2:$B$47,2,FALSE)," ")</f>
        <v>Bassick HS</v>
      </c>
      <c r="B979" s="366" t="str">
        <f>VLOOKUP(VALUE(D979),$D$3:F$106,3,FALSE)</f>
        <v>Supplementary Supplies</v>
      </c>
      <c r="C979" t="s">
        <v>314</v>
      </c>
      <c r="D979">
        <v>806</v>
      </c>
      <c r="E979" t="s">
        <v>505</v>
      </c>
      <c r="F979" t="s">
        <v>458</v>
      </c>
      <c r="G979" t="s">
        <v>319</v>
      </c>
      <c r="H979" s="502">
        <v>54675</v>
      </c>
      <c r="I979" s="415">
        <v>501.3</v>
      </c>
      <c r="J979" s="415">
        <v>3000</v>
      </c>
      <c r="K979" s="415">
        <v>0</v>
      </c>
      <c r="L979" s="415">
        <v>0</v>
      </c>
      <c r="M979" s="415">
        <v>0</v>
      </c>
      <c r="N979" s="415">
        <v>0</v>
      </c>
      <c r="O979" s="415">
        <v>0</v>
      </c>
      <c r="P979" s="415">
        <v>0</v>
      </c>
      <c r="Q979" s="481">
        <f t="shared" si="61"/>
        <v>2498.6999999999998</v>
      </c>
    </row>
    <row r="980" spans="1:17" outlineLevel="2" x14ac:dyDescent="0.3">
      <c r="A980" s="366" t="str">
        <f>IFERROR(VLOOKUP(RIGHT(E980,3)+0,[1]SchLocTable!$A$2:$B$47,2,FALSE)," ")</f>
        <v>Bassick HS</v>
      </c>
      <c r="B980" s="366" t="str">
        <f>VLOOKUP(VALUE(D980),$D$3:F$106,3,FALSE)</f>
        <v>Supplementary Supplies</v>
      </c>
      <c r="C980" t="s">
        <v>314</v>
      </c>
      <c r="D980">
        <v>806</v>
      </c>
      <c r="E980" t="s">
        <v>505</v>
      </c>
      <c r="F980" t="s">
        <v>464</v>
      </c>
      <c r="G980" t="s">
        <v>319</v>
      </c>
      <c r="H980" s="502">
        <v>56180</v>
      </c>
      <c r="I980" s="415">
        <v>5015</v>
      </c>
      <c r="J980" s="415">
        <v>5015</v>
      </c>
      <c r="K980" s="415">
        <v>2865</v>
      </c>
      <c r="L980" s="415">
        <v>7100.84</v>
      </c>
      <c r="M980" s="415">
        <v>3993.81</v>
      </c>
      <c r="N980" s="415">
        <v>3002.19</v>
      </c>
      <c r="O980" s="415">
        <v>3709</v>
      </c>
      <c r="P980" s="415">
        <v>0</v>
      </c>
      <c r="Q980" s="481">
        <f t="shared" si="61"/>
        <v>0</v>
      </c>
    </row>
    <row r="981" spans="1:17" outlineLevel="2" x14ac:dyDescent="0.3">
      <c r="A981" s="366" t="str">
        <f>IFERROR(VLOOKUP(RIGHT(E981,3)+0,[1]SchLocTable!$A$2:$B$47,2,FALSE)," ")</f>
        <v>Bassick HS</v>
      </c>
      <c r="B981" s="366" t="str">
        <f>VLOOKUP(VALUE(D981),$D$3:F$106,3,FALSE)</f>
        <v>Supplementary Supplies</v>
      </c>
      <c r="C981" t="s">
        <v>314</v>
      </c>
      <c r="D981">
        <v>806</v>
      </c>
      <c r="E981" t="s">
        <v>505</v>
      </c>
      <c r="F981" t="s">
        <v>463</v>
      </c>
      <c r="G981" t="s">
        <v>319</v>
      </c>
      <c r="H981" s="502">
        <v>54725</v>
      </c>
      <c r="I981" s="415">
        <v>2109.25</v>
      </c>
      <c r="J981" s="415">
        <v>2196.91</v>
      </c>
      <c r="K981" s="415">
        <v>1766.46</v>
      </c>
      <c r="L981" s="415">
        <v>1529.91</v>
      </c>
      <c r="M981" s="415">
        <v>1754.26</v>
      </c>
      <c r="N981" s="415">
        <v>1461.25</v>
      </c>
      <c r="O981" s="415">
        <v>812.76</v>
      </c>
      <c r="P981" s="415">
        <v>1575.3</v>
      </c>
      <c r="Q981" s="481">
        <f t="shared" si="61"/>
        <v>87.659999999999854</v>
      </c>
    </row>
    <row r="982" spans="1:17" outlineLevel="2" x14ac:dyDescent="0.3">
      <c r="A982" s="366" t="str">
        <f>IFERROR(VLOOKUP(RIGHT(E982,3)+0,[1]SchLocTable!$A$2:$B$47,2,FALSE)," ")</f>
        <v>Bassick HS</v>
      </c>
      <c r="B982" s="366" t="str">
        <f>VLOOKUP(VALUE(D982),$D$3:F$106,3,FALSE)</f>
        <v>Supplementary Supplies</v>
      </c>
      <c r="C982" t="s">
        <v>314</v>
      </c>
      <c r="D982">
        <v>806</v>
      </c>
      <c r="E982" t="s">
        <v>505</v>
      </c>
      <c r="F982" t="s">
        <v>457</v>
      </c>
      <c r="G982" t="s">
        <v>319</v>
      </c>
      <c r="H982" s="502">
        <v>54580</v>
      </c>
      <c r="I982" s="415">
        <v>11121.95</v>
      </c>
      <c r="J982" s="415">
        <v>16067.89</v>
      </c>
      <c r="K982" s="415">
        <v>16634.32</v>
      </c>
      <c r="L982" s="415">
        <v>8076.3</v>
      </c>
      <c r="M982" s="415">
        <v>11204.6</v>
      </c>
      <c r="N982" s="415">
        <v>3863.41</v>
      </c>
      <c r="O982" s="415">
        <v>4654.2</v>
      </c>
      <c r="P982" s="415">
        <v>6380.99</v>
      </c>
      <c r="Q982" s="481">
        <f t="shared" si="61"/>
        <v>4945.9399999999987</v>
      </c>
    </row>
    <row r="983" spans="1:17" outlineLevel="2" x14ac:dyDescent="0.3">
      <c r="A983" s="366" t="str">
        <f>IFERROR(VLOOKUP(RIGHT(E983,3)+0,[1]SchLocTable!$A$2:$B$47,2,FALSE)," ")</f>
        <v>Bassick HS</v>
      </c>
      <c r="B983" s="366" t="str">
        <f>VLOOKUP(VALUE(D983),$D$3:F$106,3,FALSE)</f>
        <v>Supplementary Supplies</v>
      </c>
      <c r="C983" t="s">
        <v>314</v>
      </c>
      <c r="D983">
        <v>806</v>
      </c>
      <c r="E983" t="s">
        <v>505</v>
      </c>
      <c r="F983" t="s">
        <v>465</v>
      </c>
      <c r="G983" t="s">
        <v>319</v>
      </c>
      <c r="H983" s="502">
        <v>56240</v>
      </c>
      <c r="I983" s="415">
        <v>0</v>
      </c>
      <c r="J983" s="415">
        <v>0</v>
      </c>
      <c r="K983" s="415">
        <v>0</v>
      </c>
      <c r="L983" s="415">
        <v>781.14</v>
      </c>
      <c r="M983" s="415">
        <v>0</v>
      </c>
      <c r="N983" s="415">
        <v>0</v>
      </c>
      <c r="O983" s="415">
        <v>0</v>
      </c>
      <c r="P983" s="415">
        <v>0</v>
      </c>
      <c r="Q983" s="481">
        <f t="shared" si="61"/>
        <v>0</v>
      </c>
    </row>
    <row r="984" spans="1:17" outlineLevel="2" x14ac:dyDescent="0.3">
      <c r="A984" s="366" t="str">
        <f>IFERROR(VLOOKUP(RIGHT(E984,3)+0,[1]SchLocTable!$A$2:$B$47,2,FALSE)," ")</f>
        <v>Central HS</v>
      </c>
      <c r="B984" s="366" t="str">
        <f>VLOOKUP(VALUE(D984),$D$3:F$106,3,FALSE)</f>
        <v>Supplementary Supplies</v>
      </c>
      <c r="C984" t="s">
        <v>314</v>
      </c>
      <c r="D984">
        <v>806</v>
      </c>
      <c r="E984" t="s">
        <v>506</v>
      </c>
      <c r="F984" t="s">
        <v>474</v>
      </c>
      <c r="G984" t="s">
        <v>319</v>
      </c>
      <c r="H984" s="502">
        <v>54550</v>
      </c>
      <c r="I984" s="415">
        <v>0</v>
      </c>
      <c r="J984" s="415">
        <v>398</v>
      </c>
      <c r="K984" s="415">
        <v>0</v>
      </c>
      <c r="L984" s="415">
        <v>0</v>
      </c>
      <c r="M984" s="415">
        <v>0</v>
      </c>
      <c r="N984" s="415">
        <v>0</v>
      </c>
      <c r="O984" s="415">
        <v>1798</v>
      </c>
      <c r="P984" s="415">
        <v>0</v>
      </c>
      <c r="Q984" s="481">
        <f t="shared" si="61"/>
        <v>398</v>
      </c>
    </row>
    <row r="985" spans="1:17" outlineLevel="2" x14ac:dyDescent="0.3">
      <c r="A985" s="366" t="str">
        <f>IFERROR(VLOOKUP(RIGHT(E985,3)+0,[1]SchLocTable!$A$2:$B$47,2,FALSE)," ")</f>
        <v>Central HS</v>
      </c>
      <c r="B985" s="366" t="str">
        <f>VLOOKUP(VALUE(D985),$D$3:F$106,3,FALSE)</f>
        <v>Supplementary Supplies</v>
      </c>
      <c r="C985" t="s">
        <v>314</v>
      </c>
      <c r="D985">
        <v>806</v>
      </c>
      <c r="E985" t="s">
        <v>506</v>
      </c>
      <c r="F985" t="s">
        <v>334</v>
      </c>
      <c r="G985" t="s">
        <v>319</v>
      </c>
      <c r="H985" s="502">
        <v>51400</v>
      </c>
      <c r="I985" s="415">
        <v>0</v>
      </c>
      <c r="J985" s="415">
        <v>960.84</v>
      </c>
      <c r="K985" s="415">
        <v>420</v>
      </c>
      <c r="L985" s="415">
        <v>0</v>
      </c>
      <c r="M985" s="415">
        <v>0</v>
      </c>
      <c r="N985" s="415">
        <v>915.09</v>
      </c>
      <c r="O985" s="415">
        <v>0</v>
      </c>
      <c r="P985" s="415">
        <v>0</v>
      </c>
      <c r="Q985" s="481">
        <f t="shared" si="61"/>
        <v>960.84</v>
      </c>
    </row>
    <row r="986" spans="1:17" outlineLevel="2" x14ac:dyDescent="0.3">
      <c r="A986" s="366" t="str">
        <f>IFERROR(VLOOKUP(RIGHT(E986,3)+0,[1]SchLocTable!$A$2:$B$47,2,FALSE)," ")</f>
        <v>Central HS</v>
      </c>
      <c r="B986" s="366" t="str">
        <f>VLOOKUP(VALUE(D986),$D$3:F$106,3,FALSE)</f>
        <v>Supplementary Supplies</v>
      </c>
      <c r="C986" t="s">
        <v>314</v>
      </c>
      <c r="D986">
        <v>806</v>
      </c>
      <c r="E986" t="s">
        <v>506</v>
      </c>
      <c r="F986" t="s">
        <v>320</v>
      </c>
      <c r="G986" t="s">
        <v>319</v>
      </c>
      <c r="H986" s="502">
        <v>52360</v>
      </c>
      <c r="I986" s="415">
        <v>0</v>
      </c>
      <c r="J986" s="415">
        <v>0</v>
      </c>
      <c r="K986" s="415">
        <v>6.09</v>
      </c>
      <c r="L986" s="415">
        <v>0</v>
      </c>
      <c r="M986" s="415">
        <v>0</v>
      </c>
      <c r="N986" s="415">
        <v>21.23</v>
      </c>
      <c r="O986" s="415">
        <v>0</v>
      </c>
      <c r="P986" s="415">
        <v>32.74</v>
      </c>
      <c r="Q986" s="481">
        <f t="shared" si="61"/>
        <v>0</v>
      </c>
    </row>
    <row r="987" spans="1:17" outlineLevel="2" x14ac:dyDescent="0.3">
      <c r="A987" s="366" t="str">
        <f>IFERROR(VLOOKUP(RIGHT(E987,3)+0,[1]SchLocTable!$A$2:$B$47,2,FALSE)," ")</f>
        <v>Central HS</v>
      </c>
      <c r="B987" s="366" t="str">
        <f>VLOOKUP(VALUE(D987),$D$3:F$106,3,FALSE)</f>
        <v>Supplementary Supplies</v>
      </c>
      <c r="C987" t="s">
        <v>314</v>
      </c>
      <c r="D987">
        <v>806</v>
      </c>
      <c r="E987" t="s">
        <v>506</v>
      </c>
      <c r="F987" t="s">
        <v>473</v>
      </c>
      <c r="G987" t="s">
        <v>319</v>
      </c>
      <c r="H987" s="502">
        <v>53605</v>
      </c>
      <c r="I987" s="415">
        <v>585</v>
      </c>
      <c r="J987" s="415">
        <v>785</v>
      </c>
      <c r="K987" s="415">
        <v>585</v>
      </c>
      <c r="L987" s="415">
        <v>400</v>
      </c>
      <c r="M987" s="415">
        <v>785</v>
      </c>
      <c r="N987" s="415">
        <v>5390</v>
      </c>
      <c r="O987" s="415">
        <v>496</v>
      </c>
      <c r="P987" s="415">
        <v>2035</v>
      </c>
      <c r="Q987" s="481">
        <f t="shared" si="61"/>
        <v>200</v>
      </c>
    </row>
    <row r="988" spans="1:17" outlineLevel="2" x14ac:dyDescent="0.3">
      <c r="A988" s="366" t="str">
        <f>IFERROR(VLOOKUP(RIGHT(E988,3)+0,[1]SchLocTable!$A$2:$B$47,2,FALSE)," ")</f>
        <v>Central HS</v>
      </c>
      <c r="B988" s="366" t="str">
        <f>VLOOKUP(VALUE(D988),$D$3:F$106,3,FALSE)</f>
        <v>Supplementary Supplies</v>
      </c>
      <c r="C988" t="s">
        <v>314</v>
      </c>
      <c r="D988">
        <v>806</v>
      </c>
      <c r="E988" t="s">
        <v>506</v>
      </c>
      <c r="F988" t="s">
        <v>458</v>
      </c>
      <c r="G988" t="s">
        <v>319</v>
      </c>
      <c r="H988" s="502">
        <v>54675</v>
      </c>
      <c r="I988" s="415">
        <v>0</v>
      </c>
      <c r="J988" s="415">
        <v>5992.92</v>
      </c>
      <c r="K988" s="415">
        <v>0</v>
      </c>
      <c r="L988" s="415">
        <v>0</v>
      </c>
      <c r="M988" s="415">
        <v>0</v>
      </c>
      <c r="N988" s="415">
        <v>0</v>
      </c>
      <c r="O988" s="415">
        <v>0</v>
      </c>
      <c r="P988" s="415">
        <v>0</v>
      </c>
      <c r="Q988" s="481">
        <f t="shared" si="61"/>
        <v>5992.92</v>
      </c>
    </row>
    <row r="989" spans="1:17" outlineLevel="2" x14ac:dyDescent="0.3">
      <c r="A989" s="366" t="str">
        <f>IFERROR(VLOOKUP(RIGHT(E989,3)+0,[1]SchLocTable!$A$2:$B$47,2,FALSE)," ")</f>
        <v>Central HS</v>
      </c>
      <c r="B989" s="366" t="str">
        <f>VLOOKUP(VALUE(D989),$D$3:F$106,3,FALSE)</f>
        <v>Supplementary Supplies</v>
      </c>
      <c r="C989" t="s">
        <v>314</v>
      </c>
      <c r="D989">
        <v>806</v>
      </c>
      <c r="E989" t="s">
        <v>506</v>
      </c>
      <c r="F989" t="s">
        <v>464</v>
      </c>
      <c r="G989" t="s">
        <v>319</v>
      </c>
      <c r="H989" s="502">
        <v>56180</v>
      </c>
      <c r="I989" s="415">
        <v>9884</v>
      </c>
      <c r="J989" s="415">
        <v>9884</v>
      </c>
      <c r="K989" s="415">
        <v>11842.26</v>
      </c>
      <c r="L989" s="415">
        <v>5790</v>
      </c>
      <c r="M989" s="415">
        <v>11379</v>
      </c>
      <c r="N989" s="415">
        <v>8276</v>
      </c>
      <c r="O989" s="415">
        <v>10339.549999999999</v>
      </c>
      <c r="P989" s="415">
        <v>4797.32</v>
      </c>
      <c r="Q989" s="481">
        <f t="shared" si="61"/>
        <v>0</v>
      </c>
    </row>
    <row r="990" spans="1:17" outlineLevel="2" x14ac:dyDescent="0.3">
      <c r="A990" s="366" t="str">
        <f>IFERROR(VLOOKUP(RIGHT(E990,3)+0,[1]SchLocTable!$A$2:$B$47,2,FALSE)," ")</f>
        <v>Central HS</v>
      </c>
      <c r="B990" s="366" t="str">
        <f>VLOOKUP(VALUE(D990),$D$3:F$106,3,FALSE)</f>
        <v>Supplementary Supplies</v>
      </c>
      <c r="C990" t="s">
        <v>314</v>
      </c>
      <c r="D990">
        <v>806</v>
      </c>
      <c r="E990" t="s">
        <v>506</v>
      </c>
      <c r="F990" t="s">
        <v>463</v>
      </c>
      <c r="G990" t="s">
        <v>319</v>
      </c>
      <c r="H990" s="502">
        <v>54725</v>
      </c>
      <c r="I990" s="415">
        <v>85.6</v>
      </c>
      <c r="J990" s="415">
        <v>1067.72</v>
      </c>
      <c r="K990" s="415">
        <v>2295.59</v>
      </c>
      <c r="L990" s="415">
        <v>2585.58</v>
      </c>
      <c r="M990" s="415">
        <v>1167.6400000000001</v>
      </c>
      <c r="N990" s="415">
        <v>1551.55</v>
      </c>
      <c r="O990" s="415">
        <v>1170.96</v>
      </c>
      <c r="P990" s="415">
        <v>4375.91</v>
      </c>
      <c r="Q990" s="481">
        <f t="shared" si="61"/>
        <v>982.12</v>
      </c>
    </row>
    <row r="991" spans="1:17" outlineLevel="2" x14ac:dyDescent="0.3">
      <c r="A991" s="366" t="str">
        <f>IFERROR(VLOOKUP(RIGHT(E991,3)+0,[1]SchLocTable!$A$2:$B$47,2,FALSE)," ")</f>
        <v>Central HS</v>
      </c>
      <c r="B991" s="366" t="str">
        <f>VLOOKUP(VALUE(D991),$D$3:F$106,3,FALSE)</f>
        <v>Supplementary Supplies</v>
      </c>
      <c r="C991" t="s">
        <v>314</v>
      </c>
      <c r="D991">
        <v>806</v>
      </c>
      <c r="E991" t="s">
        <v>506</v>
      </c>
      <c r="F991" t="s">
        <v>457</v>
      </c>
      <c r="G991" t="s">
        <v>319</v>
      </c>
      <c r="H991" s="502">
        <v>54580</v>
      </c>
      <c r="I991" s="415">
        <v>9125.27</v>
      </c>
      <c r="J991" s="415">
        <v>27486.52</v>
      </c>
      <c r="K991" s="415">
        <v>27037.89</v>
      </c>
      <c r="L991" s="415">
        <v>20427.11</v>
      </c>
      <c r="M991" s="415">
        <v>14813.54</v>
      </c>
      <c r="N991" s="415">
        <v>5729.72</v>
      </c>
      <c r="O991" s="415">
        <v>12707.27</v>
      </c>
      <c r="P991" s="415">
        <v>13458.63</v>
      </c>
      <c r="Q991" s="481">
        <f t="shared" si="61"/>
        <v>18361.25</v>
      </c>
    </row>
    <row r="992" spans="1:17" outlineLevel="2" x14ac:dyDescent="0.3">
      <c r="A992" s="366" t="str">
        <f>IFERROR(VLOOKUP(RIGHT(E992,3)+0,[1]SchLocTable!$A$2:$B$47,2,FALSE)," ")</f>
        <v>Harding HS</v>
      </c>
      <c r="B992" s="366" t="str">
        <f>VLOOKUP(VALUE(D992),$D$3:F$106,3,FALSE)</f>
        <v>Supplementary Supplies</v>
      </c>
      <c r="C992" t="s">
        <v>314</v>
      </c>
      <c r="D992">
        <v>806</v>
      </c>
      <c r="E992" t="s">
        <v>507</v>
      </c>
      <c r="F992" t="s">
        <v>474</v>
      </c>
      <c r="G992" t="s">
        <v>319</v>
      </c>
      <c r="H992" s="502">
        <v>54550</v>
      </c>
      <c r="I992" s="415">
        <v>0</v>
      </c>
      <c r="J992" s="415">
        <v>520</v>
      </c>
      <c r="K992" s="415">
        <v>0</v>
      </c>
      <c r="L992" s="415">
        <v>0</v>
      </c>
      <c r="M992" s="415">
        <v>0</v>
      </c>
      <c r="N992" s="415">
        <v>0</v>
      </c>
      <c r="O992" s="415">
        <v>0</v>
      </c>
      <c r="P992" s="415">
        <v>0</v>
      </c>
      <c r="Q992" s="481">
        <f t="shared" si="61"/>
        <v>520</v>
      </c>
    </row>
    <row r="993" spans="1:17" outlineLevel="2" x14ac:dyDescent="0.3">
      <c r="A993" s="366" t="str">
        <f>IFERROR(VLOOKUP(RIGHT(E993,3)+0,[1]SchLocTable!$A$2:$B$47,2,FALSE)," ")</f>
        <v>Harding HS</v>
      </c>
      <c r="B993" s="366" t="str">
        <f>VLOOKUP(VALUE(D993),$D$3:F$106,3,FALSE)</f>
        <v>Supplementary Supplies</v>
      </c>
      <c r="C993" t="s">
        <v>314</v>
      </c>
      <c r="D993">
        <v>806</v>
      </c>
      <c r="E993" t="s">
        <v>507</v>
      </c>
      <c r="F993" t="s">
        <v>334</v>
      </c>
      <c r="G993" t="s">
        <v>319</v>
      </c>
      <c r="H993" s="502">
        <v>51400</v>
      </c>
      <c r="I993" s="415">
        <v>9181.5360000000001</v>
      </c>
      <c r="J993" s="415">
        <v>0</v>
      </c>
      <c r="K993" s="415">
        <v>1183</v>
      </c>
      <c r="L993" s="415">
        <v>462</v>
      </c>
      <c r="M993" s="415">
        <v>0</v>
      </c>
      <c r="N993" s="415">
        <v>0</v>
      </c>
      <c r="O993" s="415">
        <v>0</v>
      </c>
      <c r="P993" s="415">
        <v>0</v>
      </c>
      <c r="Q993" s="481">
        <f t="shared" si="61"/>
        <v>-9181.5360000000001</v>
      </c>
    </row>
    <row r="994" spans="1:17" outlineLevel="2" x14ac:dyDescent="0.3">
      <c r="A994" s="366" t="str">
        <f>IFERROR(VLOOKUP(RIGHT(E994,3)+0,[1]SchLocTable!$A$2:$B$47,2,FALSE)," ")</f>
        <v>Harding HS</v>
      </c>
      <c r="B994" s="366" t="str">
        <f>VLOOKUP(VALUE(D994),$D$3:F$106,3,FALSE)</f>
        <v>Supplementary Supplies</v>
      </c>
      <c r="C994" t="s">
        <v>314</v>
      </c>
      <c r="D994">
        <v>806</v>
      </c>
      <c r="E994" t="s">
        <v>507</v>
      </c>
      <c r="F994" t="s">
        <v>320</v>
      </c>
      <c r="G994" t="s">
        <v>319</v>
      </c>
      <c r="H994" s="502">
        <v>52360</v>
      </c>
      <c r="I994" s="415">
        <v>133.132272</v>
      </c>
      <c r="J994" s="415">
        <v>0</v>
      </c>
      <c r="K994" s="415">
        <v>17.149999999999999</v>
      </c>
      <c r="L994" s="415">
        <v>6.7</v>
      </c>
      <c r="M994" s="415">
        <v>0</v>
      </c>
      <c r="N994" s="415">
        <v>65.760000000000005</v>
      </c>
      <c r="O994" s="415">
        <v>9.4700000000000006</v>
      </c>
      <c r="P994" s="415">
        <v>30.62</v>
      </c>
      <c r="Q994" s="481">
        <f t="shared" si="61"/>
        <v>-133.132272</v>
      </c>
    </row>
    <row r="995" spans="1:17" outlineLevel="2" x14ac:dyDescent="0.3">
      <c r="A995" s="366" t="str">
        <f>IFERROR(VLOOKUP(RIGHT(E995,3)+0,[1]SchLocTable!$A$2:$B$47,2,FALSE)," ")</f>
        <v>Harding HS</v>
      </c>
      <c r="B995" s="366" t="str">
        <f>VLOOKUP(VALUE(D995),$D$3:F$106,3,FALSE)</f>
        <v>Supplementary Supplies</v>
      </c>
      <c r="C995" t="s">
        <v>314</v>
      </c>
      <c r="D995">
        <v>806</v>
      </c>
      <c r="E995" t="s">
        <v>507</v>
      </c>
      <c r="F995" t="s">
        <v>473</v>
      </c>
      <c r="G995" t="s">
        <v>319</v>
      </c>
      <c r="H995" s="502">
        <v>53605</v>
      </c>
      <c r="I995" s="415">
        <v>0</v>
      </c>
      <c r="J995" s="415">
        <v>250</v>
      </c>
      <c r="K995" s="415">
        <v>0</v>
      </c>
      <c r="L995" s="415">
        <v>0</v>
      </c>
      <c r="M995" s="415">
        <v>0</v>
      </c>
      <c r="N995" s="415">
        <v>0</v>
      </c>
      <c r="O995" s="415">
        <v>385</v>
      </c>
      <c r="P995" s="415">
        <v>0</v>
      </c>
      <c r="Q995" s="481">
        <f t="shared" si="61"/>
        <v>250</v>
      </c>
    </row>
    <row r="996" spans="1:17" outlineLevel="2" x14ac:dyDescent="0.3">
      <c r="A996" s="366" t="str">
        <f>IFERROR(VLOOKUP(RIGHT(E996,3)+0,[1]SchLocTable!$A$2:$B$47,2,FALSE)," ")</f>
        <v>Harding HS</v>
      </c>
      <c r="B996" s="366" t="str">
        <f>VLOOKUP(VALUE(D996),$D$3:F$106,3,FALSE)</f>
        <v>Supplementary Supplies</v>
      </c>
      <c r="C996" t="s">
        <v>314</v>
      </c>
      <c r="D996">
        <v>806</v>
      </c>
      <c r="E996" t="s">
        <v>507</v>
      </c>
      <c r="F996" t="s">
        <v>458</v>
      </c>
      <c r="G996" t="s">
        <v>319</v>
      </c>
      <c r="H996" s="502">
        <v>54675</v>
      </c>
      <c r="I996" s="415">
        <v>0</v>
      </c>
      <c r="J996" s="415">
        <v>6277.97</v>
      </c>
      <c r="K996" s="415">
        <v>0</v>
      </c>
      <c r="L996" s="415">
        <v>0</v>
      </c>
      <c r="M996" s="415">
        <v>0</v>
      </c>
      <c r="N996" s="415">
        <v>0</v>
      </c>
      <c r="O996" s="415">
        <v>0</v>
      </c>
      <c r="P996" s="415">
        <v>0</v>
      </c>
      <c r="Q996" s="481">
        <f t="shared" si="61"/>
        <v>6277.97</v>
      </c>
    </row>
    <row r="997" spans="1:17" outlineLevel="2" x14ac:dyDescent="0.3">
      <c r="A997" s="366" t="str">
        <f>IFERROR(VLOOKUP(RIGHT(E997,3)+0,[1]SchLocTable!$A$2:$B$47,2,FALSE)," ")</f>
        <v>Harding HS</v>
      </c>
      <c r="B997" s="366" t="str">
        <f>VLOOKUP(VALUE(D997),$D$3:F$106,3,FALSE)</f>
        <v>Supplementary Supplies</v>
      </c>
      <c r="C997" t="s">
        <v>314</v>
      </c>
      <c r="D997">
        <v>806</v>
      </c>
      <c r="E997" t="s">
        <v>507</v>
      </c>
      <c r="F997" t="s">
        <v>464</v>
      </c>
      <c r="G997" t="s">
        <v>319</v>
      </c>
      <c r="H997" s="502">
        <v>56180</v>
      </c>
      <c r="I997" s="415">
        <v>6264.37</v>
      </c>
      <c r="J997" s="415">
        <v>6264.37</v>
      </c>
      <c r="K997" s="415">
        <v>2835</v>
      </c>
      <c r="L997" s="415">
        <v>5770.6</v>
      </c>
      <c r="M997" s="415">
        <v>7108.5</v>
      </c>
      <c r="N997" s="415">
        <v>4739</v>
      </c>
      <c r="O997" s="415">
        <v>5218</v>
      </c>
      <c r="P997" s="415">
        <v>398</v>
      </c>
      <c r="Q997" s="481">
        <f t="shared" si="61"/>
        <v>0</v>
      </c>
    </row>
    <row r="998" spans="1:17" outlineLevel="2" x14ac:dyDescent="0.3">
      <c r="A998" s="366" t="str">
        <f>IFERROR(VLOOKUP(RIGHT(E998,3)+0,[1]SchLocTable!$A$2:$B$47,2,FALSE)," ")</f>
        <v>Harding HS</v>
      </c>
      <c r="B998" s="366" t="str">
        <f>VLOOKUP(VALUE(D998),$D$3:F$106,3,FALSE)</f>
        <v>Supplementary Supplies</v>
      </c>
      <c r="C998" t="s">
        <v>314</v>
      </c>
      <c r="D998">
        <v>806</v>
      </c>
      <c r="E998" t="s">
        <v>507</v>
      </c>
      <c r="F998" t="s">
        <v>463</v>
      </c>
      <c r="G998" t="s">
        <v>319</v>
      </c>
      <c r="H998" s="502">
        <v>54725</v>
      </c>
      <c r="I998" s="415">
        <v>1891.39</v>
      </c>
      <c r="J998" s="415">
        <v>2393.1</v>
      </c>
      <c r="K998" s="415">
        <v>1443.3</v>
      </c>
      <c r="L998" s="415">
        <v>1267.74</v>
      </c>
      <c r="M998" s="415">
        <v>632.99</v>
      </c>
      <c r="N998" s="415">
        <v>860.96</v>
      </c>
      <c r="O998" s="415">
        <v>1353.76</v>
      </c>
      <c r="P998" s="415">
        <v>1979.19</v>
      </c>
      <c r="Q998" s="481">
        <f t="shared" si="61"/>
        <v>501.70999999999981</v>
      </c>
    </row>
    <row r="999" spans="1:17" outlineLevel="2" x14ac:dyDescent="0.3">
      <c r="A999" s="366" t="str">
        <f>IFERROR(VLOOKUP(RIGHT(E999,3)+0,[1]SchLocTable!$A$2:$B$47,2,FALSE)," ")</f>
        <v>Harding HS</v>
      </c>
      <c r="B999" s="366" t="str">
        <f>VLOOKUP(VALUE(D999),$D$3:F$106,3,FALSE)</f>
        <v>Supplementary Supplies</v>
      </c>
      <c r="C999" t="s">
        <v>314</v>
      </c>
      <c r="D999">
        <v>806</v>
      </c>
      <c r="E999" t="s">
        <v>507</v>
      </c>
      <c r="F999" t="s">
        <v>480</v>
      </c>
      <c r="G999" t="s">
        <v>319</v>
      </c>
      <c r="H999" s="502">
        <v>55075</v>
      </c>
      <c r="I999" s="415">
        <v>0</v>
      </c>
      <c r="J999" s="415">
        <v>1121.7</v>
      </c>
      <c r="K999" s="415">
        <v>0</v>
      </c>
      <c r="L999" s="415">
        <v>0</v>
      </c>
      <c r="M999" s="415">
        <v>0</v>
      </c>
      <c r="N999" s="415">
        <v>0</v>
      </c>
      <c r="O999" s="415">
        <v>0</v>
      </c>
      <c r="P999" s="415">
        <v>0</v>
      </c>
      <c r="Q999" s="481">
        <f t="shared" si="61"/>
        <v>1121.7</v>
      </c>
    </row>
    <row r="1000" spans="1:17" outlineLevel="2" x14ac:dyDescent="0.3">
      <c r="A1000" s="366" t="str">
        <f>IFERROR(VLOOKUP(RIGHT(E1000,3)+0,[1]SchLocTable!$A$2:$B$47,2,FALSE)," ")</f>
        <v>Harding HS</v>
      </c>
      <c r="B1000" s="366" t="str">
        <f>VLOOKUP(VALUE(D1000),$D$3:F$106,3,FALSE)</f>
        <v>Supplementary Supplies</v>
      </c>
      <c r="C1000" t="s">
        <v>314</v>
      </c>
      <c r="D1000">
        <v>806</v>
      </c>
      <c r="E1000" t="s">
        <v>507</v>
      </c>
      <c r="F1000" t="s">
        <v>457</v>
      </c>
      <c r="G1000" t="s">
        <v>319</v>
      </c>
      <c r="H1000" s="502">
        <v>54580</v>
      </c>
      <c r="I1000" s="415">
        <v>7337.43</v>
      </c>
      <c r="J1000" s="415">
        <v>16426.23</v>
      </c>
      <c r="K1000" s="415">
        <v>21834.78</v>
      </c>
      <c r="L1000" s="415">
        <v>11699.4</v>
      </c>
      <c r="M1000" s="415">
        <v>15320.62</v>
      </c>
      <c r="N1000" s="415">
        <v>5583.41</v>
      </c>
      <c r="O1000" s="415">
        <v>12489.17</v>
      </c>
      <c r="P1000" s="415">
        <v>14968.87</v>
      </c>
      <c r="Q1000" s="481">
        <f t="shared" si="61"/>
        <v>9088.7999999999993</v>
      </c>
    </row>
    <row r="1001" spans="1:17" outlineLevel="2" x14ac:dyDescent="0.3">
      <c r="A1001" s="366" t="str">
        <f>IFERROR(VLOOKUP(RIGHT(E1001,3)+0,[1]SchLocTable!$A$2:$B$47,2,FALSE)," ")</f>
        <v>Harding HS</v>
      </c>
      <c r="B1001" s="366" t="str">
        <f>VLOOKUP(VALUE(D1001),$D$3:F$106,3,FALSE)</f>
        <v>Supplementary Supplies</v>
      </c>
      <c r="C1001" t="s">
        <v>314</v>
      </c>
      <c r="D1001">
        <v>806</v>
      </c>
      <c r="E1001" t="s">
        <v>507</v>
      </c>
      <c r="F1001" t="s">
        <v>465</v>
      </c>
      <c r="G1001" t="s">
        <v>319</v>
      </c>
      <c r="H1001" s="502">
        <v>56240</v>
      </c>
      <c r="I1001" s="415">
        <v>0</v>
      </c>
      <c r="J1001" s="415">
        <v>396.63</v>
      </c>
      <c r="K1001" s="415">
        <v>200</v>
      </c>
      <c r="L1001" s="415">
        <v>410.5</v>
      </c>
      <c r="M1001" s="415">
        <v>0</v>
      </c>
      <c r="N1001" s="415">
        <v>0</v>
      </c>
      <c r="O1001" s="415">
        <v>0</v>
      </c>
      <c r="P1001" s="415">
        <v>0</v>
      </c>
      <c r="Q1001" s="481">
        <f t="shared" si="61"/>
        <v>396.63</v>
      </c>
    </row>
    <row r="1002" spans="1:17" outlineLevel="2" x14ac:dyDescent="0.3">
      <c r="A1002" s="366" t="str">
        <f>IFERROR(VLOOKUP(RIGHT(E1002,3)+0,[1]SchLocTable!$A$2:$B$47,2,FALSE)," ")</f>
        <v>Harding HS</v>
      </c>
      <c r="B1002" s="366" t="str">
        <f>VLOOKUP(VALUE(D1002),$D$3:F$106,3,FALSE)</f>
        <v>Supplementary Supplies</v>
      </c>
      <c r="C1002" t="s">
        <v>314</v>
      </c>
      <c r="D1002">
        <v>806</v>
      </c>
      <c r="E1002" t="s">
        <v>507</v>
      </c>
      <c r="F1002" t="s">
        <v>912</v>
      </c>
      <c r="G1002" t="s">
        <v>319</v>
      </c>
      <c r="H1002" s="502">
        <v>54745</v>
      </c>
      <c r="I1002" s="415">
        <v>0</v>
      </c>
      <c r="J1002" s="415">
        <v>825</v>
      </c>
      <c r="K1002" s="415">
        <v>0</v>
      </c>
      <c r="L1002" s="415">
        <v>0</v>
      </c>
      <c r="M1002" s="415">
        <v>0</v>
      </c>
      <c r="N1002" s="415">
        <v>0</v>
      </c>
      <c r="O1002" s="415">
        <v>0</v>
      </c>
      <c r="P1002" s="415">
        <v>0</v>
      </c>
      <c r="Q1002" s="481">
        <f t="shared" si="61"/>
        <v>825</v>
      </c>
    </row>
    <row r="1003" spans="1:17" outlineLevel="2" x14ac:dyDescent="0.3">
      <c r="A1003" s="366" t="str">
        <f>IFERROR(VLOOKUP(RIGHT(E1003,3)+0,[1]SchLocTable!$A$2:$B$47,2,FALSE)," ")</f>
        <v>Barnum</v>
      </c>
      <c r="B1003" s="366" t="str">
        <f>VLOOKUP(VALUE(D1003),$D$3:F$106,3,FALSE)</f>
        <v>Kindergarten Teachers</v>
      </c>
      <c r="C1003" t="s">
        <v>314</v>
      </c>
      <c r="D1003">
        <v>809</v>
      </c>
      <c r="E1003" t="s">
        <v>508</v>
      </c>
      <c r="F1003" t="s">
        <v>316</v>
      </c>
      <c r="G1003">
        <v>2</v>
      </c>
      <c r="H1003" s="502">
        <v>51000</v>
      </c>
      <c r="I1003" s="415">
        <v>0</v>
      </c>
      <c r="J1003" s="415">
        <v>190786</v>
      </c>
      <c r="K1003" s="415">
        <v>186529.2</v>
      </c>
      <c r="L1003" s="415">
        <v>131410.51999999999</v>
      </c>
      <c r="M1003" s="415">
        <v>78578.61</v>
      </c>
      <c r="N1003" s="415">
        <v>114460.94</v>
      </c>
      <c r="O1003" s="415">
        <v>134691.04</v>
      </c>
      <c r="P1003" s="415">
        <v>67780.22</v>
      </c>
      <c r="Q1003" s="481">
        <f t="shared" si="61"/>
        <v>190786</v>
      </c>
    </row>
    <row r="1004" spans="1:17" outlineLevel="2" x14ac:dyDescent="0.3">
      <c r="A1004" s="366" t="str">
        <f>IFERROR(VLOOKUP(RIGHT(E1004,3)+0,[1]SchLocTable!$A$2:$B$47,2,FALSE)," ")</f>
        <v>Barnum</v>
      </c>
      <c r="B1004" s="366" t="str">
        <f>VLOOKUP(VALUE(D1004),$D$3:F$106,3,FALSE)</f>
        <v>Kindergarten Teachers</v>
      </c>
      <c r="C1004" t="s">
        <v>314</v>
      </c>
      <c r="D1004">
        <v>809</v>
      </c>
      <c r="E1004" t="s">
        <v>508</v>
      </c>
      <c r="F1004" t="s">
        <v>321</v>
      </c>
      <c r="G1004" t="s">
        <v>319</v>
      </c>
      <c r="H1004" s="502">
        <v>52917</v>
      </c>
      <c r="I1004" s="415">
        <v>0</v>
      </c>
      <c r="J1004" s="415">
        <v>31370.22</v>
      </c>
      <c r="K1004" s="415">
        <v>39428.800000000003</v>
      </c>
      <c r="L1004" s="415">
        <v>0</v>
      </c>
      <c r="M1004" s="415">
        <v>10956.75</v>
      </c>
      <c r="N1004" s="415">
        <v>10232.879999999999</v>
      </c>
      <c r="O1004" s="415">
        <v>9817.68</v>
      </c>
      <c r="P1004" s="415">
        <v>9245.67</v>
      </c>
      <c r="Q1004" s="481">
        <f t="shared" si="61"/>
        <v>31370.22</v>
      </c>
    </row>
    <row r="1005" spans="1:17" outlineLevel="2" x14ac:dyDescent="0.3">
      <c r="A1005" s="366" t="str">
        <f>IFERROR(VLOOKUP(RIGHT(E1005,3)+0,[1]SchLocTable!$A$2:$B$47,2,FALSE)," ")</f>
        <v>Barnum</v>
      </c>
      <c r="B1005" s="366" t="str">
        <f>VLOOKUP(VALUE(D1005),$D$3:F$106,3,FALSE)</f>
        <v>Kindergarten Teachers</v>
      </c>
      <c r="C1005" t="s">
        <v>314</v>
      </c>
      <c r="D1005">
        <v>809</v>
      </c>
      <c r="E1005" t="s">
        <v>508</v>
      </c>
      <c r="F1005" t="s">
        <v>318</v>
      </c>
      <c r="G1005" t="s">
        <v>319</v>
      </c>
      <c r="H1005" s="502">
        <v>51140</v>
      </c>
      <c r="I1005" s="415">
        <v>0</v>
      </c>
      <c r="J1005" s="415">
        <v>0</v>
      </c>
      <c r="K1005" s="415">
        <v>0</v>
      </c>
      <c r="L1005" s="415">
        <v>3100</v>
      </c>
      <c r="M1005" s="415">
        <v>900</v>
      </c>
      <c r="N1005" s="415">
        <v>900</v>
      </c>
      <c r="O1005" s="415">
        <v>900</v>
      </c>
      <c r="P1005" s="415">
        <v>0</v>
      </c>
      <c r="Q1005" s="481">
        <f t="shared" si="61"/>
        <v>0</v>
      </c>
    </row>
    <row r="1006" spans="1:17" outlineLevel="2" x14ac:dyDescent="0.3">
      <c r="A1006" s="366" t="str">
        <f>IFERROR(VLOOKUP(RIGHT(E1006,3)+0,[1]SchLocTable!$A$2:$B$47,2,FALSE)," ")</f>
        <v>Barnum</v>
      </c>
      <c r="B1006" s="366" t="str">
        <f>VLOOKUP(VALUE(D1006),$D$3:F$106,3,FALSE)</f>
        <v>Kindergarten Teachers</v>
      </c>
      <c r="C1006" t="s">
        <v>314</v>
      </c>
      <c r="D1006">
        <v>809</v>
      </c>
      <c r="E1006" t="s">
        <v>508</v>
      </c>
      <c r="F1006" t="s">
        <v>320</v>
      </c>
      <c r="G1006" t="s">
        <v>319</v>
      </c>
      <c r="H1006" s="502">
        <v>52360</v>
      </c>
      <c r="I1006" s="415">
        <v>0</v>
      </c>
      <c r="J1006" s="415">
        <v>2596</v>
      </c>
      <c r="K1006" s="415">
        <v>3160.28</v>
      </c>
      <c r="L1006" s="415">
        <v>3412.34</v>
      </c>
      <c r="M1006" s="415">
        <v>3478.37</v>
      </c>
      <c r="N1006" s="415">
        <v>3292.46</v>
      </c>
      <c r="O1006" s="415">
        <v>3089.8</v>
      </c>
      <c r="P1006" s="415">
        <v>3030.36</v>
      </c>
      <c r="Q1006" s="481">
        <f t="shared" si="61"/>
        <v>2596</v>
      </c>
    </row>
    <row r="1007" spans="1:17" outlineLevel="2" x14ac:dyDescent="0.3">
      <c r="A1007" s="366" t="str">
        <f>IFERROR(VLOOKUP(RIGHT(E1007,3)+0,[1]SchLocTable!$A$2:$B$47,2,FALSE)," ")</f>
        <v>Barnum</v>
      </c>
      <c r="B1007" s="366" t="str">
        <f>VLOOKUP(VALUE(D1007),$D$3:F$106,3,FALSE)</f>
        <v>Kindergarten Teachers</v>
      </c>
      <c r="C1007" t="s">
        <v>314</v>
      </c>
      <c r="D1007">
        <v>809</v>
      </c>
      <c r="E1007" t="s">
        <v>508</v>
      </c>
      <c r="F1007" t="s">
        <v>324</v>
      </c>
      <c r="G1007" t="s">
        <v>319</v>
      </c>
      <c r="H1007" s="502">
        <v>52385</v>
      </c>
      <c r="I1007" s="415">
        <v>0</v>
      </c>
      <c r="J1007" s="415">
        <v>0</v>
      </c>
      <c r="K1007" s="415">
        <v>2440.64</v>
      </c>
      <c r="L1007" s="415">
        <v>0</v>
      </c>
      <c r="M1007" s="415">
        <v>0</v>
      </c>
      <c r="N1007" s="415">
        <v>0</v>
      </c>
      <c r="O1007" s="415">
        <v>0</v>
      </c>
      <c r="P1007" s="415">
        <v>0</v>
      </c>
      <c r="Q1007" s="481">
        <f t="shared" si="61"/>
        <v>0</v>
      </c>
    </row>
    <row r="1008" spans="1:17" outlineLevel="2" x14ac:dyDescent="0.3">
      <c r="A1008" s="366" t="str">
        <f>IFERROR(VLOOKUP(RIGHT(E1008,3)+0,[1]SchLocTable!$A$2:$B$47,2,FALSE)," ")</f>
        <v>Beardsley</v>
      </c>
      <c r="B1008" s="366" t="str">
        <f>VLOOKUP(VALUE(D1008),$D$3:F$106,3,FALSE)</f>
        <v>Kindergarten Teachers</v>
      </c>
      <c r="C1008" t="s">
        <v>314</v>
      </c>
      <c r="D1008">
        <v>809</v>
      </c>
      <c r="E1008" t="s">
        <v>509</v>
      </c>
      <c r="F1008" t="s">
        <v>316</v>
      </c>
      <c r="G1008">
        <v>1</v>
      </c>
      <c r="H1008" s="502">
        <v>51000</v>
      </c>
      <c r="I1008" s="415">
        <v>0</v>
      </c>
      <c r="J1008" s="415">
        <v>63972</v>
      </c>
      <c r="K1008" s="415">
        <v>46881.599999999999</v>
      </c>
      <c r="L1008" s="415">
        <v>37335.300000000003</v>
      </c>
      <c r="M1008" s="415">
        <v>30908.560000000001</v>
      </c>
      <c r="N1008" s="415">
        <v>25267.95</v>
      </c>
      <c r="O1008" s="415">
        <v>58387.51</v>
      </c>
      <c r="P1008" s="415">
        <v>94593.96</v>
      </c>
      <c r="Q1008" s="481">
        <f t="shared" si="61"/>
        <v>63972</v>
      </c>
    </row>
    <row r="1009" spans="1:17" outlineLevel="2" x14ac:dyDescent="0.3">
      <c r="A1009" s="366" t="str">
        <f>IFERROR(VLOOKUP(RIGHT(E1009,3)+0,[1]SchLocTable!$A$2:$B$47,2,FALSE)," ")</f>
        <v>Beardsley</v>
      </c>
      <c r="B1009" s="366" t="str">
        <f>VLOOKUP(VALUE(D1009),$D$3:F$106,3,FALSE)</f>
        <v>Kindergarten Teachers</v>
      </c>
      <c r="C1009" t="s">
        <v>314</v>
      </c>
      <c r="D1009">
        <v>809</v>
      </c>
      <c r="E1009" t="s">
        <v>509</v>
      </c>
      <c r="F1009" t="s">
        <v>321</v>
      </c>
      <c r="G1009" t="s">
        <v>319</v>
      </c>
      <c r="H1009" s="502">
        <v>52917</v>
      </c>
      <c r="I1009" s="415">
        <v>0</v>
      </c>
      <c r="J1009" s="415">
        <v>544</v>
      </c>
      <c r="K1009" s="415">
        <v>8617.42</v>
      </c>
      <c r="L1009" s="415">
        <v>384.44</v>
      </c>
      <c r="M1009" s="415">
        <v>428.19</v>
      </c>
      <c r="N1009" s="415">
        <v>479.64</v>
      </c>
      <c r="O1009" s="415">
        <v>39928.269999999997</v>
      </c>
      <c r="P1009" s="415">
        <v>45269.279999999999</v>
      </c>
      <c r="Q1009" s="481">
        <f t="shared" si="61"/>
        <v>544</v>
      </c>
    </row>
    <row r="1010" spans="1:17" outlineLevel="1" x14ac:dyDescent="0.3">
      <c r="A1010" s="366" t="str">
        <f>IFERROR(VLOOKUP(RIGHT(E1010,3)+0,[1]SchLocTable!$A$2:$B$47,2,FALSE)," ")</f>
        <v>Beardsley</v>
      </c>
      <c r="B1010" s="366" t="str">
        <f>VLOOKUP(VALUE(D1010),$D$3:F$106,3,FALSE)</f>
        <v>Kindergarten Teachers</v>
      </c>
      <c r="C1010" t="s">
        <v>314</v>
      </c>
      <c r="D1010">
        <v>809</v>
      </c>
      <c r="E1010" t="s">
        <v>509</v>
      </c>
      <c r="F1010" t="s">
        <v>318</v>
      </c>
      <c r="G1010" t="s">
        <v>319</v>
      </c>
      <c r="H1010" s="502">
        <v>51140</v>
      </c>
      <c r="I1010" s="415">
        <v>0</v>
      </c>
      <c r="J1010" s="415">
        <v>0</v>
      </c>
      <c r="K1010" s="415">
        <v>0</v>
      </c>
      <c r="L1010" s="415">
        <v>1800</v>
      </c>
      <c r="M1010" s="415">
        <v>0</v>
      </c>
      <c r="N1010" s="415">
        <v>0</v>
      </c>
      <c r="O1010" s="415">
        <v>3900</v>
      </c>
      <c r="P1010" s="415">
        <v>2600</v>
      </c>
      <c r="Q1010" s="481">
        <f t="shared" si="61"/>
        <v>0</v>
      </c>
    </row>
    <row r="1011" spans="1:17" outlineLevel="2" x14ac:dyDescent="0.3">
      <c r="A1011" s="366" t="str">
        <f>IFERROR(VLOOKUP(RIGHT(E1011,3)+0,[1]SchLocTable!$A$2:$B$47,2,FALSE)," ")</f>
        <v>Beardsley</v>
      </c>
      <c r="B1011" s="366" t="str">
        <f>VLOOKUP(VALUE(D1011),$D$3:F$106,3,FALSE)</f>
        <v>Kindergarten Teachers</v>
      </c>
      <c r="C1011" t="s">
        <v>314</v>
      </c>
      <c r="D1011">
        <v>809</v>
      </c>
      <c r="E1011" t="s">
        <v>509</v>
      </c>
      <c r="F1011" t="s">
        <v>320</v>
      </c>
      <c r="G1011" t="s">
        <v>319</v>
      </c>
      <c r="H1011" s="502">
        <v>52360</v>
      </c>
      <c r="I1011" s="415">
        <v>0</v>
      </c>
      <c r="J1011" s="415">
        <v>926</v>
      </c>
      <c r="K1011" s="415">
        <v>847.37</v>
      </c>
      <c r="L1011" s="415">
        <v>711.24</v>
      </c>
      <c r="M1011" s="415">
        <v>830.62</v>
      </c>
      <c r="N1011" s="415">
        <v>731.55</v>
      </c>
      <c r="O1011" s="415">
        <v>988.98</v>
      </c>
      <c r="P1011" s="415">
        <v>1306.24</v>
      </c>
      <c r="Q1011" s="481">
        <f t="shared" si="61"/>
        <v>926</v>
      </c>
    </row>
    <row r="1012" spans="1:17" outlineLevel="2" x14ac:dyDescent="0.3">
      <c r="A1012" s="366" t="str">
        <f>IFERROR(VLOOKUP(RIGHT(E1012,3)+0,[1]SchLocTable!$A$2:$B$47,2,FALSE)," ")</f>
        <v>Black Rock</v>
      </c>
      <c r="B1012" s="366" t="str">
        <f>VLOOKUP(VALUE(D1012),$D$3:F$106,3,FALSE)</f>
        <v>Kindergarten Teachers</v>
      </c>
      <c r="C1012" t="s">
        <v>314</v>
      </c>
      <c r="D1012">
        <v>809</v>
      </c>
      <c r="E1012" t="s">
        <v>510</v>
      </c>
      <c r="F1012" t="s">
        <v>316</v>
      </c>
      <c r="G1012" t="s">
        <v>319</v>
      </c>
      <c r="H1012" s="502">
        <v>51000</v>
      </c>
      <c r="I1012" s="415">
        <v>80000</v>
      </c>
      <c r="J1012" s="415">
        <v>200463</v>
      </c>
      <c r="K1012" s="415">
        <v>162920.5</v>
      </c>
      <c r="L1012" s="415">
        <v>54180</v>
      </c>
      <c r="M1012" s="415">
        <v>77043.42</v>
      </c>
      <c r="N1012" s="415">
        <v>70953.72</v>
      </c>
      <c r="O1012" s="415">
        <v>95271.1</v>
      </c>
      <c r="P1012" s="415">
        <v>163723.64000000001</v>
      </c>
      <c r="Q1012" s="481">
        <f t="shared" si="61"/>
        <v>120463</v>
      </c>
    </row>
    <row r="1013" spans="1:17" outlineLevel="2" x14ac:dyDescent="0.3">
      <c r="A1013" s="366" t="str">
        <f>IFERROR(VLOOKUP(RIGHT(E1013,3)+0,[1]SchLocTable!$A$2:$B$47,2,FALSE)," ")</f>
        <v>Black Rock</v>
      </c>
      <c r="B1013" s="366" t="str">
        <f>VLOOKUP(VALUE(D1013),$D$3:F$106,3,FALSE)</f>
        <v>Kindergarten Teachers</v>
      </c>
      <c r="C1013" t="s">
        <v>314</v>
      </c>
      <c r="D1013">
        <v>809</v>
      </c>
      <c r="E1013" t="s">
        <v>510</v>
      </c>
      <c r="F1013" t="s">
        <v>321</v>
      </c>
      <c r="G1013" t="s">
        <v>319</v>
      </c>
      <c r="H1013" s="502">
        <v>52917</v>
      </c>
      <c r="I1013" s="415">
        <v>32400</v>
      </c>
      <c r="J1013" s="415">
        <v>31370.22</v>
      </c>
      <c r="K1013" s="415">
        <v>37970.800000000003</v>
      </c>
      <c r="L1013" s="415">
        <v>22503.83</v>
      </c>
      <c r="M1013" s="415">
        <v>21909.3</v>
      </c>
      <c r="N1013" s="415">
        <v>20410.11</v>
      </c>
      <c r="O1013" s="415">
        <v>19635.36</v>
      </c>
      <c r="P1013" s="415">
        <v>40677.629999999997</v>
      </c>
      <c r="Q1013" s="481">
        <f t="shared" si="61"/>
        <v>-1029.7799999999988</v>
      </c>
    </row>
    <row r="1014" spans="1:17" outlineLevel="2" x14ac:dyDescent="0.3">
      <c r="A1014" s="366" t="str">
        <f>IFERROR(VLOOKUP(RIGHT(E1014,3)+0,[1]SchLocTable!$A$2:$B$47,2,FALSE)," ")</f>
        <v>Black Rock</v>
      </c>
      <c r="B1014" s="366" t="str">
        <f>VLOOKUP(VALUE(D1014),$D$3:F$106,3,FALSE)</f>
        <v>Kindergarten Teachers</v>
      </c>
      <c r="C1014" t="s">
        <v>314</v>
      </c>
      <c r="D1014">
        <v>809</v>
      </c>
      <c r="E1014" t="s">
        <v>510</v>
      </c>
      <c r="F1014" t="s">
        <v>318</v>
      </c>
      <c r="G1014" t="s">
        <v>319</v>
      </c>
      <c r="H1014" s="502">
        <v>51140</v>
      </c>
      <c r="I1014" s="415">
        <v>0</v>
      </c>
      <c r="J1014" s="415">
        <v>0</v>
      </c>
      <c r="K1014" s="415">
        <v>1100</v>
      </c>
      <c r="L1014" s="415">
        <v>2000</v>
      </c>
      <c r="M1014" s="415">
        <v>900</v>
      </c>
      <c r="N1014" s="415">
        <v>900</v>
      </c>
      <c r="O1014" s="415">
        <v>900</v>
      </c>
      <c r="P1014" s="415">
        <v>1800</v>
      </c>
      <c r="Q1014" s="481">
        <f t="shared" si="61"/>
        <v>0</v>
      </c>
    </row>
    <row r="1015" spans="1:17" outlineLevel="2" x14ac:dyDescent="0.3">
      <c r="A1015" s="366" t="str">
        <f>IFERROR(VLOOKUP(RIGHT(E1015,3)+0,[1]SchLocTable!$A$2:$B$47,2,FALSE)," ")</f>
        <v>Black Rock</v>
      </c>
      <c r="B1015" s="366" t="str">
        <f>VLOOKUP(VALUE(D1015),$D$3:F$106,3,FALSE)</f>
        <v>Kindergarten Teachers</v>
      </c>
      <c r="C1015" t="s">
        <v>314</v>
      </c>
      <c r="D1015">
        <v>809</v>
      </c>
      <c r="E1015" t="s">
        <v>510</v>
      </c>
      <c r="F1015" t="s">
        <v>320</v>
      </c>
      <c r="G1015" t="s">
        <v>319</v>
      </c>
      <c r="H1015" s="502">
        <v>52360</v>
      </c>
      <c r="I1015" s="415">
        <v>1160</v>
      </c>
      <c r="J1015" s="415">
        <v>2753</v>
      </c>
      <c r="K1015" s="415">
        <v>2523.62</v>
      </c>
      <c r="L1015" s="415">
        <v>1024.68</v>
      </c>
      <c r="M1015" s="415">
        <v>2130.0500000000002</v>
      </c>
      <c r="N1015" s="415">
        <v>1990.93</v>
      </c>
      <c r="O1015" s="415">
        <v>1903.93</v>
      </c>
      <c r="P1015" s="415">
        <v>3249.72</v>
      </c>
      <c r="Q1015" s="481">
        <f t="shared" si="61"/>
        <v>1593</v>
      </c>
    </row>
    <row r="1016" spans="1:17" outlineLevel="2" x14ac:dyDescent="0.3">
      <c r="A1016" s="366" t="str">
        <f>IFERROR(VLOOKUP(RIGHT(E1016,3)+0,[1]SchLocTable!$A$2:$B$47,2,FALSE)," ")</f>
        <v>Bryant</v>
      </c>
      <c r="B1016" s="366" t="str">
        <f>VLOOKUP(VALUE(D1016),$D$3:F$106,3,FALSE)</f>
        <v>Kindergarten Teachers</v>
      </c>
      <c r="C1016" t="s">
        <v>314</v>
      </c>
      <c r="D1016">
        <v>809</v>
      </c>
      <c r="E1016" t="s">
        <v>511</v>
      </c>
      <c r="F1016" t="s">
        <v>316</v>
      </c>
      <c r="G1016">
        <v>3</v>
      </c>
      <c r="H1016" s="502">
        <v>51000</v>
      </c>
      <c r="I1016" s="415">
        <v>0</v>
      </c>
      <c r="J1016" s="415">
        <v>254762</v>
      </c>
      <c r="K1016" s="415">
        <v>186115.55</v>
      </c>
      <c r="L1016" s="415">
        <v>151178.46</v>
      </c>
      <c r="M1016" s="415">
        <v>76422.509999999995</v>
      </c>
      <c r="N1016" s="415">
        <v>116496.53</v>
      </c>
      <c r="O1016" s="415">
        <v>136801.82</v>
      </c>
      <c r="P1016" s="415">
        <v>137534.6</v>
      </c>
      <c r="Q1016" s="481">
        <f t="shared" si="61"/>
        <v>254762</v>
      </c>
    </row>
    <row r="1017" spans="1:17" outlineLevel="2" x14ac:dyDescent="0.3">
      <c r="A1017" s="366" t="str">
        <f>IFERROR(VLOOKUP(RIGHT(E1017,3)+0,[1]SchLocTable!$A$2:$B$47,2,FALSE)," ")</f>
        <v>Bryant</v>
      </c>
      <c r="B1017" s="366" t="str">
        <f>VLOOKUP(VALUE(D1017),$D$3:F$106,3,FALSE)</f>
        <v>Kindergarten Teachers</v>
      </c>
      <c r="C1017" t="s">
        <v>314</v>
      </c>
      <c r="D1017">
        <v>809</v>
      </c>
      <c r="E1017" t="s">
        <v>511</v>
      </c>
      <c r="F1017" t="s">
        <v>321</v>
      </c>
      <c r="G1017" t="s">
        <v>319</v>
      </c>
      <c r="H1017" s="502">
        <v>52917</v>
      </c>
      <c r="I1017" s="415">
        <v>0</v>
      </c>
      <c r="J1017" s="415">
        <v>52930.71</v>
      </c>
      <c r="K1017" s="415">
        <v>48237.84</v>
      </c>
      <c r="L1017" s="415">
        <v>28568.38</v>
      </c>
      <c r="M1017" s="415">
        <v>33533.43</v>
      </c>
      <c r="N1017" s="415">
        <v>31344.39</v>
      </c>
      <c r="O1017" s="415">
        <v>36048.79</v>
      </c>
      <c r="P1017" s="415">
        <v>54495.42</v>
      </c>
      <c r="Q1017" s="481">
        <f t="shared" si="61"/>
        <v>52930.71</v>
      </c>
    </row>
    <row r="1018" spans="1:17" outlineLevel="2" x14ac:dyDescent="0.3">
      <c r="A1018" s="366" t="str">
        <f>IFERROR(VLOOKUP(RIGHT(E1018,3)+0,[1]SchLocTable!$A$2:$B$47,2,FALSE)," ")</f>
        <v>Bryant</v>
      </c>
      <c r="B1018" s="366" t="str">
        <f>VLOOKUP(VALUE(D1018),$D$3:F$106,3,FALSE)</f>
        <v>Kindergarten Teachers</v>
      </c>
      <c r="C1018" t="s">
        <v>314</v>
      </c>
      <c r="D1018">
        <v>809</v>
      </c>
      <c r="E1018" t="s">
        <v>511</v>
      </c>
      <c r="F1018" t="s">
        <v>318</v>
      </c>
      <c r="G1018" t="s">
        <v>319</v>
      </c>
      <c r="H1018" s="502">
        <v>51140</v>
      </c>
      <c r="I1018" s="415">
        <v>2400</v>
      </c>
      <c r="J1018" s="415">
        <v>0</v>
      </c>
      <c r="K1018" s="415">
        <v>2400</v>
      </c>
      <c r="L1018" s="415">
        <v>3500</v>
      </c>
      <c r="M1018" s="415">
        <v>2300</v>
      </c>
      <c r="N1018" s="415">
        <v>2300</v>
      </c>
      <c r="O1018" s="415">
        <v>2500</v>
      </c>
      <c r="P1018" s="415">
        <v>2500</v>
      </c>
      <c r="Q1018" s="481">
        <f t="shared" si="61"/>
        <v>-2400</v>
      </c>
    </row>
    <row r="1019" spans="1:17" outlineLevel="2" x14ac:dyDescent="0.3">
      <c r="A1019" s="366" t="str">
        <f>IFERROR(VLOOKUP(RIGHT(E1019,3)+0,[1]SchLocTable!$A$2:$B$47,2,FALSE)," ")</f>
        <v>Bryant</v>
      </c>
      <c r="B1019" s="366" t="str">
        <f>VLOOKUP(VALUE(D1019),$D$3:F$106,3,FALSE)</f>
        <v>Kindergarten Teachers</v>
      </c>
      <c r="C1019" t="s">
        <v>314</v>
      </c>
      <c r="D1019">
        <v>809</v>
      </c>
      <c r="E1019" t="s">
        <v>511</v>
      </c>
      <c r="F1019" t="s">
        <v>320</v>
      </c>
      <c r="G1019" t="s">
        <v>319</v>
      </c>
      <c r="H1019" s="502">
        <v>52360</v>
      </c>
      <c r="I1019" s="415">
        <v>0</v>
      </c>
      <c r="J1019" s="415">
        <v>3446</v>
      </c>
      <c r="K1019" s="415">
        <v>3418.49</v>
      </c>
      <c r="L1019" s="415">
        <v>2843.87</v>
      </c>
      <c r="M1019" s="415">
        <v>3330.34</v>
      </c>
      <c r="N1019" s="415">
        <v>3290.77</v>
      </c>
      <c r="O1019" s="415">
        <v>3269.1</v>
      </c>
      <c r="P1019" s="415">
        <v>2448.5</v>
      </c>
      <c r="Q1019" s="481">
        <f t="shared" si="61"/>
        <v>3446</v>
      </c>
    </row>
    <row r="1020" spans="1:17" outlineLevel="2" x14ac:dyDescent="0.3">
      <c r="A1020" s="366" t="str">
        <f>IFERROR(VLOOKUP(RIGHT(E1020,3)+0,[1]SchLocTable!$A$2:$B$47,2,FALSE)," ")</f>
        <v>Columbus</v>
      </c>
      <c r="B1020" s="366" t="str">
        <f>VLOOKUP(VALUE(D1020),$D$3:F$106,3,FALSE)</f>
        <v>Kindergarten Teachers</v>
      </c>
      <c r="C1020" t="s">
        <v>314</v>
      </c>
      <c r="D1020">
        <v>809</v>
      </c>
      <c r="E1020" t="s">
        <v>512</v>
      </c>
      <c r="F1020" t="s">
        <v>316</v>
      </c>
      <c r="G1020">
        <v>1</v>
      </c>
      <c r="H1020" s="502">
        <v>51000</v>
      </c>
      <c r="I1020" s="415">
        <v>0</v>
      </c>
      <c r="J1020" s="415">
        <v>105070</v>
      </c>
      <c r="K1020" s="415">
        <v>124669.6</v>
      </c>
      <c r="L1020" s="415">
        <v>38445.58</v>
      </c>
      <c r="M1020" s="415">
        <v>73914.48</v>
      </c>
      <c r="N1020" s="415">
        <v>83438.34</v>
      </c>
      <c r="O1020" s="415">
        <v>81218.899999999994</v>
      </c>
      <c r="P1020" s="415">
        <v>75584.7</v>
      </c>
      <c r="Q1020" s="481">
        <f t="shared" si="61"/>
        <v>105070</v>
      </c>
    </row>
    <row r="1021" spans="1:17" outlineLevel="2" x14ac:dyDescent="0.3">
      <c r="A1021" s="366" t="str">
        <f>IFERROR(VLOOKUP(RIGHT(E1021,3)+0,[1]SchLocTable!$A$2:$B$47,2,FALSE)," ")</f>
        <v>Columbus</v>
      </c>
      <c r="B1021" s="366" t="str">
        <f>VLOOKUP(VALUE(D1021),$D$3:F$106,3,FALSE)</f>
        <v>Kindergarten Teachers</v>
      </c>
      <c r="C1021" t="s">
        <v>314</v>
      </c>
      <c r="D1021">
        <v>809</v>
      </c>
      <c r="E1021" t="s">
        <v>512</v>
      </c>
      <c r="F1021" t="s">
        <v>321</v>
      </c>
      <c r="G1021" t="s">
        <v>319</v>
      </c>
      <c r="H1021" s="502">
        <v>52917</v>
      </c>
      <c r="I1021" s="415">
        <v>0</v>
      </c>
      <c r="J1021" s="415">
        <v>38661</v>
      </c>
      <c r="K1021" s="415">
        <v>40928.339999999997</v>
      </c>
      <c r="L1021" s="415">
        <v>32377.58</v>
      </c>
      <c r="M1021" s="415">
        <v>26335.47</v>
      </c>
      <c r="N1021" s="415">
        <v>54870.9</v>
      </c>
      <c r="O1021" s="415">
        <v>54983.519999999997</v>
      </c>
      <c r="P1021" s="415">
        <v>36630.720000000001</v>
      </c>
      <c r="Q1021" s="481">
        <f t="shared" si="61"/>
        <v>38661</v>
      </c>
    </row>
    <row r="1022" spans="1:17" outlineLevel="2" x14ac:dyDescent="0.3">
      <c r="A1022" s="366" t="str">
        <f>IFERROR(VLOOKUP(RIGHT(E1022,3)+0,[1]SchLocTable!$A$2:$B$47,2,FALSE)," ")</f>
        <v>Columbus</v>
      </c>
      <c r="B1022" s="366" t="str">
        <f>VLOOKUP(VALUE(D1022),$D$3:F$106,3,FALSE)</f>
        <v>Kindergarten Teachers</v>
      </c>
      <c r="C1022" t="s">
        <v>314</v>
      </c>
      <c r="D1022">
        <v>809</v>
      </c>
      <c r="E1022" t="s">
        <v>512</v>
      </c>
      <c r="F1022" t="s">
        <v>318</v>
      </c>
      <c r="G1022" t="s">
        <v>319</v>
      </c>
      <c r="H1022" s="502">
        <v>51140</v>
      </c>
      <c r="I1022" s="415">
        <v>1200</v>
      </c>
      <c r="J1022" s="415">
        <v>0</v>
      </c>
      <c r="K1022" s="415">
        <v>1200</v>
      </c>
      <c r="L1022" s="415">
        <v>1200</v>
      </c>
      <c r="M1022" s="415">
        <v>1200</v>
      </c>
      <c r="N1022" s="415">
        <v>1100</v>
      </c>
      <c r="O1022" s="415">
        <v>1100</v>
      </c>
      <c r="P1022" s="415">
        <v>900</v>
      </c>
      <c r="Q1022" s="481">
        <f t="shared" si="61"/>
        <v>-1200</v>
      </c>
    </row>
    <row r="1023" spans="1:17" outlineLevel="2" x14ac:dyDescent="0.3">
      <c r="A1023" s="366" t="str">
        <f>IFERROR(VLOOKUP(RIGHT(E1023,3)+0,[1]SchLocTable!$A$2:$B$47,2,FALSE)," ")</f>
        <v>Columbus</v>
      </c>
      <c r="B1023" s="366" t="str">
        <f>VLOOKUP(VALUE(D1023),$D$3:F$106,3,FALSE)</f>
        <v>Kindergarten Teachers</v>
      </c>
      <c r="C1023" t="s">
        <v>314</v>
      </c>
      <c r="D1023">
        <v>809</v>
      </c>
      <c r="E1023" t="s">
        <v>512</v>
      </c>
      <c r="F1023" t="s">
        <v>320</v>
      </c>
      <c r="G1023" t="s">
        <v>319</v>
      </c>
      <c r="H1023" s="502">
        <v>52360</v>
      </c>
      <c r="I1023" s="415">
        <v>0</v>
      </c>
      <c r="J1023" s="415">
        <v>1371</v>
      </c>
      <c r="K1023" s="415">
        <v>1994.04</v>
      </c>
      <c r="L1023" s="415">
        <v>1680.28</v>
      </c>
      <c r="M1023" s="415">
        <v>2054.52</v>
      </c>
      <c r="N1023" s="415">
        <v>2221.13</v>
      </c>
      <c r="O1023" s="415">
        <v>2162.36</v>
      </c>
      <c r="P1023" s="415">
        <v>2129.1</v>
      </c>
      <c r="Q1023" s="481">
        <f t="shared" ref="Q1023:Q1086" si="62">J1023-I1023</f>
        <v>1371</v>
      </c>
    </row>
    <row r="1024" spans="1:17" outlineLevel="2" x14ac:dyDescent="0.3">
      <c r="A1024" s="366" t="str">
        <f>IFERROR(VLOOKUP(RIGHT(E1024,3)+0,[1]SchLocTable!$A$2:$B$47,2,FALSE)," ")</f>
        <v>Columbus</v>
      </c>
      <c r="B1024" s="366" t="str">
        <f>VLOOKUP(VALUE(D1024),$D$3:F$106,3,FALSE)</f>
        <v>Kindergarten Teachers</v>
      </c>
      <c r="C1024" t="s">
        <v>314</v>
      </c>
      <c r="D1024">
        <v>809</v>
      </c>
      <c r="E1024" t="s">
        <v>512</v>
      </c>
      <c r="F1024" t="s">
        <v>324</v>
      </c>
      <c r="G1024" t="s">
        <v>319</v>
      </c>
      <c r="H1024" s="502">
        <v>52385</v>
      </c>
      <c r="I1024" s="415">
        <v>0</v>
      </c>
      <c r="J1024" s="415">
        <v>0</v>
      </c>
      <c r="K1024" s="415">
        <v>2601.9899999999998</v>
      </c>
      <c r="L1024" s="415">
        <v>1312.99</v>
      </c>
      <c r="M1024" s="415">
        <v>0</v>
      </c>
      <c r="N1024" s="415">
        <v>0</v>
      </c>
      <c r="O1024" s="415">
        <v>0</v>
      </c>
      <c r="P1024" s="415">
        <v>0</v>
      </c>
      <c r="Q1024" s="481">
        <f t="shared" si="62"/>
        <v>0</v>
      </c>
    </row>
    <row r="1025" spans="1:17" outlineLevel="2" x14ac:dyDescent="0.3">
      <c r="A1025" s="366" t="str">
        <f>IFERROR(VLOOKUP(RIGHT(E1025,3)+0,[1]SchLocTable!$A$2:$B$47,2,FALSE)," ")</f>
        <v>Edison</v>
      </c>
      <c r="B1025" s="366" t="str">
        <f>VLOOKUP(VALUE(D1025),$D$3:F$106,3,FALSE)</f>
        <v>Kindergarten Teachers</v>
      </c>
      <c r="C1025" t="s">
        <v>314</v>
      </c>
      <c r="D1025">
        <v>809</v>
      </c>
      <c r="E1025" t="s">
        <v>513</v>
      </c>
      <c r="F1025" t="s">
        <v>316</v>
      </c>
      <c r="G1025">
        <v>1</v>
      </c>
      <c r="H1025" s="502">
        <v>51000</v>
      </c>
      <c r="I1025" s="415">
        <v>0</v>
      </c>
      <c r="J1025" s="415">
        <v>66996</v>
      </c>
      <c r="K1025" s="415">
        <v>57993.29</v>
      </c>
      <c r="L1025" s="415">
        <v>86616.93</v>
      </c>
      <c r="M1025" s="415">
        <v>62909.7</v>
      </c>
      <c r="N1025" s="415">
        <v>52764.7</v>
      </c>
      <c r="O1025" s="415">
        <v>98707</v>
      </c>
      <c r="P1025" s="415">
        <v>110009.54</v>
      </c>
      <c r="Q1025" s="481">
        <f t="shared" si="62"/>
        <v>66996</v>
      </c>
    </row>
    <row r="1026" spans="1:17" outlineLevel="2" x14ac:dyDescent="0.3">
      <c r="A1026" s="366" t="str">
        <f>IFERROR(VLOOKUP(RIGHT(E1026,3)+0,[1]SchLocTable!$A$2:$B$47,2,FALSE)," ")</f>
        <v>Edison</v>
      </c>
      <c r="B1026" s="366" t="str">
        <f>VLOOKUP(VALUE(D1026),$D$3:F$106,3,FALSE)</f>
        <v>Kindergarten Teachers</v>
      </c>
      <c r="C1026" t="s">
        <v>314</v>
      </c>
      <c r="D1026">
        <v>809</v>
      </c>
      <c r="E1026" t="s">
        <v>513</v>
      </c>
      <c r="F1026" t="s">
        <v>321</v>
      </c>
      <c r="G1026" t="s">
        <v>319</v>
      </c>
      <c r="H1026" s="502">
        <v>52917</v>
      </c>
      <c r="I1026" s="415">
        <v>0</v>
      </c>
      <c r="J1026" s="415">
        <v>0</v>
      </c>
      <c r="K1026" s="415">
        <v>188.28</v>
      </c>
      <c r="L1026" s="415">
        <v>1153.5</v>
      </c>
      <c r="M1026" s="415">
        <v>1284.3599999999999</v>
      </c>
      <c r="N1026" s="415">
        <v>10232.879999999999</v>
      </c>
      <c r="O1026" s="415">
        <v>9817.68</v>
      </c>
      <c r="P1026" s="415">
        <v>18491.34</v>
      </c>
      <c r="Q1026" s="481">
        <f t="shared" si="62"/>
        <v>0</v>
      </c>
    </row>
    <row r="1027" spans="1:17" outlineLevel="2" x14ac:dyDescent="0.3">
      <c r="A1027" s="366" t="str">
        <f>IFERROR(VLOOKUP(RIGHT(E1027,3)+0,[1]SchLocTable!$A$2:$B$47,2,FALSE)," ")</f>
        <v>Edison</v>
      </c>
      <c r="B1027" s="366" t="str">
        <f>VLOOKUP(VALUE(D1027),$D$3:F$106,3,FALSE)</f>
        <v>Kindergarten Teachers</v>
      </c>
      <c r="C1027" t="s">
        <v>314</v>
      </c>
      <c r="D1027">
        <v>809</v>
      </c>
      <c r="E1027" t="s">
        <v>513</v>
      </c>
      <c r="F1027" t="s">
        <v>320</v>
      </c>
      <c r="G1027" t="s">
        <v>319</v>
      </c>
      <c r="H1027" s="502">
        <v>52360</v>
      </c>
      <c r="I1027" s="415">
        <v>0</v>
      </c>
      <c r="J1027" s="415">
        <v>971</v>
      </c>
      <c r="K1027" s="415">
        <v>1054.46</v>
      </c>
      <c r="L1027" s="415">
        <v>1617.58</v>
      </c>
      <c r="M1027" s="415">
        <v>1821.08</v>
      </c>
      <c r="N1027" s="415">
        <v>1490.2</v>
      </c>
      <c r="O1027" s="415">
        <v>1393.96</v>
      </c>
      <c r="P1027" s="415">
        <v>2141.35</v>
      </c>
      <c r="Q1027" s="481">
        <f t="shared" si="62"/>
        <v>971</v>
      </c>
    </row>
    <row r="1028" spans="1:17" outlineLevel="2" x14ac:dyDescent="0.3">
      <c r="A1028" s="366" t="str">
        <f>IFERROR(VLOOKUP(RIGHT(E1028,3)+0,[1]SchLocTable!$A$2:$B$47,2,FALSE)," ")</f>
        <v>Marin</v>
      </c>
      <c r="B1028" s="366" t="str">
        <f>VLOOKUP(VALUE(D1028),$D$3:F$106,3,FALSE)</f>
        <v>Kindergarten Teachers</v>
      </c>
      <c r="C1028" t="s">
        <v>314</v>
      </c>
      <c r="D1028">
        <v>809</v>
      </c>
      <c r="E1028" t="s">
        <v>514</v>
      </c>
      <c r="F1028" t="s">
        <v>316</v>
      </c>
      <c r="G1028">
        <v>3</v>
      </c>
      <c r="H1028" s="502">
        <v>51000</v>
      </c>
      <c r="I1028" s="415">
        <v>190428.46490000002</v>
      </c>
      <c r="J1028" s="415">
        <v>202893.96</v>
      </c>
      <c r="K1028" s="415">
        <v>212517.3</v>
      </c>
      <c r="L1028" s="415">
        <v>137204.12</v>
      </c>
      <c r="M1028" s="415">
        <v>136191.56</v>
      </c>
      <c r="N1028" s="415">
        <v>76095.360000000001</v>
      </c>
      <c r="O1028" s="415">
        <v>129221.15</v>
      </c>
      <c r="P1028" s="415">
        <v>95685.14</v>
      </c>
      <c r="Q1028" s="481">
        <f t="shared" si="62"/>
        <v>12465.495099999971</v>
      </c>
    </row>
    <row r="1029" spans="1:17" outlineLevel="2" x14ac:dyDescent="0.3">
      <c r="A1029" s="366" t="str">
        <f>IFERROR(VLOOKUP(RIGHT(E1029,3)+0,[1]SchLocTable!$A$2:$B$47,2,FALSE)," ")</f>
        <v>Marin</v>
      </c>
      <c r="B1029" s="366" t="str">
        <f>VLOOKUP(VALUE(D1029),$D$3:F$106,3,FALSE)</f>
        <v>Kindergarten Teachers</v>
      </c>
      <c r="C1029" t="s">
        <v>314</v>
      </c>
      <c r="D1029">
        <v>809</v>
      </c>
      <c r="E1029" t="s">
        <v>514</v>
      </c>
      <c r="F1029" t="s">
        <v>321</v>
      </c>
      <c r="G1029" t="s">
        <v>319</v>
      </c>
      <c r="H1029" s="502">
        <v>52917</v>
      </c>
      <c r="I1029" s="415">
        <v>78730.956000000006</v>
      </c>
      <c r="J1029" s="415">
        <v>70600.17</v>
      </c>
      <c r="K1029" s="415">
        <v>72013.98</v>
      </c>
      <c r="L1029" s="415">
        <v>61065.73</v>
      </c>
      <c r="M1029" s="415">
        <v>67506.149999999994</v>
      </c>
      <c r="N1029" s="415">
        <v>73401.210000000006</v>
      </c>
      <c r="O1029" s="415">
        <v>67973.279999999999</v>
      </c>
      <c r="P1029" s="415">
        <v>64015.77</v>
      </c>
      <c r="Q1029" s="481">
        <f t="shared" si="62"/>
        <v>-8130.7860000000073</v>
      </c>
    </row>
    <row r="1030" spans="1:17" outlineLevel="2" x14ac:dyDescent="0.3">
      <c r="A1030" s="366" t="str">
        <f>IFERROR(VLOOKUP(RIGHT(E1030,3)+0,[1]SchLocTable!$A$2:$B$47,2,FALSE)," ")</f>
        <v>Marin</v>
      </c>
      <c r="B1030" s="366" t="str">
        <f>VLOOKUP(VALUE(D1030),$D$3:F$106,3,FALSE)</f>
        <v>Kindergarten Teachers</v>
      </c>
      <c r="C1030" t="s">
        <v>314</v>
      </c>
      <c r="D1030">
        <v>809</v>
      </c>
      <c r="E1030" t="s">
        <v>514</v>
      </c>
      <c r="F1030" t="s">
        <v>318</v>
      </c>
      <c r="G1030" t="s">
        <v>319</v>
      </c>
      <c r="H1030" s="502">
        <v>51140</v>
      </c>
      <c r="I1030" s="415">
        <v>1800</v>
      </c>
      <c r="J1030" s="415">
        <v>0</v>
      </c>
      <c r="K1030" s="415">
        <v>1800</v>
      </c>
      <c r="L1030" s="415">
        <v>3100</v>
      </c>
      <c r="M1030" s="415">
        <v>1800</v>
      </c>
      <c r="N1030" s="415">
        <v>900</v>
      </c>
      <c r="O1030" s="415">
        <v>0</v>
      </c>
      <c r="P1030" s="415">
        <v>0</v>
      </c>
      <c r="Q1030" s="481">
        <f t="shared" si="62"/>
        <v>-1800</v>
      </c>
    </row>
    <row r="1031" spans="1:17" outlineLevel="2" x14ac:dyDescent="0.3">
      <c r="A1031" s="366" t="str">
        <f>IFERROR(VLOOKUP(RIGHT(E1031,3)+0,[1]SchLocTable!$A$2:$B$47,2,FALSE)," ")</f>
        <v>Marin</v>
      </c>
      <c r="B1031" s="366" t="str">
        <f>VLOOKUP(VALUE(D1031),$D$3:F$106,3,FALSE)</f>
        <v>Kindergarten Teachers</v>
      </c>
      <c r="C1031" t="s">
        <v>314</v>
      </c>
      <c r="D1031">
        <v>809</v>
      </c>
      <c r="E1031" t="s">
        <v>514</v>
      </c>
      <c r="F1031" t="s">
        <v>320</v>
      </c>
      <c r="G1031" t="s">
        <v>319</v>
      </c>
      <c r="H1031" s="502">
        <v>52360</v>
      </c>
      <c r="I1031" s="415">
        <v>2761.2127410500002</v>
      </c>
      <c r="J1031" s="415">
        <v>2895.22</v>
      </c>
      <c r="K1031" s="415">
        <v>3444.18</v>
      </c>
      <c r="L1031" s="415">
        <v>2619.13</v>
      </c>
      <c r="M1031" s="415">
        <v>3005.2</v>
      </c>
      <c r="N1031" s="415">
        <v>2495.23</v>
      </c>
      <c r="O1031" s="415">
        <v>2700.87</v>
      </c>
      <c r="P1031" s="415">
        <v>2523.34</v>
      </c>
      <c r="Q1031" s="481">
        <f t="shared" si="62"/>
        <v>134.0072589499996</v>
      </c>
    </row>
    <row r="1032" spans="1:17" outlineLevel="2" x14ac:dyDescent="0.3">
      <c r="A1032" s="366" t="str">
        <f>IFERROR(VLOOKUP(RIGHT(E1032,3)+0,[1]SchLocTable!$A$2:$B$47,2,FALSE)," ")</f>
        <v>Marin</v>
      </c>
      <c r="B1032" s="366" t="str">
        <f>VLOOKUP(VALUE(D1032),$D$3:F$106,3,FALSE)</f>
        <v>Kindergarten Teachers</v>
      </c>
      <c r="C1032" t="s">
        <v>314</v>
      </c>
      <c r="D1032">
        <v>809</v>
      </c>
      <c r="E1032" t="s">
        <v>514</v>
      </c>
      <c r="F1032" t="s">
        <v>324</v>
      </c>
      <c r="G1032" t="s">
        <v>319</v>
      </c>
      <c r="H1032" s="502">
        <v>52385</v>
      </c>
      <c r="I1032" s="415">
        <v>0</v>
      </c>
      <c r="J1032" s="415">
        <v>0</v>
      </c>
      <c r="K1032" s="415">
        <v>0</v>
      </c>
      <c r="L1032" s="415">
        <v>0</v>
      </c>
      <c r="M1032" s="415">
        <v>1418.25</v>
      </c>
      <c r="N1032" s="415">
        <v>0</v>
      </c>
      <c r="O1032" s="415">
        <v>0</v>
      </c>
      <c r="P1032" s="415">
        <v>0</v>
      </c>
      <c r="Q1032" s="481">
        <f t="shared" si="62"/>
        <v>0</v>
      </c>
    </row>
    <row r="1033" spans="1:17" outlineLevel="2" x14ac:dyDescent="0.3">
      <c r="A1033" s="366" t="str">
        <f>IFERROR(VLOOKUP(RIGHT(E1033,3)+0,[1]SchLocTable!$A$2:$B$47,2,FALSE)," ")</f>
        <v>Hall</v>
      </c>
      <c r="B1033" s="366" t="str">
        <f>VLOOKUP(VALUE(D1033),$D$3:F$106,3,FALSE)</f>
        <v>Kindergarten Teachers</v>
      </c>
      <c r="C1033" t="s">
        <v>314</v>
      </c>
      <c r="D1033">
        <v>809</v>
      </c>
      <c r="E1033" t="s">
        <v>515</v>
      </c>
      <c r="F1033" t="s">
        <v>316</v>
      </c>
      <c r="G1033">
        <v>1</v>
      </c>
      <c r="H1033" s="502">
        <v>51000</v>
      </c>
      <c r="I1033" s="415">
        <v>0</v>
      </c>
      <c r="J1033" s="415">
        <v>105069.9</v>
      </c>
      <c r="K1033" s="415">
        <v>132476.68</v>
      </c>
      <c r="L1033" s="415">
        <v>89723.11</v>
      </c>
      <c r="M1033" s="415">
        <v>50005.9</v>
      </c>
      <c r="N1033" s="415">
        <v>48774.38</v>
      </c>
      <c r="O1033" s="415">
        <v>48052.92</v>
      </c>
      <c r="P1033" s="415">
        <v>94593.98</v>
      </c>
      <c r="Q1033" s="481">
        <f t="shared" si="62"/>
        <v>105069.9</v>
      </c>
    </row>
    <row r="1034" spans="1:17" outlineLevel="2" x14ac:dyDescent="0.3">
      <c r="A1034" s="366" t="str">
        <f>IFERROR(VLOOKUP(RIGHT(E1034,3)+0,[1]SchLocTable!$A$2:$B$47,2,FALSE)," ")</f>
        <v>Hall</v>
      </c>
      <c r="B1034" s="366" t="str">
        <f>VLOOKUP(VALUE(D1034),$D$3:F$106,3,FALSE)</f>
        <v>Kindergarten Teachers</v>
      </c>
      <c r="C1034" t="s">
        <v>314</v>
      </c>
      <c r="D1034">
        <v>809</v>
      </c>
      <c r="E1034" t="s">
        <v>515</v>
      </c>
      <c r="F1034" t="s">
        <v>321</v>
      </c>
      <c r="G1034" t="s">
        <v>319</v>
      </c>
      <c r="H1034" s="502">
        <v>52917</v>
      </c>
      <c r="I1034" s="415">
        <v>0</v>
      </c>
      <c r="J1034" s="415">
        <v>38609.129999999997</v>
      </c>
      <c r="K1034" s="415">
        <v>46919.88</v>
      </c>
      <c r="L1034" s="415">
        <v>37103.870000000003</v>
      </c>
      <c r="M1034" s="415">
        <v>32449.200000000001</v>
      </c>
      <c r="N1034" s="415">
        <v>30308.67</v>
      </c>
      <c r="O1034" s="415">
        <v>29077.5</v>
      </c>
      <c r="P1034" s="415">
        <v>27385.05</v>
      </c>
      <c r="Q1034" s="481">
        <f t="shared" si="62"/>
        <v>38609.129999999997</v>
      </c>
    </row>
    <row r="1035" spans="1:17" outlineLevel="2" x14ac:dyDescent="0.3">
      <c r="A1035" s="366" t="str">
        <f>IFERROR(VLOOKUP(RIGHT(E1035,3)+0,[1]SchLocTable!$A$2:$B$47,2,FALSE)," ")</f>
        <v>Hall</v>
      </c>
      <c r="B1035" s="366" t="str">
        <f>VLOOKUP(VALUE(D1035),$D$3:F$106,3,FALSE)</f>
        <v>Kindergarten Teachers</v>
      </c>
      <c r="C1035" t="s">
        <v>314</v>
      </c>
      <c r="D1035">
        <v>809</v>
      </c>
      <c r="E1035" t="s">
        <v>515</v>
      </c>
      <c r="F1035" t="s">
        <v>318</v>
      </c>
      <c r="G1035" t="s">
        <v>319</v>
      </c>
      <c r="H1035" s="502">
        <v>51140</v>
      </c>
      <c r="I1035" s="415">
        <v>1200</v>
      </c>
      <c r="J1035" s="415">
        <v>0</v>
      </c>
      <c r="K1035" s="415">
        <v>1100</v>
      </c>
      <c r="L1035" s="415">
        <v>1100</v>
      </c>
      <c r="M1035" s="415">
        <v>1100</v>
      </c>
      <c r="N1035" s="415">
        <v>1100</v>
      </c>
      <c r="O1035" s="415">
        <v>1100</v>
      </c>
      <c r="P1035" s="415">
        <v>900</v>
      </c>
      <c r="Q1035" s="481">
        <f t="shared" si="62"/>
        <v>-1200</v>
      </c>
    </row>
    <row r="1036" spans="1:17" outlineLevel="2" x14ac:dyDescent="0.3">
      <c r="A1036" s="366" t="str">
        <f>IFERROR(VLOOKUP(RIGHT(E1036,3)+0,[1]SchLocTable!$A$2:$B$47,2,FALSE)," ")</f>
        <v>Hall</v>
      </c>
      <c r="B1036" s="366" t="str">
        <f>VLOOKUP(VALUE(D1036),$D$3:F$106,3,FALSE)</f>
        <v>Kindergarten Teachers</v>
      </c>
      <c r="C1036" t="s">
        <v>314</v>
      </c>
      <c r="D1036">
        <v>809</v>
      </c>
      <c r="E1036" t="s">
        <v>515</v>
      </c>
      <c r="F1036" t="s">
        <v>320</v>
      </c>
      <c r="G1036" t="s">
        <v>319</v>
      </c>
      <c r="H1036" s="502">
        <v>52360</v>
      </c>
      <c r="I1036" s="415">
        <v>0</v>
      </c>
      <c r="J1036" s="415">
        <v>1499.26</v>
      </c>
      <c r="K1036" s="415">
        <v>2080.41</v>
      </c>
      <c r="L1036" s="415">
        <v>1693.81</v>
      </c>
      <c r="M1036" s="415">
        <v>1328.14</v>
      </c>
      <c r="N1036" s="415">
        <v>1312.06</v>
      </c>
      <c r="O1036" s="415">
        <v>1299.07</v>
      </c>
      <c r="P1036" s="415">
        <v>1282.1199999999999</v>
      </c>
      <c r="Q1036" s="481">
        <f t="shared" si="62"/>
        <v>1499.26</v>
      </c>
    </row>
    <row r="1037" spans="1:17" outlineLevel="2" x14ac:dyDescent="0.3">
      <c r="A1037" s="366" t="str">
        <f>IFERROR(VLOOKUP(RIGHT(E1037,3)+0,[1]SchLocTable!$A$2:$B$47,2,FALSE)," ")</f>
        <v>Hallen</v>
      </c>
      <c r="B1037" s="366" t="str">
        <f>VLOOKUP(VALUE(D1037),$D$3:F$106,3,FALSE)</f>
        <v>Kindergarten Teachers</v>
      </c>
      <c r="C1037" t="s">
        <v>314</v>
      </c>
      <c r="D1037">
        <v>809</v>
      </c>
      <c r="E1037" t="s">
        <v>516</v>
      </c>
      <c r="F1037" t="s">
        <v>316</v>
      </c>
      <c r="G1037">
        <v>2</v>
      </c>
      <c r="H1037" s="502">
        <v>51000</v>
      </c>
      <c r="I1037" s="415">
        <v>0</v>
      </c>
      <c r="J1037" s="415">
        <v>200463</v>
      </c>
      <c r="K1037" s="415">
        <v>144191.6</v>
      </c>
      <c r="L1037" s="415">
        <v>107850.83</v>
      </c>
      <c r="M1037" s="415">
        <v>81832.02</v>
      </c>
      <c r="N1037" s="415">
        <v>76090.62</v>
      </c>
      <c r="O1037" s="415">
        <v>71039.899999999994</v>
      </c>
      <c r="P1037" s="415">
        <v>69922.399999999994</v>
      </c>
      <c r="Q1037" s="481">
        <f t="shared" si="62"/>
        <v>200463</v>
      </c>
    </row>
    <row r="1038" spans="1:17" outlineLevel="2" x14ac:dyDescent="0.3">
      <c r="A1038" s="366" t="str">
        <f>IFERROR(VLOOKUP(RIGHT(E1038,3)+0,[1]SchLocTable!$A$2:$B$47,2,FALSE)," ")</f>
        <v>Hallen</v>
      </c>
      <c r="B1038" s="366" t="str">
        <f>VLOOKUP(VALUE(D1038),$D$3:F$106,3,FALSE)</f>
        <v>Kindergarten Teachers</v>
      </c>
      <c r="C1038" t="s">
        <v>314</v>
      </c>
      <c r="D1038">
        <v>809</v>
      </c>
      <c r="E1038" t="s">
        <v>516</v>
      </c>
      <c r="F1038" t="s">
        <v>321</v>
      </c>
      <c r="G1038" t="s">
        <v>319</v>
      </c>
      <c r="H1038" s="502">
        <v>52917</v>
      </c>
      <c r="I1038" s="415">
        <v>0</v>
      </c>
      <c r="J1038" s="415">
        <v>31370.22</v>
      </c>
      <c r="K1038" s="415">
        <v>28478.1</v>
      </c>
      <c r="L1038" s="415">
        <v>22503.83</v>
      </c>
      <c r="M1038" s="415">
        <v>26335.47</v>
      </c>
      <c r="N1038" s="415">
        <v>24562.23</v>
      </c>
      <c r="O1038" s="415">
        <v>23581.07</v>
      </c>
      <c r="P1038" s="415">
        <v>22186.29</v>
      </c>
      <c r="Q1038" s="481">
        <f t="shared" si="62"/>
        <v>31370.22</v>
      </c>
    </row>
    <row r="1039" spans="1:17" outlineLevel="2" x14ac:dyDescent="0.3">
      <c r="A1039" s="366" t="str">
        <f>IFERROR(VLOOKUP(RIGHT(E1039,3)+0,[1]SchLocTable!$A$2:$B$47,2,FALSE)," ")</f>
        <v>Hallen</v>
      </c>
      <c r="B1039" s="366" t="str">
        <f>VLOOKUP(VALUE(D1039),$D$3:F$106,3,FALSE)</f>
        <v>Kindergarten Teachers</v>
      </c>
      <c r="C1039" t="s">
        <v>314</v>
      </c>
      <c r="D1039">
        <v>809</v>
      </c>
      <c r="E1039" t="s">
        <v>516</v>
      </c>
      <c r="F1039" t="s">
        <v>318</v>
      </c>
      <c r="G1039" t="s">
        <v>319</v>
      </c>
      <c r="H1039" s="502">
        <v>51140</v>
      </c>
      <c r="I1039" s="415">
        <v>900</v>
      </c>
      <c r="J1039" s="415">
        <v>0</v>
      </c>
      <c r="K1039" s="415">
        <v>900</v>
      </c>
      <c r="L1039" s="415">
        <v>1800</v>
      </c>
      <c r="M1039" s="415">
        <v>900</v>
      </c>
      <c r="N1039" s="415">
        <v>900</v>
      </c>
      <c r="O1039" s="415">
        <v>0</v>
      </c>
      <c r="P1039" s="415">
        <v>0</v>
      </c>
      <c r="Q1039" s="481">
        <f t="shared" si="62"/>
        <v>-900</v>
      </c>
    </row>
    <row r="1040" spans="1:17" outlineLevel="2" x14ac:dyDescent="0.3">
      <c r="A1040" s="366" t="str">
        <f>IFERROR(VLOOKUP(RIGHT(E1040,3)+0,[1]SchLocTable!$A$2:$B$47,2,FALSE)," ")</f>
        <v>Hallen</v>
      </c>
      <c r="B1040" s="366" t="str">
        <f>VLOOKUP(VALUE(D1040),$D$3:F$106,3,FALSE)</f>
        <v>Kindergarten Teachers</v>
      </c>
      <c r="C1040" t="s">
        <v>314</v>
      </c>
      <c r="D1040">
        <v>809</v>
      </c>
      <c r="E1040" t="s">
        <v>516</v>
      </c>
      <c r="F1040" t="s">
        <v>320</v>
      </c>
      <c r="G1040" t="s">
        <v>319</v>
      </c>
      <c r="H1040" s="502">
        <v>52360</v>
      </c>
      <c r="I1040" s="415">
        <v>0</v>
      </c>
      <c r="J1040" s="415">
        <v>2750</v>
      </c>
      <c r="K1040" s="415">
        <v>2609.19</v>
      </c>
      <c r="L1040" s="415">
        <v>2032.48</v>
      </c>
      <c r="M1040" s="415">
        <v>2279.79</v>
      </c>
      <c r="N1040" s="415">
        <v>2123.48</v>
      </c>
      <c r="O1040" s="415">
        <v>1970.37</v>
      </c>
      <c r="P1040" s="415">
        <v>1944.24</v>
      </c>
      <c r="Q1040" s="481">
        <f t="shared" si="62"/>
        <v>2750</v>
      </c>
    </row>
    <row r="1041" spans="1:17" outlineLevel="2" x14ac:dyDescent="0.3">
      <c r="A1041" s="366" t="str">
        <f>IFERROR(VLOOKUP(RIGHT(E1041,3)+0,[1]SchLocTable!$A$2:$B$47,2,FALSE)," ")</f>
        <v>Hooker</v>
      </c>
      <c r="B1041" s="366" t="str">
        <f>VLOOKUP(VALUE(D1041),$D$3:F$106,3,FALSE)</f>
        <v>Kindergarten Teachers</v>
      </c>
      <c r="C1041" t="s">
        <v>314</v>
      </c>
      <c r="D1041">
        <v>809</v>
      </c>
      <c r="E1041" t="s">
        <v>517</v>
      </c>
      <c r="F1041" t="s">
        <v>316</v>
      </c>
      <c r="G1041">
        <v>2</v>
      </c>
      <c r="H1041" s="502">
        <v>51000</v>
      </c>
      <c r="I1041" s="415">
        <v>0</v>
      </c>
      <c r="J1041" s="415">
        <v>164551</v>
      </c>
      <c r="K1041" s="415">
        <v>115570.8</v>
      </c>
      <c r="L1041" s="415">
        <v>81152.5</v>
      </c>
      <c r="M1041" s="415">
        <v>65071.22</v>
      </c>
      <c r="N1041" s="415">
        <v>53726.98</v>
      </c>
      <c r="O1041" s="415">
        <v>98249.06</v>
      </c>
      <c r="P1041" s="415">
        <v>69821.64</v>
      </c>
      <c r="Q1041" s="481">
        <f t="shared" si="62"/>
        <v>164551</v>
      </c>
    </row>
    <row r="1042" spans="1:17" outlineLevel="2" x14ac:dyDescent="0.3">
      <c r="A1042" s="366" t="str">
        <f>IFERROR(VLOOKUP(RIGHT(E1042,3)+0,[1]SchLocTable!$A$2:$B$47,2,FALSE)," ")</f>
        <v>Hooker</v>
      </c>
      <c r="B1042" s="366" t="str">
        <f>VLOOKUP(VALUE(D1042),$D$3:F$106,3,FALSE)</f>
        <v>Kindergarten Teachers</v>
      </c>
      <c r="C1042" t="s">
        <v>314</v>
      </c>
      <c r="D1042">
        <v>809</v>
      </c>
      <c r="E1042" t="s">
        <v>517</v>
      </c>
      <c r="F1042" t="s">
        <v>321</v>
      </c>
      <c r="G1042" t="s">
        <v>319</v>
      </c>
      <c r="H1042" s="502">
        <v>52917</v>
      </c>
      <c r="I1042" s="415">
        <v>0</v>
      </c>
      <c r="J1042" s="415">
        <v>51646.35</v>
      </c>
      <c r="K1042" s="415">
        <v>46919.88</v>
      </c>
      <c r="L1042" s="415">
        <v>37103.870000000003</v>
      </c>
      <c r="M1042" s="415">
        <v>43332.11</v>
      </c>
      <c r="N1042" s="415">
        <v>20465.759999999998</v>
      </c>
      <c r="O1042" s="415">
        <v>33398.75</v>
      </c>
      <c r="P1042" s="415">
        <v>31431.96</v>
      </c>
      <c r="Q1042" s="481">
        <f t="shared" si="62"/>
        <v>51646.35</v>
      </c>
    </row>
    <row r="1043" spans="1:17" outlineLevel="2" x14ac:dyDescent="0.3">
      <c r="A1043" s="366" t="str">
        <f>IFERROR(VLOOKUP(RIGHT(E1043,3)+0,[1]SchLocTable!$A$2:$B$47,2,FALSE)," ")</f>
        <v>Hooker</v>
      </c>
      <c r="B1043" s="366" t="str">
        <f>VLOOKUP(VALUE(D1043),$D$3:F$106,3,FALSE)</f>
        <v>Kindergarten Teachers</v>
      </c>
      <c r="C1043" t="s">
        <v>314</v>
      </c>
      <c r="D1043">
        <v>809</v>
      </c>
      <c r="E1043" t="s">
        <v>517</v>
      </c>
      <c r="F1043" t="s">
        <v>318</v>
      </c>
      <c r="G1043" t="s">
        <v>319</v>
      </c>
      <c r="H1043" s="502">
        <v>51140</v>
      </c>
      <c r="I1043" s="415">
        <v>0</v>
      </c>
      <c r="J1043" s="415">
        <v>0</v>
      </c>
      <c r="K1043" s="415">
        <v>0</v>
      </c>
      <c r="L1043" s="415">
        <v>900</v>
      </c>
      <c r="M1043" s="415">
        <v>0</v>
      </c>
      <c r="N1043" s="415">
        <v>0</v>
      </c>
      <c r="O1043" s="415">
        <v>2000</v>
      </c>
      <c r="P1043" s="415">
        <v>900</v>
      </c>
      <c r="Q1043" s="481">
        <f t="shared" si="62"/>
        <v>0</v>
      </c>
    </row>
    <row r="1044" spans="1:17" outlineLevel="2" x14ac:dyDescent="0.3">
      <c r="A1044" s="366" t="str">
        <f>IFERROR(VLOOKUP(RIGHT(E1044,3)+0,[1]SchLocTable!$A$2:$B$47,2,FALSE)," ")</f>
        <v>Hooker</v>
      </c>
      <c r="B1044" s="366" t="str">
        <f>VLOOKUP(VALUE(D1044),$D$3:F$106,3,FALSE)</f>
        <v>Kindergarten Teachers</v>
      </c>
      <c r="C1044" t="s">
        <v>314</v>
      </c>
      <c r="D1044">
        <v>809</v>
      </c>
      <c r="E1044" t="s">
        <v>517</v>
      </c>
      <c r="F1044" t="s">
        <v>320</v>
      </c>
      <c r="G1044" t="s">
        <v>319</v>
      </c>
      <c r="H1044" s="502">
        <v>52360</v>
      </c>
      <c r="I1044" s="415">
        <v>0</v>
      </c>
      <c r="J1044" s="415">
        <v>2106</v>
      </c>
      <c r="K1044" s="415">
        <v>1978.23</v>
      </c>
      <c r="L1044" s="415">
        <v>1532.39</v>
      </c>
      <c r="M1044" s="415">
        <v>1712.58</v>
      </c>
      <c r="N1044" s="415">
        <v>1478.16</v>
      </c>
      <c r="O1044" s="415">
        <v>2124.06</v>
      </c>
      <c r="P1044" s="415">
        <v>1919.74</v>
      </c>
      <c r="Q1044" s="481">
        <f t="shared" si="62"/>
        <v>2106</v>
      </c>
    </row>
    <row r="1045" spans="1:17" outlineLevel="2" x14ac:dyDescent="0.3">
      <c r="A1045" s="366" t="str">
        <f>IFERROR(VLOOKUP(RIGHT(E1045,3)+0,[1]SchLocTable!$A$2:$B$47,2,FALSE)," ")</f>
        <v>Batalla</v>
      </c>
      <c r="B1045" s="366" t="str">
        <f>VLOOKUP(VALUE(D1045),$D$3:F$106,3,FALSE)</f>
        <v>Kindergarten Teachers</v>
      </c>
      <c r="C1045" t="s">
        <v>314</v>
      </c>
      <c r="D1045">
        <v>809</v>
      </c>
      <c r="E1045" t="s">
        <v>518</v>
      </c>
      <c r="F1045" t="s">
        <v>316</v>
      </c>
      <c r="G1045">
        <v>1</v>
      </c>
      <c r="H1045" s="502">
        <v>51000</v>
      </c>
      <c r="I1045" s="415">
        <v>0</v>
      </c>
      <c r="J1045" s="415">
        <v>105070</v>
      </c>
      <c r="K1045" s="415">
        <v>121669.6</v>
      </c>
      <c r="L1045" s="415">
        <v>17836.830000000002</v>
      </c>
      <c r="M1045" s="415">
        <v>121881.56</v>
      </c>
      <c r="N1045" s="415">
        <v>104316.03</v>
      </c>
      <c r="O1045" s="415">
        <v>95714.64</v>
      </c>
      <c r="P1045" s="415">
        <v>156723.39000000001</v>
      </c>
      <c r="Q1045" s="481">
        <f t="shared" si="62"/>
        <v>105070</v>
      </c>
    </row>
    <row r="1046" spans="1:17" outlineLevel="2" x14ac:dyDescent="0.3">
      <c r="A1046" s="366" t="str">
        <f>IFERROR(VLOOKUP(RIGHT(E1046,3)+0,[1]SchLocTable!$A$2:$B$47,2,FALSE)," ")</f>
        <v>Batalla</v>
      </c>
      <c r="B1046" s="366" t="str">
        <f>VLOOKUP(VALUE(D1046),$D$3:F$106,3,FALSE)</f>
        <v>Kindergarten Teachers</v>
      </c>
      <c r="C1046" t="s">
        <v>314</v>
      </c>
      <c r="D1046">
        <v>809</v>
      </c>
      <c r="E1046" t="s">
        <v>518</v>
      </c>
      <c r="F1046" t="s">
        <v>321</v>
      </c>
      <c r="G1046" t="s">
        <v>319</v>
      </c>
      <c r="H1046" s="502">
        <v>52917</v>
      </c>
      <c r="I1046" s="415">
        <v>0</v>
      </c>
      <c r="J1046" s="415">
        <v>38661</v>
      </c>
      <c r="K1046" s="415">
        <v>28478.1</v>
      </c>
      <c r="L1046" s="415">
        <v>15635.1</v>
      </c>
      <c r="M1046" s="415">
        <v>87740.31</v>
      </c>
      <c r="N1046" s="415">
        <v>66679.570000000007</v>
      </c>
      <c r="O1046" s="415">
        <v>70546.87</v>
      </c>
      <c r="P1046" s="415">
        <v>76956.39</v>
      </c>
      <c r="Q1046" s="481">
        <f t="shared" si="62"/>
        <v>38661</v>
      </c>
    </row>
    <row r="1047" spans="1:17" outlineLevel="2" x14ac:dyDescent="0.3">
      <c r="A1047" s="366" t="str">
        <f>IFERROR(VLOOKUP(RIGHT(E1047,3)+0,[1]SchLocTable!$A$2:$B$47,2,FALSE)," ")</f>
        <v>Batalla</v>
      </c>
      <c r="B1047" s="366" t="str">
        <f>VLOOKUP(VALUE(D1047),$D$3:F$106,3,FALSE)</f>
        <v>Kindergarten Teachers</v>
      </c>
      <c r="C1047" t="s">
        <v>314</v>
      </c>
      <c r="D1047">
        <v>809</v>
      </c>
      <c r="E1047" t="s">
        <v>518</v>
      </c>
      <c r="F1047" t="s">
        <v>318</v>
      </c>
      <c r="G1047" t="s">
        <v>319</v>
      </c>
      <c r="H1047" s="502">
        <v>51140</v>
      </c>
      <c r="I1047" s="415">
        <v>1200</v>
      </c>
      <c r="J1047" s="415">
        <v>0</v>
      </c>
      <c r="K1047" s="415">
        <v>1200</v>
      </c>
      <c r="L1047" s="415">
        <v>1200</v>
      </c>
      <c r="M1047" s="415">
        <v>2100</v>
      </c>
      <c r="N1047" s="415">
        <v>2100</v>
      </c>
      <c r="O1047" s="415">
        <v>2000</v>
      </c>
      <c r="P1047" s="415">
        <v>1100</v>
      </c>
      <c r="Q1047" s="481">
        <f t="shared" si="62"/>
        <v>-1200</v>
      </c>
    </row>
    <row r="1048" spans="1:17" outlineLevel="2" x14ac:dyDescent="0.3">
      <c r="A1048" s="366" t="str">
        <f>IFERROR(VLOOKUP(RIGHT(E1048,3)+0,[1]SchLocTable!$A$2:$B$47,2,FALSE)," ")</f>
        <v>Batalla</v>
      </c>
      <c r="B1048" s="366" t="str">
        <f>VLOOKUP(VALUE(D1048),$D$3:F$106,3,FALSE)</f>
        <v>Kindergarten Teachers</v>
      </c>
      <c r="C1048" t="s">
        <v>314</v>
      </c>
      <c r="D1048">
        <v>809</v>
      </c>
      <c r="E1048" t="s">
        <v>518</v>
      </c>
      <c r="F1048" t="s">
        <v>320</v>
      </c>
      <c r="G1048" t="s">
        <v>319</v>
      </c>
      <c r="H1048" s="502">
        <v>52360</v>
      </c>
      <c r="I1048" s="415">
        <v>0</v>
      </c>
      <c r="J1048" s="415">
        <v>1371</v>
      </c>
      <c r="K1048" s="415">
        <v>1986.17</v>
      </c>
      <c r="L1048" s="415">
        <v>1361.69</v>
      </c>
      <c r="M1048" s="415">
        <v>3176.26</v>
      </c>
      <c r="N1048" s="415">
        <v>3090.06</v>
      </c>
      <c r="O1048" s="415">
        <v>2348.11</v>
      </c>
      <c r="P1048" s="415">
        <v>2900.74</v>
      </c>
      <c r="Q1048" s="481">
        <f t="shared" si="62"/>
        <v>1371</v>
      </c>
    </row>
    <row r="1049" spans="1:17" outlineLevel="2" x14ac:dyDescent="0.3">
      <c r="A1049" s="366" t="str">
        <f>IFERROR(VLOOKUP(RIGHT(E1049,3)+0,[1]SchLocTable!$A$2:$B$47,2,FALSE)," ")</f>
        <v>Batalla</v>
      </c>
      <c r="B1049" s="366" t="str">
        <f>VLOOKUP(VALUE(D1049),$D$3:F$106,3,FALSE)</f>
        <v>Kindergarten Teachers</v>
      </c>
      <c r="C1049" t="s">
        <v>314</v>
      </c>
      <c r="D1049">
        <v>809</v>
      </c>
      <c r="E1049" t="s">
        <v>518</v>
      </c>
      <c r="F1049" t="s">
        <v>324</v>
      </c>
      <c r="G1049" t="s">
        <v>319</v>
      </c>
      <c r="H1049" s="502">
        <v>52385</v>
      </c>
      <c r="I1049" s="415">
        <v>0</v>
      </c>
      <c r="J1049" s="415">
        <v>0</v>
      </c>
      <c r="K1049" s="415">
        <v>2642.75</v>
      </c>
      <c r="L1049" s="415">
        <v>1996.61</v>
      </c>
      <c r="M1049" s="415">
        <v>0</v>
      </c>
      <c r="N1049" s="415">
        <v>0</v>
      </c>
      <c r="O1049" s="415">
        <v>0</v>
      </c>
      <c r="P1049" s="415">
        <v>0</v>
      </c>
      <c r="Q1049" s="481">
        <f t="shared" si="62"/>
        <v>0</v>
      </c>
    </row>
    <row r="1050" spans="1:17" outlineLevel="2" x14ac:dyDescent="0.3">
      <c r="A1050" s="366" t="str">
        <f>IFERROR(VLOOKUP(RIGHT(E1050,3)+0,[1]SchLocTable!$A$2:$B$47,2,FALSE)," ")</f>
        <v>Park City Magnet</v>
      </c>
      <c r="B1050" s="366" t="str">
        <f>VLOOKUP(VALUE(D1050),$D$3:F$106,3,FALSE)</f>
        <v>Kindergarten Teachers</v>
      </c>
      <c r="C1050" t="s">
        <v>314</v>
      </c>
      <c r="D1050">
        <v>809</v>
      </c>
      <c r="E1050" t="s">
        <v>519</v>
      </c>
      <c r="F1050" t="s">
        <v>316</v>
      </c>
      <c r="G1050">
        <v>2</v>
      </c>
      <c r="H1050" s="502">
        <v>51000</v>
      </c>
      <c r="I1050" s="415">
        <v>0</v>
      </c>
      <c r="J1050" s="415">
        <v>189548</v>
      </c>
      <c r="K1050" s="415">
        <v>135897.4</v>
      </c>
      <c r="L1050" s="415">
        <v>111571.04</v>
      </c>
      <c r="M1050" s="415">
        <v>83462.44</v>
      </c>
      <c r="N1050" s="415">
        <v>80658.5</v>
      </c>
      <c r="O1050" s="415">
        <v>44201.01</v>
      </c>
      <c r="P1050" s="415">
        <v>76638.240000000005</v>
      </c>
      <c r="Q1050" s="481">
        <f t="shared" si="62"/>
        <v>189548</v>
      </c>
    </row>
    <row r="1051" spans="1:17" outlineLevel="2" x14ac:dyDescent="0.3">
      <c r="A1051" s="366" t="str">
        <f>IFERROR(VLOOKUP(RIGHT(E1051,3)+0,[1]SchLocTable!$A$2:$B$47,2,FALSE)," ")</f>
        <v>Park City Magnet</v>
      </c>
      <c r="B1051" s="366" t="str">
        <f>VLOOKUP(VALUE(D1051),$D$3:F$106,3,FALSE)</f>
        <v>Kindergarten Teachers</v>
      </c>
      <c r="C1051" t="s">
        <v>314</v>
      </c>
      <c r="D1051">
        <v>809</v>
      </c>
      <c r="E1051" t="s">
        <v>519</v>
      </c>
      <c r="F1051" t="s">
        <v>321</v>
      </c>
      <c r="G1051" t="s">
        <v>319</v>
      </c>
      <c r="H1051" s="502">
        <v>52917</v>
      </c>
      <c r="I1051" s="415">
        <v>0</v>
      </c>
      <c r="J1051" s="415">
        <v>13037.22</v>
      </c>
      <c r="K1051" s="415">
        <v>11844</v>
      </c>
      <c r="L1051" s="415">
        <v>9365.64</v>
      </c>
      <c r="M1051" s="415">
        <v>10956.75</v>
      </c>
      <c r="N1051" s="415">
        <v>9874.0300000000007</v>
      </c>
      <c r="O1051" s="415">
        <v>35874.769999999997</v>
      </c>
      <c r="P1051" s="415">
        <v>49571.34</v>
      </c>
      <c r="Q1051" s="481">
        <f t="shared" si="62"/>
        <v>13037.22</v>
      </c>
    </row>
    <row r="1052" spans="1:17" outlineLevel="2" x14ac:dyDescent="0.3">
      <c r="A1052" s="366" t="str">
        <f>IFERROR(VLOOKUP(RIGHT(E1052,3)+0,[1]SchLocTable!$A$2:$B$47,2,FALSE)," ")</f>
        <v>Park City Magnet</v>
      </c>
      <c r="B1052" s="366" t="str">
        <f>VLOOKUP(VALUE(D1052),$D$3:F$106,3,FALSE)</f>
        <v>Kindergarten Teachers</v>
      </c>
      <c r="C1052" t="s">
        <v>314</v>
      </c>
      <c r="D1052">
        <v>809</v>
      </c>
      <c r="E1052" t="s">
        <v>519</v>
      </c>
      <c r="F1052" t="s">
        <v>318</v>
      </c>
      <c r="G1052" t="s">
        <v>319</v>
      </c>
      <c r="H1052" s="502">
        <v>51140</v>
      </c>
      <c r="I1052" s="415">
        <v>2200</v>
      </c>
      <c r="J1052" s="415">
        <v>0</v>
      </c>
      <c r="K1052" s="415">
        <v>2200</v>
      </c>
      <c r="L1052" s="415">
        <v>2200</v>
      </c>
      <c r="M1052" s="415">
        <v>2200</v>
      </c>
      <c r="N1052" s="415">
        <v>1300</v>
      </c>
      <c r="O1052" s="415">
        <v>1300</v>
      </c>
      <c r="P1052" s="415">
        <v>1200</v>
      </c>
      <c r="Q1052" s="481">
        <f t="shared" si="62"/>
        <v>-2200</v>
      </c>
    </row>
    <row r="1053" spans="1:17" outlineLevel="2" x14ac:dyDescent="0.3">
      <c r="A1053" s="366" t="str">
        <f>IFERROR(VLOOKUP(RIGHT(E1053,3)+0,[1]SchLocTable!$A$2:$B$47,2,FALSE)," ")</f>
        <v>Park City Magnet</v>
      </c>
      <c r="B1053" s="366" t="str">
        <f>VLOOKUP(VALUE(D1053),$D$3:F$106,3,FALSE)</f>
        <v>Kindergarten Teachers</v>
      </c>
      <c r="C1053" t="s">
        <v>314</v>
      </c>
      <c r="D1053">
        <v>809</v>
      </c>
      <c r="E1053" t="s">
        <v>519</v>
      </c>
      <c r="F1053" t="s">
        <v>320</v>
      </c>
      <c r="G1053" t="s">
        <v>319</v>
      </c>
      <c r="H1053" s="502">
        <v>52360</v>
      </c>
      <c r="I1053" s="415">
        <v>0</v>
      </c>
      <c r="J1053" s="415">
        <v>2709</v>
      </c>
      <c r="K1053" s="415">
        <v>2618.58</v>
      </c>
      <c r="L1053" s="415">
        <v>2101.12</v>
      </c>
      <c r="M1053" s="415">
        <v>2408.16</v>
      </c>
      <c r="N1053" s="415">
        <v>2293.88</v>
      </c>
      <c r="O1053" s="415">
        <v>1652.32</v>
      </c>
      <c r="P1053" s="415">
        <v>2053.86</v>
      </c>
      <c r="Q1053" s="481">
        <f t="shared" si="62"/>
        <v>2709</v>
      </c>
    </row>
    <row r="1054" spans="1:17" outlineLevel="2" x14ac:dyDescent="0.3">
      <c r="A1054" s="366" t="str">
        <f>IFERROR(VLOOKUP(RIGHT(E1054,3)+0,[1]SchLocTable!$A$2:$B$47,2,FALSE)," ")</f>
        <v>Madison</v>
      </c>
      <c r="B1054" s="366" t="str">
        <f>VLOOKUP(VALUE(D1054),$D$3:F$106,3,FALSE)</f>
        <v>Kindergarten Teachers</v>
      </c>
      <c r="C1054" t="s">
        <v>314</v>
      </c>
      <c r="D1054">
        <v>809</v>
      </c>
      <c r="E1054" t="s">
        <v>520</v>
      </c>
      <c r="F1054" t="s">
        <v>316</v>
      </c>
      <c r="G1054">
        <v>2</v>
      </c>
      <c r="H1054" s="502">
        <v>51000</v>
      </c>
      <c r="I1054" s="415">
        <v>0</v>
      </c>
      <c r="J1054" s="415">
        <v>190786</v>
      </c>
      <c r="K1054" s="415">
        <v>143529.20000000001</v>
      </c>
      <c r="L1054" s="415">
        <v>108363.01</v>
      </c>
      <c r="M1054" s="415">
        <v>89892.84</v>
      </c>
      <c r="N1054" s="415">
        <v>96077.88</v>
      </c>
      <c r="O1054" s="415">
        <v>135308.84</v>
      </c>
      <c r="P1054" s="415">
        <v>180475.22</v>
      </c>
      <c r="Q1054" s="481">
        <f t="shared" si="62"/>
        <v>190786</v>
      </c>
    </row>
    <row r="1055" spans="1:17" outlineLevel="2" x14ac:dyDescent="0.3">
      <c r="A1055" s="366" t="str">
        <f>IFERROR(VLOOKUP(RIGHT(E1055,3)+0,[1]SchLocTable!$A$2:$B$47,2,FALSE)," ")</f>
        <v>Madison</v>
      </c>
      <c r="B1055" s="366" t="str">
        <f>VLOOKUP(VALUE(D1055),$D$3:F$106,3,FALSE)</f>
        <v>Kindergarten Teachers</v>
      </c>
      <c r="C1055" t="s">
        <v>314</v>
      </c>
      <c r="D1055">
        <v>809</v>
      </c>
      <c r="E1055" t="s">
        <v>520</v>
      </c>
      <c r="F1055" t="s">
        <v>321</v>
      </c>
      <c r="G1055" t="s">
        <v>319</v>
      </c>
      <c r="H1055" s="502">
        <v>52917</v>
      </c>
      <c r="I1055" s="415">
        <v>0</v>
      </c>
      <c r="J1055" s="415">
        <v>62740.44</v>
      </c>
      <c r="K1055" s="415">
        <v>56956.2</v>
      </c>
      <c r="L1055" s="415">
        <v>45007.65</v>
      </c>
      <c r="M1055" s="415">
        <v>52670.94</v>
      </c>
      <c r="N1055" s="415">
        <v>52011</v>
      </c>
      <c r="O1055" s="415">
        <v>70743.210000000006</v>
      </c>
      <c r="P1055" s="415">
        <v>68786.91</v>
      </c>
      <c r="Q1055" s="481">
        <f t="shared" si="62"/>
        <v>62740.44</v>
      </c>
    </row>
    <row r="1056" spans="1:17" outlineLevel="2" x14ac:dyDescent="0.3">
      <c r="A1056" s="366" t="str">
        <f>IFERROR(VLOOKUP(RIGHT(E1056,3)+0,[1]SchLocTable!$A$2:$B$47,2,FALSE)," ")</f>
        <v>Madison</v>
      </c>
      <c r="B1056" s="366" t="str">
        <f>VLOOKUP(VALUE(D1056),$D$3:F$106,3,FALSE)</f>
        <v>Kindergarten Teachers</v>
      </c>
      <c r="C1056" t="s">
        <v>314</v>
      </c>
      <c r="D1056">
        <v>809</v>
      </c>
      <c r="E1056" t="s">
        <v>520</v>
      </c>
      <c r="F1056" t="s">
        <v>318</v>
      </c>
      <c r="G1056" t="s">
        <v>319</v>
      </c>
      <c r="H1056" s="502">
        <v>51140</v>
      </c>
      <c r="I1056" s="415">
        <v>2300</v>
      </c>
      <c r="J1056" s="415">
        <v>0</v>
      </c>
      <c r="K1056" s="415">
        <v>2200</v>
      </c>
      <c r="L1056" s="415">
        <v>2200</v>
      </c>
      <c r="M1056" s="415">
        <v>2200</v>
      </c>
      <c r="N1056" s="415">
        <v>2200</v>
      </c>
      <c r="O1056" s="415">
        <v>4600</v>
      </c>
      <c r="P1056" s="415">
        <v>3100</v>
      </c>
      <c r="Q1056" s="481">
        <f t="shared" si="62"/>
        <v>-2300</v>
      </c>
    </row>
    <row r="1057" spans="1:17" outlineLevel="2" x14ac:dyDescent="0.3">
      <c r="A1057" s="366" t="str">
        <f>IFERROR(VLOOKUP(RIGHT(E1057,3)+0,[1]SchLocTable!$A$2:$B$47,2,FALSE)," ")</f>
        <v>Madison</v>
      </c>
      <c r="B1057" s="366" t="str">
        <f>VLOOKUP(VALUE(D1057),$D$3:F$106,3,FALSE)</f>
        <v>Kindergarten Teachers</v>
      </c>
      <c r="C1057" t="s">
        <v>314</v>
      </c>
      <c r="D1057">
        <v>809</v>
      </c>
      <c r="E1057" t="s">
        <v>520</v>
      </c>
      <c r="F1057" t="s">
        <v>320</v>
      </c>
      <c r="G1057" t="s">
        <v>319</v>
      </c>
      <c r="H1057" s="502">
        <v>52360</v>
      </c>
      <c r="I1057" s="415">
        <v>0</v>
      </c>
      <c r="J1057" s="415">
        <v>2459</v>
      </c>
      <c r="K1057" s="415">
        <v>2458.88</v>
      </c>
      <c r="L1057" s="415">
        <v>2022.57</v>
      </c>
      <c r="M1057" s="415">
        <v>2391.2199999999998</v>
      </c>
      <c r="N1057" s="415">
        <v>2505.41</v>
      </c>
      <c r="O1057" s="415">
        <v>2379.8000000000002</v>
      </c>
      <c r="P1057" s="415">
        <v>2349.64</v>
      </c>
      <c r="Q1057" s="481">
        <f t="shared" si="62"/>
        <v>2459</v>
      </c>
    </row>
    <row r="1058" spans="1:17" outlineLevel="2" x14ac:dyDescent="0.3">
      <c r="A1058" s="366" t="str">
        <f>IFERROR(VLOOKUP(RIGHT(E1058,3)+0,[1]SchLocTable!$A$2:$B$47,2,FALSE)," ")</f>
        <v>Classical Studies Academy</v>
      </c>
      <c r="B1058" s="366" t="str">
        <f>VLOOKUP(VALUE(D1058),$D$3:F$106,3,FALSE)</f>
        <v>Kindergarten Teachers</v>
      </c>
      <c r="C1058" t="s">
        <v>314</v>
      </c>
      <c r="D1058">
        <v>809</v>
      </c>
      <c r="E1058" t="s">
        <v>521</v>
      </c>
      <c r="F1058" t="s">
        <v>316</v>
      </c>
      <c r="G1058">
        <v>1</v>
      </c>
      <c r="H1058" s="502">
        <v>51000</v>
      </c>
      <c r="I1058" s="415">
        <v>88218.711880000003</v>
      </c>
      <c r="J1058" s="415">
        <v>83937.88</v>
      </c>
      <c r="K1058" s="415">
        <v>59847.6</v>
      </c>
      <c r="L1058" s="415">
        <v>77115</v>
      </c>
      <c r="M1058" s="415">
        <v>71420.539999999994</v>
      </c>
      <c r="N1058" s="415">
        <v>65263.07</v>
      </c>
      <c r="O1058" s="415">
        <v>61627</v>
      </c>
      <c r="P1058" s="415">
        <v>60655.56</v>
      </c>
      <c r="Q1058" s="481">
        <f t="shared" si="62"/>
        <v>-4280.8318799999979</v>
      </c>
    </row>
    <row r="1059" spans="1:17" outlineLevel="2" x14ac:dyDescent="0.3">
      <c r="A1059" s="366" t="str">
        <f>IFERROR(VLOOKUP(RIGHT(E1059,3)+0,[1]SchLocTable!$A$2:$B$47,2,FALSE)," ")</f>
        <v>Classical Studies Academy</v>
      </c>
      <c r="B1059" s="366" t="str">
        <f>VLOOKUP(VALUE(D1059),$D$3:F$106,3,FALSE)</f>
        <v>Kindergarten Teachers</v>
      </c>
      <c r="C1059" t="s">
        <v>314</v>
      </c>
      <c r="D1059">
        <v>809</v>
      </c>
      <c r="E1059" t="s">
        <v>521</v>
      </c>
      <c r="F1059" t="s">
        <v>321</v>
      </c>
      <c r="G1059" t="s">
        <v>319</v>
      </c>
      <c r="H1059" s="502">
        <v>52917</v>
      </c>
      <c r="I1059" s="415">
        <v>15644.663999999999</v>
      </c>
      <c r="J1059" s="415">
        <v>13037.22</v>
      </c>
      <c r="K1059" s="415">
        <v>11844</v>
      </c>
      <c r="L1059" s="415">
        <v>17237.61</v>
      </c>
      <c r="M1059" s="415">
        <v>11384.94</v>
      </c>
      <c r="N1059" s="415">
        <v>10712.52</v>
      </c>
      <c r="O1059" s="415">
        <v>10241.67</v>
      </c>
      <c r="P1059" s="415">
        <v>9693.81</v>
      </c>
      <c r="Q1059" s="481">
        <f t="shared" si="62"/>
        <v>-2607.4439999999995</v>
      </c>
    </row>
    <row r="1060" spans="1:17" outlineLevel="2" x14ac:dyDescent="0.3">
      <c r="A1060" s="366" t="str">
        <f>IFERROR(VLOOKUP(RIGHT(E1060,3)+0,[1]SchLocTable!$A$2:$B$47,2,FALSE)," ")</f>
        <v>Classical Studies Academy</v>
      </c>
      <c r="B1060" s="366" t="str">
        <f>VLOOKUP(VALUE(D1060),$D$3:F$106,3,FALSE)</f>
        <v>Kindergarten Teachers</v>
      </c>
      <c r="C1060" t="s">
        <v>314</v>
      </c>
      <c r="D1060">
        <v>809</v>
      </c>
      <c r="E1060" t="s">
        <v>521</v>
      </c>
      <c r="F1060" t="s">
        <v>320</v>
      </c>
      <c r="G1060" t="s">
        <v>319</v>
      </c>
      <c r="H1060" s="502">
        <v>52360</v>
      </c>
      <c r="I1060" s="415">
        <v>1279.1713222600001</v>
      </c>
      <c r="J1060" s="415">
        <v>1208.9000000000001</v>
      </c>
      <c r="K1060" s="415">
        <v>1076.77</v>
      </c>
      <c r="L1060" s="415">
        <v>1427.09</v>
      </c>
      <c r="M1060" s="415">
        <v>1989.4</v>
      </c>
      <c r="N1060" s="415">
        <v>1851.44</v>
      </c>
      <c r="O1060" s="415">
        <v>1748.79</v>
      </c>
      <c r="P1060" s="415">
        <v>1723.66</v>
      </c>
      <c r="Q1060" s="481">
        <f t="shared" si="62"/>
        <v>-70.271322260000034</v>
      </c>
    </row>
    <row r="1061" spans="1:17" outlineLevel="2" x14ac:dyDescent="0.3">
      <c r="A1061" s="366" t="str">
        <f>IFERROR(VLOOKUP(RIGHT(E1061,3)+0,[1]SchLocTable!$A$2:$B$47,2,FALSE)," ")</f>
        <v>Tisdale</v>
      </c>
      <c r="B1061" s="366" t="str">
        <f>VLOOKUP(VALUE(D1061),$D$3:F$106,3,FALSE)</f>
        <v>Kindergarten Teachers</v>
      </c>
      <c r="C1061" t="s">
        <v>314</v>
      </c>
      <c r="D1061">
        <v>809</v>
      </c>
      <c r="E1061" t="s">
        <v>522</v>
      </c>
      <c r="F1061" t="s">
        <v>316</v>
      </c>
      <c r="G1061">
        <v>2</v>
      </c>
      <c r="H1061" s="502">
        <v>51000</v>
      </c>
      <c r="I1061" s="415">
        <v>0</v>
      </c>
      <c r="J1061" s="415">
        <v>190476</v>
      </c>
      <c r="K1061" s="415">
        <v>145843.38</v>
      </c>
      <c r="L1061" s="415">
        <v>72683.17</v>
      </c>
      <c r="M1061" s="415">
        <v>134198.85</v>
      </c>
      <c r="N1061" s="415">
        <v>141997.38</v>
      </c>
      <c r="O1061" s="415">
        <v>137531.57999999999</v>
      </c>
      <c r="P1061" s="415">
        <v>178433.68</v>
      </c>
      <c r="Q1061" s="481">
        <f t="shared" si="62"/>
        <v>190476</v>
      </c>
    </row>
    <row r="1062" spans="1:17" outlineLevel="2" x14ac:dyDescent="0.3">
      <c r="A1062" s="366" t="str">
        <f>IFERROR(VLOOKUP(RIGHT(E1062,3)+0,[1]SchLocTable!$A$2:$B$47,2,FALSE)," ")</f>
        <v>Tisdale</v>
      </c>
      <c r="B1062" s="366" t="str">
        <f>VLOOKUP(VALUE(D1062),$D$3:F$106,3,FALSE)</f>
        <v>Kindergarten Teachers</v>
      </c>
      <c r="C1062" t="s">
        <v>314</v>
      </c>
      <c r="D1062">
        <v>809</v>
      </c>
      <c r="E1062" t="s">
        <v>522</v>
      </c>
      <c r="F1062" t="s">
        <v>321</v>
      </c>
      <c r="G1062" t="s">
        <v>319</v>
      </c>
      <c r="H1062" s="502">
        <v>52917</v>
      </c>
      <c r="I1062" s="415">
        <v>0</v>
      </c>
      <c r="J1062" s="415">
        <v>14321.58</v>
      </c>
      <c r="K1062" s="415">
        <v>13161.96</v>
      </c>
      <c r="L1062" s="415">
        <v>0</v>
      </c>
      <c r="M1062" s="415">
        <v>44690.31</v>
      </c>
      <c r="N1062" s="415">
        <v>42209.18</v>
      </c>
      <c r="O1062" s="415">
        <v>40591.14</v>
      </c>
      <c r="P1062" s="415">
        <v>12382.44</v>
      </c>
      <c r="Q1062" s="481">
        <f t="shared" si="62"/>
        <v>14321.58</v>
      </c>
    </row>
    <row r="1063" spans="1:17" outlineLevel="2" x14ac:dyDescent="0.3">
      <c r="A1063" s="366" t="str">
        <f>IFERROR(VLOOKUP(RIGHT(E1063,3)+0,[1]SchLocTable!$A$2:$B$47,2,FALSE)," ")</f>
        <v>Tisdale</v>
      </c>
      <c r="B1063" s="366" t="str">
        <f>VLOOKUP(VALUE(D1063),$D$3:F$106,3,FALSE)</f>
        <v>Kindergarten Teachers</v>
      </c>
      <c r="C1063" t="s">
        <v>314</v>
      </c>
      <c r="D1063">
        <v>809</v>
      </c>
      <c r="E1063" t="s">
        <v>522</v>
      </c>
      <c r="F1063" t="s">
        <v>318</v>
      </c>
      <c r="G1063" t="s">
        <v>319</v>
      </c>
      <c r="H1063" s="502">
        <v>51140</v>
      </c>
      <c r="I1063" s="415">
        <v>2000</v>
      </c>
      <c r="J1063" s="415">
        <v>0</v>
      </c>
      <c r="K1063" s="415">
        <v>1800</v>
      </c>
      <c r="L1063" s="415">
        <v>2200</v>
      </c>
      <c r="M1063" s="415">
        <v>4800</v>
      </c>
      <c r="N1063" s="415">
        <v>3500</v>
      </c>
      <c r="O1063" s="415">
        <v>2200</v>
      </c>
      <c r="P1063" s="415">
        <v>3100</v>
      </c>
      <c r="Q1063" s="481">
        <f t="shared" si="62"/>
        <v>-2000</v>
      </c>
    </row>
    <row r="1064" spans="1:17" outlineLevel="2" x14ac:dyDescent="0.3">
      <c r="A1064" s="366" t="str">
        <f>IFERROR(VLOOKUP(RIGHT(E1064,3)+0,[1]SchLocTable!$A$2:$B$47,2,FALSE)," ")</f>
        <v>Tisdale</v>
      </c>
      <c r="B1064" s="366" t="str">
        <f>VLOOKUP(VALUE(D1064),$D$3:F$106,3,FALSE)</f>
        <v>Kindergarten Teachers</v>
      </c>
      <c r="C1064" t="s">
        <v>314</v>
      </c>
      <c r="D1064">
        <v>809</v>
      </c>
      <c r="E1064" t="s">
        <v>522</v>
      </c>
      <c r="F1064" t="s">
        <v>320</v>
      </c>
      <c r="G1064" t="s">
        <v>319</v>
      </c>
      <c r="H1064" s="502">
        <v>52360</v>
      </c>
      <c r="I1064" s="415">
        <v>0</v>
      </c>
      <c r="J1064" s="415">
        <v>2716</v>
      </c>
      <c r="K1064" s="415">
        <v>2702.87</v>
      </c>
      <c r="L1064" s="415">
        <v>598.94000000000005</v>
      </c>
      <c r="M1064" s="415">
        <v>2503.6799999999998</v>
      </c>
      <c r="N1064" s="415">
        <v>2613.35</v>
      </c>
      <c r="O1064" s="415">
        <v>2496.09</v>
      </c>
      <c r="P1064" s="415">
        <v>2453.12</v>
      </c>
      <c r="Q1064" s="481">
        <f t="shared" si="62"/>
        <v>2716</v>
      </c>
    </row>
    <row r="1065" spans="1:17" outlineLevel="2" x14ac:dyDescent="0.3">
      <c r="A1065" s="366" t="str">
        <f>IFERROR(VLOOKUP(RIGHT(E1065,3)+0,[1]SchLocTable!$A$2:$B$47,2,FALSE)," ")</f>
        <v>Tisdale</v>
      </c>
      <c r="B1065" s="366" t="str">
        <f>VLOOKUP(VALUE(D1065),$D$3:F$106,3,FALSE)</f>
        <v>Kindergarten Teachers</v>
      </c>
      <c r="C1065" t="s">
        <v>314</v>
      </c>
      <c r="D1065">
        <v>809</v>
      </c>
      <c r="E1065" t="s">
        <v>522</v>
      </c>
      <c r="F1065" t="s">
        <v>329</v>
      </c>
      <c r="G1065" t="s">
        <v>319</v>
      </c>
      <c r="H1065" s="502">
        <v>51154</v>
      </c>
      <c r="I1065" s="415">
        <v>0</v>
      </c>
      <c r="J1065" s="415">
        <v>0</v>
      </c>
      <c r="K1065" s="415">
        <v>0</v>
      </c>
      <c r="L1065" s="415">
        <v>0</v>
      </c>
      <c r="M1065" s="415">
        <v>11375</v>
      </c>
      <c r="N1065" s="415">
        <v>0</v>
      </c>
      <c r="O1065" s="415">
        <v>0</v>
      </c>
      <c r="P1065" s="415">
        <v>0</v>
      </c>
      <c r="Q1065" s="481">
        <f t="shared" si="62"/>
        <v>0</v>
      </c>
    </row>
    <row r="1066" spans="1:17" outlineLevel="2" x14ac:dyDescent="0.3">
      <c r="A1066" s="366" t="str">
        <f>IFERROR(VLOOKUP(RIGHT(E1066,3)+0,[1]SchLocTable!$A$2:$B$47,2,FALSE)," ")</f>
        <v>Read</v>
      </c>
      <c r="B1066" s="366" t="str">
        <f>VLOOKUP(VALUE(D1066),$D$3:F$106,3,FALSE)</f>
        <v>Kindergarten Teachers</v>
      </c>
      <c r="C1066" t="s">
        <v>314</v>
      </c>
      <c r="D1066">
        <v>809</v>
      </c>
      <c r="E1066" t="s">
        <v>523</v>
      </c>
      <c r="F1066" t="s">
        <v>316</v>
      </c>
      <c r="G1066">
        <v>3</v>
      </c>
      <c r="H1066" s="502">
        <v>51000</v>
      </c>
      <c r="I1066" s="415">
        <v>0</v>
      </c>
      <c r="J1066" s="415">
        <v>197791</v>
      </c>
      <c r="K1066" s="415">
        <v>156287.62</v>
      </c>
      <c r="L1066" s="415">
        <v>96767.52</v>
      </c>
      <c r="M1066" s="415">
        <v>9006.8799999999992</v>
      </c>
      <c r="N1066" s="415">
        <v>132350.69</v>
      </c>
      <c r="O1066" s="415">
        <v>120354</v>
      </c>
      <c r="P1066" s="415">
        <v>165755.98000000001</v>
      </c>
      <c r="Q1066" s="481">
        <f t="shared" si="62"/>
        <v>197791</v>
      </c>
    </row>
    <row r="1067" spans="1:17" outlineLevel="2" x14ac:dyDescent="0.3">
      <c r="A1067" s="366" t="str">
        <f>IFERROR(VLOOKUP(RIGHT(E1067,3)+0,[1]SchLocTable!$A$2:$B$47,2,FALSE)," ")</f>
        <v>Read</v>
      </c>
      <c r="B1067" s="366" t="str">
        <f>VLOOKUP(VALUE(D1067),$D$3:F$106,3,FALSE)</f>
        <v>Kindergarten Teachers</v>
      </c>
      <c r="C1067" t="s">
        <v>314</v>
      </c>
      <c r="D1067">
        <v>809</v>
      </c>
      <c r="E1067" t="s">
        <v>523</v>
      </c>
      <c r="F1067" t="s">
        <v>321</v>
      </c>
      <c r="G1067" t="s">
        <v>319</v>
      </c>
      <c r="H1067" s="502">
        <v>52917</v>
      </c>
      <c r="I1067" s="415">
        <v>0</v>
      </c>
      <c r="J1067" s="415">
        <v>45189.69</v>
      </c>
      <c r="K1067" s="415">
        <v>41104.14</v>
      </c>
      <c r="L1067" s="415">
        <v>43320.99</v>
      </c>
      <c r="M1067" s="415">
        <v>59609.1</v>
      </c>
      <c r="N1067" s="415">
        <v>77827.75</v>
      </c>
      <c r="O1067" s="415">
        <v>81736.070000000007</v>
      </c>
      <c r="P1067" s="415">
        <v>76956.39</v>
      </c>
      <c r="Q1067" s="481">
        <f t="shared" si="62"/>
        <v>45189.69</v>
      </c>
    </row>
    <row r="1068" spans="1:17" outlineLevel="2" x14ac:dyDescent="0.3">
      <c r="A1068" s="366" t="str">
        <f>IFERROR(VLOOKUP(RIGHT(E1068,3)+0,[1]SchLocTable!$A$2:$B$47,2,FALSE)," ")</f>
        <v>Read</v>
      </c>
      <c r="B1068" s="366" t="str">
        <f>VLOOKUP(VALUE(D1068),$D$3:F$106,3,FALSE)</f>
        <v>Kindergarten Teachers</v>
      </c>
      <c r="C1068" t="s">
        <v>314</v>
      </c>
      <c r="D1068">
        <v>809</v>
      </c>
      <c r="E1068" t="s">
        <v>523</v>
      </c>
      <c r="F1068" t="s">
        <v>318</v>
      </c>
      <c r="G1068" t="s">
        <v>319</v>
      </c>
      <c r="H1068" s="502">
        <v>51140</v>
      </c>
      <c r="I1068" s="415">
        <v>0</v>
      </c>
      <c r="J1068" s="415">
        <v>0</v>
      </c>
      <c r="K1068" s="415">
        <v>0</v>
      </c>
      <c r="L1068" s="415">
        <v>900</v>
      </c>
      <c r="M1068" s="415">
        <v>0</v>
      </c>
      <c r="N1068" s="415">
        <v>1300</v>
      </c>
      <c r="O1068" s="415">
        <v>3300</v>
      </c>
      <c r="P1068" s="415">
        <v>2200</v>
      </c>
      <c r="Q1068" s="481">
        <f t="shared" si="62"/>
        <v>0</v>
      </c>
    </row>
    <row r="1069" spans="1:17" outlineLevel="2" x14ac:dyDescent="0.3">
      <c r="A1069" s="366" t="str">
        <f>IFERROR(VLOOKUP(RIGHT(E1069,3)+0,[1]SchLocTable!$A$2:$B$47,2,FALSE)," ")</f>
        <v>Read</v>
      </c>
      <c r="B1069" s="366" t="str">
        <f>VLOOKUP(VALUE(D1069),$D$3:F$106,3,FALSE)</f>
        <v>Kindergarten Teachers</v>
      </c>
      <c r="C1069" t="s">
        <v>314</v>
      </c>
      <c r="D1069">
        <v>809</v>
      </c>
      <c r="E1069" t="s">
        <v>523</v>
      </c>
      <c r="F1069" t="s">
        <v>320</v>
      </c>
      <c r="G1069" t="s">
        <v>319</v>
      </c>
      <c r="H1069" s="502">
        <v>52360</v>
      </c>
      <c r="I1069" s="415">
        <v>0</v>
      </c>
      <c r="J1069" s="415">
        <v>2625</v>
      </c>
      <c r="K1069" s="415">
        <v>2529.88</v>
      </c>
      <c r="L1069" s="415">
        <v>1948.33</v>
      </c>
      <c r="M1069" s="415">
        <v>1202.5899999999999</v>
      </c>
      <c r="N1069" s="415">
        <v>3528.09</v>
      </c>
      <c r="O1069" s="415">
        <v>3392.4</v>
      </c>
      <c r="P1069" s="415">
        <v>3178.64</v>
      </c>
      <c r="Q1069" s="481">
        <f t="shared" si="62"/>
        <v>2625</v>
      </c>
    </row>
    <row r="1070" spans="1:17" outlineLevel="2" x14ac:dyDescent="0.3">
      <c r="A1070" s="366" t="str">
        <f>IFERROR(VLOOKUP(RIGHT(E1070,3)+0,[1]SchLocTable!$A$2:$B$47,2,FALSE)," ")</f>
        <v>Roosevelt</v>
      </c>
      <c r="B1070" s="366" t="str">
        <f>VLOOKUP(VALUE(D1070),$D$3:F$106,3,FALSE)</f>
        <v>Kindergarten Teachers</v>
      </c>
      <c r="C1070" t="s">
        <v>314</v>
      </c>
      <c r="D1070">
        <v>809</v>
      </c>
      <c r="E1070" t="s">
        <v>524</v>
      </c>
      <c r="F1070" t="s">
        <v>316</v>
      </c>
      <c r="G1070">
        <v>2</v>
      </c>
      <c r="H1070" s="502">
        <v>51000</v>
      </c>
      <c r="I1070" s="415">
        <v>0</v>
      </c>
      <c r="J1070" s="415">
        <v>134427</v>
      </c>
      <c r="K1070" s="415">
        <v>97751.4</v>
      </c>
      <c r="L1070" s="415">
        <v>77529.289999999994</v>
      </c>
      <c r="M1070" s="415">
        <v>56408.36</v>
      </c>
      <c r="N1070" s="415">
        <v>51537.77</v>
      </c>
      <c r="O1070" s="415">
        <v>44115.26</v>
      </c>
      <c r="P1070" s="415">
        <v>70384.160000000003</v>
      </c>
      <c r="Q1070" s="481">
        <f t="shared" si="62"/>
        <v>134427</v>
      </c>
    </row>
    <row r="1071" spans="1:17" outlineLevel="2" x14ac:dyDescent="0.3">
      <c r="A1071" s="366" t="str">
        <f>IFERROR(VLOOKUP(RIGHT(E1071,3)+0,[1]SchLocTable!$A$2:$B$47,2,FALSE)," ")</f>
        <v>Roosevelt</v>
      </c>
      <c r="B1071" s="366" t="str">
        <f>VLOOKUP(VALUE(D1071),$D$3:F$106,3,FALSE)</f>
        <v>Kindergarten Teachers</v>
      </c>
      <c r="C1071" t="s">
        <v>314</v>
      </c>
      <c r="D1071">
        <v>809</v>
      </c>
      <c r="E1071" t="s">
        <v>524</v>
      </c>
      <c r="F1071" t="s">
        <v>321</v>
      </c>
      <c r="G1071" t="s">
        <v>319</v>
      </c>
      <c r="H1071" s="502">
        <v>52917</v>
      </c>
      <c r="I1071" s="415">
        <v>0</v>
      </c>
      <c r="J1071" s="415">
        <v>14247.66</v>
      </c>
      <c r="K1071" s="415">
        <v>13065.36</v>
      </c>
      <c r="L1071" s="415">
        <v>1153.5</v>
      </c>
      <c r="M1071" s="415">
        <v>1284.3599999999999</v>
      </c>
      <c r="N1071" s="415">
        <v>1370.6</v>
      </c>
      <c r="O1071" s="415">
        <v>17888.3</v>
      </c>
      <c r="P1071" s="415">
        <v>54027.42</v>
      </c>
      <c r="Q1071" s="481">
        <f t="shared" si="62"/>
        <v>14247.66</v>
      </c>
    </row>
    <row r="1072" spans="1:17" outlineLevel="2" x14ac:dyDescent="0.3">
      <c r="A1072" s="366" t="str">
        <f>IFERROR(VLOOKUP(RIGHT(E1072,3)+0,[1]SchLocTable!$A$2:$B$47,2,FALSE)," ")</f>
        <v>Roosevelt</v>
      </c>
      <c r="B1072" s="366" t="str">
        <f>VLOOKUP(VALUE(D1072),$D$3:F$106,3,FALSE)</f>
        <v>Kindergarten Teachers</v>
      </c>
      <c r="C1072" t="s">
        <v>314</v>
      </c>
      <c r="D1072">
        <v>809</v>
      </c>
      <c r="E1072" t="s">
        <v>524</v>
      </c>
      <c r="F1072" t="s">
        <v>318</v>
      </c>
      <c r="G1072" t="s">
        <v>319</v>
      </c>
      <c r="H1072" s="502">
        <v>51140</v>
      </c>
      <c r="I1072" s="415">
        <v>0</v>
      </c>
      <c r="J1072" s="415">
        <v>0</v>
      </c>
      <c r="K1072" s="415">
        <v>0</v>
      </c>
      <c r="L1072" s="415">
        <v>1100</v>
      </c>
      <c r="M1072" s="415">
        <v>0</v>
      </c>
      <c r="N1072" s="415">
        <v>0</v>
      </c>
      <c r="O1072" s="415">
        <v>0</v>
      </c>
      <c r="P1072" s="415">
        <v>0</v>
      </c>
      <c r="Q1072" s="481">
        <f t="shared" si="62"/>
        <v>0</v>
      </c>
    </row>
    <row r="1073" spans="1:17" outlineLevel="2" x14ac:dyDescent="0.3">
      <c r="A1073" s="366" t="str">
        <f>IFERROR(VLOOKUP(RIGHT(E1073,3)+0,[1]SchLocTable!$A$2:$B$47,2,FALSE)," ")</f>
        <v>Roosevelt</v>
      </c>
      <c r="B1073" s="366" t="str">
        <f>VLOOKUP(VALUE(D1073),$D$3:F$106,3,FALSE)</f>
        <v>Kindergarten Teachers</v>
      </c>
      <c r="C1073" t="s">
        <v>314</v>
      </c>
      <c r="D1073">
        <v>809</v>
      </c>
      <c r="E1073" t="s">
        <v>524</v>
      </c>
      <c r="F1073" t="s">
        <v>320</v>
      </c>
      <c r="G1073" t="s">
        <v>319</v>
      </c>
      <c r="H1073" s="502">
        <v>52360</v>
      </c>
      <c r="I1073" s="415">
        <v>0</v>
      </c>
      <c r="J1073" s="415">
        <v>1874</v>
      </c>
      <c r="K1073" s="415">
        <v>1788.78</v>
      </c>
      <c r="L1073" s="415">
        <v>1456.77</v>
      </c>
      <c r="M1073" s="415">
        <v>1632.56</v>
      </c>
      <c r="N1073" s="415">
        <v>1522.82</v>
      </c>
      <c r="O1073" s="415">
        <v>1421.88</v>
      </c>
      <c r="P1073" s="415">
        <v>1838.79</v>
      </c>
      <c r="Q1073" s="481">
        <f t="shared" si="62"/>
        <v>1874</v>
      </c>
    </row>
    <row r="1074" spans="1:17" outlineLevel="2" x14ac:dyDescent="0.3">
      <c r="A1074" s="366" t="str">
        <f>IFERROR(VLOOKUP(RIGHT(E1074,3)+0,[1]SchLocTable!$A$2:$B$47,2,FALSE)," ")</f>
        <v>Waltersville</v>
      </c>
      <c r="B1074" s="366" t="str">
        <f>VLOOKUP(VALUE(D1074),$D$3:F$106,3,FALSE)</f>
        <v>Kindergarten Teachers</v>
      </c>
      <c r="C1074" t="s">
        <v>314</v>
      </c>
      <c r="D1074">
        <v>809</v>
      </c>
      <c r="E1074" t="s">
        <v>525</v>
      </c>
      <c r="F1074" t="s">
        <v>316</v>
      </c>
      <c r="G1074">
        <v>2</v>
      </c>
      <c r="H1074" s="502">
        <v>51000</v>
      </c>
      <c r="I1074" s="415">
        <v>0</v>
      </c>
      <c r="J1074" s="415">
        <v>244942</v>
      </c>
      <c r="K1074" s="415">
        <v>203502.64</v>
      </c>
      <c r="L1074" s="415">
        <v>135249.26</v>
      </c>
      <c r="M1074" s="415">
        <v>90835.74</v>
      </c>
      <c r="N1074" s="415">
        <v>45650.15</v>
      </c>
      <c r="O1074" s="415">
        <v>89013.67</v>
      </c>
      <c r="P1074" s="415">
        <v>64776.58</v>
      </c>
      <c r="Q1074" s="481">
        <f t="shared" si="62"/>
        <v>244942</v>
      </c>
    </row>
    <row r="1075" spans="1:17" outlineLevel="1" x14ac:dyDescent="0.3">
      <c r="A1075" s="366" t="str">
        <f>IFERROR(VLOOKUP(RIGHT(E1075,3)+0,[1]SchLocTable!$A$2:$B$47,2,FALSE)," ")</f>
        <v>Waltersville</v>
      </c>
      <c r="B1075" s="366" t="str">
        <f>VLOOKUP(VALUE(D1075),$D$3:F$106,3,FALSE)</f>
        <v>Kindergarten Teachers</v>
      </c>
      <c r="C1075" t="s">
        <v>314</v>
      </c>
      <c r="D1075">
        <v>809</v>
      </c>
      <c r="E1075" t="s">
        <v>525</v>
      </c>
      <c r="F1075" t="s">
        <v>321</v>
      </c>
      <c r="G1075" t="s">
        <v>319</v>
      </c>
      <c r="H1075" s="502">
        <v>52917</v>
      </c>
      <c r="I1075" s="415">
        <v>0</v>
      </c>
      <c r="J1075" s="415">
        <v>70577</v>
      </c>
      <c r="K1075" s="415">
        <v>57093.599999999999</v>
      </c>
      <c r="L1075" s="415">
        <v>46380.3</v>
      </c>
      <c r="M1075" s="415">
        <v>21905.1</v>
      </c>
      <c r="N1075" s="415">
        <v>20410.11</v>
      </c>
      <c r="O1075" s="415">
        <v>32520.51</v>
      </c>
      <c r="P1075" s="415">
        <v>49571.34</v>
      </c>
      <c r="Q1075" s="481">
        <f t="shared" si="62"/>
        <v>70577</v>
      </c>
    </row>
    <row r="1076" spans="1:17" outlineLevel="2" x14ac:dyDescent="0.3">
      <c r="A1076" s="366" t="str">
        <f>IFERROR(VLOOKUP(RIGHT(E1076,3)+0,[1]SchLocTable!$A$2:$B$47,2,FALSE)," ")</f>
        <v>Waltersville</v>
      </c>
      <c r="B1076" s="366" t="str">
        <f>VLOOKUP(VALUE(D1076),$D$3:F$106,3,FALSE)</f>
        <v>Kindergarten Teachers</v>
      </c>
      <c r="C1076" t="s">
        <v>314</v>
      </c>
      <c r="D1076">
        <v>809</v>
      </c>
      <c r="E1076" t="s">
        <v>525</v>
      </c>
      <c r="F1076" t="s">
        <v>318</v>
      </c>
      <c r="G1076" t="s">
        <v>319</v>
      </c>
      <c r="H1076" s="502">
        <v>51140</v>
      </c>
      <c r="I1076" s="415">
        <v>0</v>
      </c>
      <c r="J1076" s="415">
        <v>0</v>
      </c>
      <c r="K1076" s="415">
        <v>900</v>
      </c>
      <c r="L1076" s="415">
        <v>3500</v>
      </c>
      <c r="M1076" s="415">
        <v>0</v>
      </c>
      <c r="N1076" s="415">
        <v>0</v>
      </c>
      <c r="O1076" s="415">
        <v>900</v>
      </c>
      <c r="P1076" s="415">
        <v>900</v>
      </c>
      <c r="Q1076" s="481">
        <f t="shared" si="62"/>
        <v>0</v>
      </c>
    </row>
    <row r="1077" spans="1:17" outlineLevel="2" x14ac:dyDescent="0.3">
      <c r="A1077" s="366" t="str">
        <f>IFERROR(VLOOKUP(RIGHT(E1077,3)+0,[1]SchLocTable!$A$2:$B$47,2,FALSE)," ")</f>
        <v>Waltersville</v>
      </c>
      <c r="B1077" s="366" t="str">
        <f>VLOOKUP(VALUE(D1077),$D$3:F$106,3,FALSE)</f>
        <v>Kindergarten Teachers</v>
      </c>
      <c r="C1077" t="s">
        <v>314</v>
      </c>
      <c r="D1077">
        <v>809</v>
      </c>
      <c r="E1077" t="s">
        <v>525</v>
      </c>
      <c r="F1077" t="s">
        <v>320</v>
      </c>
      <c r="G1077" t="s">
        <v>319</v>
      </c>
      <c r="H1077" s="502">
        <v>52360</v>
      </c>
      <c r="I1077" s="415">
        <v>0</v>
      </c>
      <c r="J1077" s="415">
        <v>3258</v>
      </c>
      <c r="K1077" s="415">
        <v>3151.23</v>
      </c>
      <c r="L1077" s="415">
        <v>2573.1999999999998</v>
      </c>
      <c r="M1077" s="415">
        <v>1627.54</v>
      </c>
      <c r="N1077" s="415">
        <v>1349.24</v>
      </c>
      <c r="O1077" s="415">
        <v>1738.47</v>
      </c>
      <c r="P1077" s="415">
        <v>2807.03</v>
      </c>
      <c r="Q1077" s="481">
        <f t="shared" si="62"/>
        <v>3258</v>
      </c>
    </row>
    <row r="1078" spans="1:17" outlineLevel="2" x14ac:dyDescent="0.3">
      <c r="A1078" s="366" t="str">
        <f>IFERROR(VLOOKUP(RIGHT(E1078,3)+0,[1]SchLocTable!$A$2:$B$47,2,FALSE)," ")</f>
        <v>Claytor</v>
      </c>
      <c r="B1078" s="366" t="str">
        <f>VLOOKUP(VALUE(D1078),$D$3:F$106,3,FALSE)</f>
        <v>Kindergarten Teachers</v>
      </c>
      <c r="C1078" t="s">
        <v>314</v>
      </c>
      <c r="D1078">
        <v>809</v>
      </c>
      <c r="E1078" t="s">
        <v>526</v>
      </c>
      <c r="F1078" t="s">
        <v>316</v>
      </c>
      <c r="G1078">
        <v>1</v>
      </c>
      <c r="H1078" s="502">
        <v>51000</v>
      </c>
      <c r="I1078" s="415">
        <v>100258.00096</v>
      </c>
      <c r="J1078" s="415">
        <v>50583.61</v>
      </c>
      <c r="K1078" s="415">
        <v>41370.75</v>
      </c>
      <c r="L1078" s="415">
        <v>33655.300000000003</v>
      </c>
      <c r="M1078" s="415">
        <v>52902.98</v>
      </c>
      <c r="N1078" s="415">
        <v>26410.2</v>
      </c>
      <c r="O1078" s="415">
        <v>88434</v>
      </c>
      <c r="P1078" s="415">
        <v>63970.12</v>
      </c>
      <c r="Q1078" s="481">
        <f t="shared" si="62"/>
        <v>-49674.390960000004</v>
      </c>
    </row>
    <row r="1079" spans="1:17" outlineLevel="2" x14ac:dyDescent="0.3">
      <c r="A1079" s="366" t="str">
        <f>IFERROR(VLOOKUP(RIGHT(E1079,3)+0,[1]SchLocTable!$A$2:$B$47,2,FALSE)," ")</f>
        <v>Claytor</v>
      </c>
      <c r="B1079" s="366" t="str">
        <f>VLOOKUP(VALUE(D1079),$D$3:F$106,3,FALSE)</f>
        <v>Kindergarten Teachers</v>
      </c>
      <c r="C1079" t="s">
        <v>314</v>
      </c>
      <c r="D1079">
        <v>809</v>
      </c>
      <c r="E1079" t="s">
        <v>526</v>
      </c>
      <c r="F1079" t="s">
        <v>321</v>
      </c>
      <c r="G1079" t="s">
        <v>319</v>
      </c>
      <c r="H1079" s="502">
        <v>52917</v>
      </c>
      <c r="I1079" s="415">
        <v>46330.955999999998</v>
      </c>
      <c r="J1079" s="415">
        <v>0</v>
      </c>
      <c r="K1079" s="415">
        <v>11844</v>
      </c>
      <c r="L1079" s="415">
        <v>9365.64</v>
      </c>
      <c r="M1079" s="415">
        <v>10956.75</v>
      </c>
      <c r="N1079" s="415">
        <v>10232.879999999999</v>
      </c>
      <c r="O1079" s="415">
        <v>38975.79</v>
      </c>
      <c r="P1079" s="415">
        <v>36630.720000000001</v>
      </c>
      <c r="Q1079" s="481">
        <f t="shared" si="62"/>
        <v>-46330.955999999998</v>
      </c>
    </row>
    <row r="1080" spans="1:17" outlineLevel="2" x14ac:dyDescent="0.3">
      <c r="A1080" s="366" t="str">
        <f>IFERROR(VLOOKUP(RIGHT(E1080,3)+0,[1]SchLocTable!$A$2:$B$47,2,FALSE)," ")</f>
        <v>Claytor</v>
      </c>
      <c r="B1080" s="366" t="str">
        <f>VLOOKUP(VALUE(D1080),$D$3:F$106,3,FALSE)</f>
        <v>Kindergarten Teachers</v>
      </c>
      <c r="C1080" t="s">
        <v>314</v>
      </c>
      <c r="D1080">
        <v>809</v>
      </c>
      <c r="E1080" t="s">
        <v>526</v>
      </c>
      <c r="F1080" t="s">
        <v>318</v>
      </c>
      <c r="G1080" t="s">
        <v>319</v>
      </c>
      <c r="H1080" s="502">
        <v>51140</v>
      </c>
      <c r="I1080" s="415">
        <v>0</v>
      </c>
      <c r="J1080" s="415">
        <v>0</v>
      </c>
      <c r="K1080" s="415">
        <v>0</v>
      </c>
      <c r="L1080" s="415">
        <v>1200</v>
      </c>
      <c r="M1080" s="415">
        <v>0</v>
      </c>
      <c r="N1080" s="415">
        <v>0</v>
      </c>
      <c r="O1080" s="415">
        <v>0</v>
      </c>
      <c r="P1080" s="415">
        <v>0</v>
      </c>
      <c r="Q1080" s="481">
        <f t="shared" si="62"/>
        <v>0</v>
      </c>
    </row>
    <row r="1081" spans="1:17" outlineLevel="2" x14ac:dyDescent="0.3">
      <c r="A1081" s="366" t="str">
        <f>IFERROR(VLOOKUP(RIGHT(E1081,3)+0,[1]SchLocTable!$A$2:$B$47,2,FALSE)," ")</f>
        <v>Claytor</v>
      </c>
      <c r="B1081" s="366" t="str">
        <f>VLOOKUP(VALUE(D1081),$D$3:F$106,3,FALSE)</f>
        <v>Kindergarten Teachers</v>
      </c>
      <c r="C1081" t="s">
        <v>314</v>
      </c>
      <c r="D1081">
        <v>809</v>
      </c>
      <c r="E1081" t="s">
        <v>526</v>
      </c>
      <c r="F1081" t="s">
        <v>320</v>
      </c>
      <c r="G1081" t="s">
        <v>319</v>
      </c>
      <c r="H1081" s="502">
        <v>52360</v>
      </c>
      <c r="I1081" s="415">
        <v>1453.7410139200001</v>
      </c>
      <c r="J1081" s="415">
        <v>733.46</v>
      </c>
      <c r="K1081" s="415">
        <v>789.26</v>
      </c>
      <c r="L1081" s="415">
        <v>640.12</v>
      </c>
      <c r="M1081" s="415">
        <v>722.93</v>
      </c>
      <c r="N1081" s="415">
        <v>696.9</v>
      </c>
      <c r="O1081" s="415">
        <v>1660.1</v>
      </c>
      <c r="P1081" s="415">
        <v>1641.48</v>
      </c>
      <c r="Q1081" s="481">
        <f t="shared" si="62"/>
        <v>-720.28101392000008</v>
      </c>
    </row>
    <row r="1082" spans="1:17" outlineLevel="2" x14ac:dyDescent="0.3">
      <c r="A1082" s="366" t="str">
        <f>IFERROR(VLOOKUP(RIGHT(E1082,3)+0,[1]SchLocTable!$A$2:$B$47,2,FALSE)," ")</f>
        <v>Johnson</v>
      </c>
      <c r="B1082" s="366" t="str">
        <f>VLOOKUP(VALUE(D1082),$D$3:F$106,3,FALSE)</f>
        <v>Kindergarten Teachers</v>
      </c>
      <c r="C1082" t="s">
        <v>314</v>
      </c>
      <c r="D1082">
        <v>809</v>
      </c>
      <c r="E1082" t="s">
        <v>527</v>
      </c>
      <c r="F1082" t="s">
        <v>316</v>
      </c>
      <c r="G1082">
        <v>3</v>
      </c>
      <c r="H1082" s="502">
        <v>51000</v>
      </c>
      <c r="I1082" s="415">
        <v>0</v>
      </c>
      <c r="J1082" s="415">
        <v>273322</v>
      </c>
      <c r="K1082" s="415">
        <v>226816.35</v>
      </c>
      <c r="L1082" s="415">
        <v>126918.36</v>
      </c>
      <c r="M1082" s="415">
        <v>111912.49</v>
      </c>
      <c r="N1082" s="415">
        <v>103691.02</v>
      </c>
      <c r="O1082" s="415">
        <v>106496.92</v>
      </c>
      <c r="P1082" s="415">
        <v>137951.18</v>
      </c>
      <c r="Q1082" s="481">
        <f t="shared" si="62"/>
        <v>273322</v>
      </c>
    </row>
    <row r="1083" spans="1:17" outlineLevel="2" x14ac:dyDescent="0.3">
      <c r="A1083" s="366" t="str">
        <f>IFERROR(VLOOKUP(RIGHT(E1083,3)+0,[1]SchLocTable!$A$2:$B$47,2,FALSE)," ")</f>
        <v>Johnson</v>
      </c>
      <c r="B1083" s="366" t="str">
        <f>VLOOKUP(VALUE(D1083),$D$3:F$106,3,FALSE)</f>
        <v>Kindergarten Teachers</v>
      </c>
      <c r="C1083" t="s">
        <v>314</v>
      </c>
      <c r="D1083">
        <v>809</v>
      </c>
      <c r="E1083" t="s">
        <v>527</v>
      </c>
      <c r="F1083" t="s">
        <v>321</v>
      </c>
      <c r="G1083" t="s">
        <v>319</v>
      </c>
      <c r="H1083" s="502">
        <v>52917</v>
      </c>
      <c r="I1083" s="415">
        <v>0</v>
      </c>
      <c r="J1083" s="415">
        <v>28469.89</v>
      </c>
      <c r="K1083" s="415">
        <v>25999.78</v>
      </c>
      <c r="L1083" s="415">
        <v>9705.48</v>
      </c>
      <c r="M1083" s="415">
        <v>11380.74</v>
      </c>
      <c r="N1083" s="415">
        <v>10656.87</v>
      </c>
      <c r="O1083" s="415">
        <v>29077.5</v>
      </c>
      <c r="P1083" s="415">
        <v>23844.89</v>
      </c>
      <c r="Q1083" s="481">
        <f t="shared" si="62"/>
        <v>28469.89</v>
      </c>
    </row>
    <row r="1084" spans="1:17" outlineLevel="2" x14ac:dyDescent="0.3">
      <c r="A1084" s="366" t="str">
        <f>IFERROR(VLOOKUP(RIGHT(E1084,3)+0,[1]SchLocTable!$A$2:$B$47,2,FALSE)," ")</f>
        <v>Johnson</v>
      </c>
      <c r="B1084" s="366" t="str">
        <f>VLOOKUP(VALUE(D1084),$D$3:F$106,3,FALSE)</f>
        <v>Kindergarten Teachers</v>
      </c>
      <c r="C1084" t="s">
        <v>314</v>
      </c>
      <c r="D1084">
        <v>809</v>
      </c>
      <c r="E1084" t="s">
        <v>527</v>
      </c>
      <c r="F1084" t="s">
        <v>318</v>
      </c>
      <c r="G1084" t="s">
        <v>319</v>
      </c>
      <c r="H1084" s="502">
        <v>51140</v>
      </c>
      <c r="I1084" s="415">
        <v>1100</v>
      </c>
      <c r="J1084" s="415">
        <v>0</v>
      </c>
      <c r="K1084" s="415">
        <v>1100</v>
      </c>
      <c r="L1084" s="415">
        <v>1100</v>
      </c>
      <c r="M1084" s="415">
        <v>1100</v>
      </c>
      <c r="N1084" s="415">
        <v>900</v>
      </c>
      <c r="O1084" s="415">
        <v>900</v>
      </c>
      <c r="P1084" s="415">
        <v>900</v>
      </c>
      <c r="Q1084" s="481">
        <f t="shared" si="62"/>
        <v>-1100</v>
      </c>
    </row>
    <row r="1085" spans="1:17" outlineLevel="2" x14ac:dyDescent="0.3">
      <c r="A1085" s="366" t="str">
        <f>IFERROR(VLOOKUP(RIGHT(E1085,3)+0,[1]SchLocTable!$A$2:$B$47,2,FALSE)," ")</f>
        <v>Johnson</v>
      </c>
      <c r="B1085" s="366" t="str">
        <f>VLOOKUP(VALUE(D1085),$D$3:F$106,3,FALSE)</f>
        <v>Kindergarten Teachers</v>
      </c>
      <c r="C1085" t="s">
        <v>314</v>
      </c>
      <c r="D1085">
        <v>809</v>
      </c>
      <c r="E1085" t="s">
        <v>527</v>
      </c>
      <c r="F1085" t="s">
        <v>320</v>
      </c>
      <c r="G1085" t="s">
        <v>319</v>
      </c>
      <c r="H1085" s="502">
        <v>52360</v>
      </c>
      <c r="I1085" s="415">
        <v>0</v>
      </c>
      <c r="J1085" s="415">
        <v>3832</v>
      </c>
      <c r="K1085" s="415">
        <v>3700.91</v>
      </c>
      <c r="L1085" s="415">
        <v>2367.2600000000002</v>
      </c>
      <c r="M1085" s="415">
        <v>2660.92</v>
      </c>
      <c r="N1085" s="415">
        <v>2870.23</v>
      </c>
      <c r="O1085" s="415">
        <v>3200.11</v>
      </c>
      <c r="P1085" s="415">
        <v>3214.81</v>
      </c>
      <c r="Q1085" s="481">
        <f t="shared" si="62"/>
        <v>3832</v>
      </c>
    </row>
    <row r="1086" spans="1:17" outlineLevel="2" x14ac:dyDescent="0.3">
      <c r="A1086" s="366" t="str">
        <f>IFERROR(VLOOKUP(RIGHT(E1086,3)+0,[1]SchLocTable!$A$2:$B$47,2,FALSE)," ")</f>
        <v>Johnson</v>
      </c>
      <c r="B1086" s="366" t="str">
        <f>VLOOKUP(VALUE(D1086),$D$3:F$106,3,FALSE)</f>
        <v>Kindergarten Teachers</v>
      </c>
      <c r="C1086" t="s">
        <v>314</v>
      </c>
      <c r="D1086">
        <v>809</v>
      </c>
      <c r="E1086" t="s">
        <v>527</v>
      </c>
      <c r="F1086" t="s">
        <v>324</v>
      </c>
      <c r="G1086" t="s">
        <v>319</v>
      </c>
      <c r="H1086" s="502">
        <v>52385</v>
      </c>
      <c r="I1086" s="415">
        <v>0</v>
      </c>
      <c r="J1086" s="415">
        <v>0</v>
      </c>
      <c r="K1086" s="415">
        <v>584.02</v>
      </c>
      <c r="L1086" s="415">
        <v>731.48</v>
      </c>
      <c r="M1086" s="415">
        <v>0</v>
      </c>
      <c r="N1086" s="415">
        <v>0</v>
      </c>
      <c r="O1086" s="415">
        <v>0</v>
      </c>
      <c r="P1086" s="415">
        <v>0</v>
      </c>
      <c r="Q1086" s="481">
        <f t="shared" si="62"/>
        <v>0</v>
      </c>
    </row>
    <row r="1087" spans="1:17" outlineLevel="2" x14ac:dyDescent="0.3">
      <c r="A1087" s="366" t="str">
        <f>IFERROR(VLOOKUP(RIGHT(E1087,3)+0,[1]SchLocTable!$A$2:$B$47,2,FALSE)," ")</f>
        <v>Winthrop</v>
      </c>
      <c r="B1087" s="366" t="str">
        <f>VLOOKUP(VALUE(D1087),$D$3:F$106,3,FALSE)</f>
        <v>Kindergarten Teachers</v>
      </c>
      <c r="C1087" t="s">
        <v>314</v>
      </c>
      <c r="D1087">
        <v>809</v>
      </c>
      <c r="E1087" t="s">
        <v>528</v>
      </c>
      <c r="F1087" t="s">
        <v>316</v>
      </c>
      <c r="G1087">
        <v>2</v>
      </c>
      <c r="H1087" s="502">
        <v>51000</v>
      </c>
      <c r="I1087" s="415">
        <v>0</v>
      </c>
      <c r="J1087" s="415">
        <v>179331</v>
      </c>
      <c r="K1087" s="415">
        <v>131612.20000000001</v>
      </c>
      <c r="L1087" s="415">
        <v>89029.14</v>
      </c>
      <c r="M1087" s="415">
        <v>132669.5</v>
      </c>
      <c r="N1087" s="415">
        <v>106336</v>
      </c>
      <c r="O1087" s="415">
        <v>128578.13</v>
      </c>
      <c r="P1087" s="415">
        <v>126552.78</v>
      </c>
      <c r="Q1087" s="481">
        <f t="shared" ref="Q1087:Q1150" si="63">J1087-I1087</f>
        <v>179331</v>
      </c>
    </row>
    <row r="1088" spans="1:17" outlineLevel="2" x14ac:dyDescent="0.3">
      <c r="A1088" s="366" t="str">
        <f>IFERROR(VLOOKUP(RIGHT(E1088,3)+0,[1]SchLocTable!$A$2:$B$47,2,FALSE)," ")</f>
        <v>Winthrop</v>
      </c>
      <c r="B1088" s="366" t="str">
        <f>VLOOKUP(VALUE(D1088),$D$3:F$106,3,FALSE)</f>
        <v>Kindergarten Teachers</v>
      </c>
      <c r="C1088" t="s">
        <v>314</v>
      </c>
      <c r="D1088">
        <v>809</v>
      </c>
      <c r="E1088" t="s">
        <v>528</v>
      </c>
      <c r="F1088" t="s">
        <v>321</v>
      </c>
      <c r="G1088" t="s">
        <v>319</v>
      </c>
      <c r="H1088" s="502">
        <v>52917</v>
      </c>
      <c r="I1088" s="415">
        <v>0</v>
      </c>
      <c r="J1088" s="415">
        <v>69979.350000000006</v>
      </c>
      <c r="K1088" s="415">
        <v>63553.98</v>
      </c>
      <c r="L1088" s="415">
        <v>50242.05</v>
      </c>
      <c r="M1088" s="415">
        <v>58784.67</v>
      </c>
      <c r="N1088" s="415">
        <v>54870.9</v>
      </c>
      <c r="O1088" s="415">
        <v>67749.570000000007</v>
      </c>
      <c r="P1088" s="415">
        <v>77098.14</v>
      </c>
      <c r="Q1088" s="481">
        <f t="shared" si="63"/>
        <v>69979.350000000006</v>
      </c>
    </row>
    <row r="1089" spans="1:17" outlineLevel="2" x14ac:dyDescent="0.3">
      <c r="A1089" s="366" t="str">
        <f>IFERROR(VLOOKUP(RIGHT(E1089,3)+0,[1]SchLocTable!$A$2:$B$47,2,FALSE)," ")</f>
        <v>Winthrop</v>
      </c>
      <c r="B1089" s="366" t="str">
        <f>VLOOKUP(VALUE(D1089),$D$3:F$106,3,FALSE)</f>
        <v>Kindergarten Teachers</v>
      </c>
      <c r="C1089" t="s">
        <v>314</v>
      </c>
      <c r="D1089">
        <v>809</v>
      </c>
      <c r="E1089" t="s">
        <v>528</v>
      </c>
      <c r="F1089" t="s">
        <v>318</v>
      </c>
      <c r="G1089" t="s">
        <v>319</v>
      </c>
      <c r="H1089" s="502">
        <v>51140</v>
      </c>
      <c r="I1089" s="415">
        <v>1200</v>
      </c>
      <c r="J1089" s="415">
        <v>0</v>
      </c>
      <c r="K1089" s="415">
        <v>1200</v>
      </c>
      <c r="L1089" s="415">
        <v>1200</v>
      </c>
      <c r="M1089" s="415">
        <v>1200</v>
      </c>
      <c r="N1089" s="415">
        <v>1200</v>
      </c>
      <c r="O1089" s="415">
        <v>1100</v>
      </c>
      <c r="P1089" s="415">
        <v>1100</v>
      </c>
      <c r="Q1089" s="481">
        <f t="shared" si="63"/>
        <v>-1200</v>
      </c>
    </row>
    <row r="1090" spans="1:17" outlineLevel="2" x14ac:dyDescent="0.3">
      <c r="A1090" s="366" t="str">
        <f>IFERROR(VLOOKUP(RIGHT(E1090,3)+0,[1]SchLocTable!$A$2:$B$47,2,FALSE)," ")</f>
        <v>Winthrop</v>
      </c>
      <c r="B1090" s="366" t="str">
        <f>VLOOKUP(VALUE(D1090),$D$3:F$106,3,FALSE)</f>
        <v>Kindergarten Teachers</v>
      </c>
      <c r="C1090" t="s">
        <v>314</v>
      </c>
      <c r="D1090">
        <v>809</v>
      </c>
      <c r="E1090" t="s">
        <v>528</v>
      </c>
      <c r="F1090" t="s">
        <v>320</v>
      </c>
      <c r="G1090" t="s">
        <v>319</v>
      </c>
      <c r="H1090" s="502">
        <v>52360</v>
      </c>
      <c r="I1090" s="415">
        <v>0</v>
      </c>
      <c r="J1090" s="415">
        <v>2239</v>
      </c>
      <c r="K1090" s="415">
        <v>2226.6799999999998</v>
      </c>
      <c r="L1090" s="415">
        <v>1757.47</v>
      </c>
      <c r="M1090" s="415">
        <v>2733.44</v>
      </c>
      <c r="N1090" s="415">
        <v>2886.59</v>
      </c>
      <c r="O1090" s="415">
        <v>2689.77</v>
      </c>
      <c r="P1090" s="415">
        <v>2612.3200000000002</v>
      </c>
      <c r="Q1090" s="481">
        <f t="shared" si="63"/>
        <v>2239</v>
      </c>
    </row>
    <row r="1091" spans="1:17" outlineLevel="2" x14ac:dyDescent="0.3">
      <c r="A1091" s="366" t="str">
        <f>IFERROR(VLOOKUP(RIGHT(E1091,3)+0,[1]SchLocTable!$A$2:$B$47,2,FALSE)," ")</f>
        <v>Discovery</v>
      </c>
      <c r="B1091" s="366" t="str">
        <f>VLOOKUP(VALUE(D1091),$D$3:F$106,3,FALSE)</f>
        <v>Kindergarten Teachers</v>
      </c>
      <c r="C1091" t="s">
        <v>314</v>
      </c>
      <c r="D1091">
        <v>809</v>
      </c>
      <c r="E1091" t="s">
        <v>529</v>
      </c>
      <c r="F1091" t="s">
        <v>316</v>
      </c>
      <c r="G1091">
        <v>1</v>
      </c>
      <c r="H1091" s="502">
        <v>51000</v>
      </c>
      <c r="I1091" s="415">
        <v>0</v>
      </c>
      <c r="J1091" s="415">
        <v>105070</v>
      </c>
      <c r="K1091" s="415">
        <v>55331.22</v>
      </c>
      <c r="L1091" s="415">
        <v>63146.32</v>
      </c>
      <c r="M1091" s="415">
        <v>28611.5</v>
      </c>
      <c r="N1091" s="415">
        <v>17448.62</v>
      </c>
      <c r="O1091" s="415">
        <v>14813.85</v>
      </c>
      <c r="P1091" s="415">
        <v>37909.53</v>
      </c>
      <c r="Q1091" s="481">
        <f t="shared" si="63"/>
        <v>105070</v>
      </c>
    </row>
    <row r="1092" spans="1:17" outlineLevel="2" x14ac:dyDescent="0.3">
      <c r="A1092" s="366" t="str">
        <f>IFERROR(VLOOKUP(RIGHT(E1092,3)+0,[1]SchLocTable!$A$2:$B$47,2,FALSE)," ")</f>
        <v>Discovery</v>
      </c>
      <c r="B1092" s="366" t="str">
        <f>VLOOKUP(VALUE(D1092),$D$3:F$106,3,FALSE)</f>
        <v>Kindergarten Teachers</v>
      </c>
      <c r="C1092" t="s">
        <v>314</v>
      </c>
      <c r="D1092">
        <v>809</v>
      </c>
      <c r="E1092" t="s">
        <v>529</v>
      </c>
      <c r="F1092" t="s">
        <v>321</v>
      </c>
      <c r="G1092" t="s">
        <v>319</v>
      </c>
      <c r="H1092" s="502">
        <v>52917</v>
      </c>
      <c r="I1092" s="415">
        <v>0</v>
      </c>
      <c r="J1092" s="415">
        <v>13893.39</v>
      </c>
      <c r="K1092" s="415">
        <v>12722.64</v>
      </c>
      <c r="L1092" s="415">
        <v>10134.69</v>
      </c>
      <c r="M1092" s="415">
        <v>11812.92</v>
      </c>
      <c r="N1092" s="415">
        <v>11192.37</v>
      </c>
      <c r="O1092" s="415">
        <v>0</v>
      </c>
      <c r="P1092" s="415">
        <v>356.16</v>
      </c>
      <c r="Q1092" s="481">
        <f t="shared" si="63"/>
        <v>13893.39</v>
      </c>
    </row>
    <row r="1093" spans="1:17" outlineLevel="2" x14ac:dyDescent="0.3">
      <c r="A1093" s="366" t="str">
        <f>IFERROR(VLOOKUP(RIGHT(E1093,3)+0,[1]SchLocTable!$A$2:$B$47,2,FALSE)," ")</f>
        <v>Discovery</v>
      </c>
      <c r="B1093" s="366" t="str">
        <f>VLOOKUP(VALUE(D1093),$D$3:F$106,3,FALSE)</f>
        <v>Kindergarten Teachers</v>
      </c>
      <c r="C1093" t="s">
        <v>314</v>
      </c>
      <c r="D1093">
        <v>809</v>
      </c>
      <c r="E1093" t="s">
        <v>529</v>
      </c>
      <c r="F1093" t="s">
        <v>318</v>
      </c>
      <c r="G1093" t="s">
        <v>319</v>
      </c>
      <c r="H1093" s="502">
        <v>51140</v>
      </c>
      <c r="I1093" s="415">
        <v>900</v>
      </c>
      <c r="J1093" s="415">
        <v>0</v>
      </c>
      <c r="K1093" s="415">
        <v>900</v>
      </c>
      <c r="L1093" s="415">
        <v>6200</v>
      </c>
      <c r="M1093" s="415">
        <v>900</v>
      </c>
      <c r="N1093" s="415">
        <v>900</v>
      </c>
      <c r="O1093" s="415">
        <v>0</v>
      </c>
      <c r="P1093" s="415">
        <v>0</v>
      </c>
      <c r="Q1093" s="481">
        <f t="shared" si="63"/>
        <v>-900</v>
      </c>
    </row>
    <row r="1094" spans="1:17" outlineLevel="2" x14ac:dyDescent="0.3">
      <c r="A1094" s="366" t="str">
        <f>IFERROR(VLOOKUP(RIGHT(E1094,3)+0,[1]SchLocTable!$A$2:$B$47,2,FALSE)," ")</f>
        <v>Discovery</v>
      </c>
      <c r="B1094" s="366" t="str">
        <f>VLOOKUP(VALUE(D1094),$D$3:F$106,3,FALSE)</f>
        <v>Kindergarten Teachers</v>
      </c>
      <c r="C1094" t="s">
        <v>314</v>
      </c>
      <c r="D1094">
        <v>809</v>
      </c>
      <c r="E1094" t="s">
        <v>529</v>
      </c>
      <c r="F1094" t="s">
        <v>320</v>
      </c>
      <c r="G1094" t="s">
        <v>319</v>
      </c>
      <c r="H1094" s="502">
        <v>52360</v>
      </c>
      <c r="I1094" s="415">
        <v>0</v>
      </c>
      <c r="J1094" s="415">
        <v>1463</v>
      </c>
      <c r="K1094" s="415">
        <v>1450.13</v>
      </c>
      <c r="L1094" s="415">
        <v>1231.0999999999999</v>
      </c>
      <c r="M1094" s="415">
        <v>1318.43</v>
      </c>
      <c r="N1094" s="415">
        <v>1259.6600000000001</v>
      </c>
      <c r="O1094" s="415">
        <v>214.8</v>
      </c>
      <c r="P1094" s="415">
        <v>1098.8</v>
      </c>
      <c r="Q1094" s="481">
        <f t="shared" si="63"/>
        <v>1463</v>
      </c>
    </row>
    <row r="1095" spans="1:17" outlineLevel="2" x14ac:dyDescent="0.3">
      <c r="A1095" s="366" t="str">
        <f>IFERROR(VLOOKUP(RIGHT(E1095,3)+0,[1]SchLocTable!$A$2:$B$47,2,FALSE)," ")</f>
        <v>Cross</v>
      </c>
      <c r="B1095" s="366" t="str">
        <f>VLOOKUP(VALUE(D1095),$D$3:F$106,3,FALSE)</f>
        <v>Kindergarten Teachers</v>
      </c>
      <c r="C1095" t="s">
        <v>314</v>
      </c>
      <c r="D1095">
        <v>809</v>
      </c>
      <c r="E1095" t="s">
        <v>530</v>
      </c>
      <c r="F1095" t="s">
        <v>316</v>
      </c>
      <c r="G1095">
        <v>1</v>
      </c>
      <c r="H1095" s="502">
        <v>51000</v>
      </c>
      <c r="I1095" s="415">
        <v>0</v>
      </c>
      <c r="J1095" s="415">
        <v>200463</v>
      </c>
      <c r="K1095" s="415">
        <v>105566.44</v>
      </c>
      <c r="L1095" s="415">
        <v>77021.95</v>
      </c>
      <c r="M1095" s="415">
        <v>113694.65</v>
      </c>
      <c r="N1095" s="415">
        <v>85203.42</v>
      </c>
      <c r="O1095" s="415">
        <v>103438.92</v>
      </c>
      <c r="P1095" s="415">
        <v>50905.02</v>
      </c>
      <c r="Q1095" s="481">
        <f t="shared" si="63"/>
        <v>200463</v>
      </c>
    </row>
    <row r="1096" spans="1:17" outlineLevel="2" x14ac:dyDescent="0.3">
      <c r="A1096" s="366" t="str">
        <f>IFERROR(VLOOKUP(RIGHT(E1096,3)+0,[1]SchLocTable!$A$2:$B$47,2,FALSE)," ")</f>
        <v>Cross</v>
      </c>
      <c r="B1096" s="366" t="str">
        <f>VLOOKUP(VALUE(D1096),$D$3:F$106,3,FALSE)</f>
        <v>Kindergarten Teachers</v>
      </c>
      <c r="C1096" t="s">
        <v>314</v>
      </c>
      <c r="D1096">
        <v>809</v>
      </c>
      <c r="E1096" t="s">
        <v>530</v>
      </c>
      <c r="F1096" t="s">
        <v>321</v>
      </c>
      <c r="G1096" t="s">
        <v>319</v>
      </c>
      <c r="H1096" s="502">
        <v>52917</v>
      </c>
      <c r="I1096" s="415">
        <v>0</v>
      </c>
      <c r="J1096" s="415">
        <v>62740.44</v>
      </c>
      <c r="K1096" s="415">
        <v>56956.2</v>
      </c>
      <c r="L1096" s="415">
        <v>30973.27</v>
      </c>
      <c r="M1096" s="415">
        <v>11055.45</v>
      </c>
      <c r="N1096" s="415">
        <v>11189.47</v>
      </c>
      <c r="O1096" s="415">
        <v>19635.36</v>
      </c>
      <c r="P1096" s="415">
        <v>18491.34</v>
      </c>
      <c r="Q1096" s="481">
        <f t="shared" si="63"/>
        <v>62740.44</v>
      </c>
    </row>
    <row r="1097" spans="1:17" outlineLevel="2" x14ac:dyDescent="0.3">
      <c r="A1097" s="366" t="str">
        <f>IFERROR(VLOOKUP(RIGHT(E1097,3)+0,[1]SchLocTable!$A$2:$B$47,2,FALSE)," ")</f>
        <v>Cross</v>
      </c>
      <c r="B1097" s="366" t="str">
        <f>VLOOKUP(VALUE(D1097),$D$3:F$106,3,FALSE)</f>
        <v>Kindergarten Teachers</v>
      </c>
      <c r="C1097" t="s">
        <v>314</v>
      </c>
      <c r="D1097">
        <v>809</v>
      </c>
      <c r="E1097" t="s">
        <v>530</v>
      </c>
      <c r="F1097" t="s">
        <v>318</v>
      </c>
      <c r="G1097" t="s">
        <v>319</v>
      </c>
      <c r="H1097" s="502">
        <v>51140</v>
      </c>
      <c r="I1097" s="415">
        <v>900</v>
      </c>
      <c r="J1097" s="415">
        <v>0</v>
      </c>
      <c r="K1097" s="415">
        <v>900</v>
      </c>
      <c r="L1097" s="415">
        <v>900</v>
      </c>
      <c r="M1097" s="415">
        <v>0</v>
      </c>
      <c r="N1097" s="415">
        <v>0</v>
      </c>
      <c r="O1097" s="415">
        <v>0</v>
      </c>
      <c r="P1097" s="415">
        <v>0</v>
      </c>
      <c r="Q1097" s="481">
        <f t="shared" si="63"/>
        <v>-900</v>
      </c>
    </row>
    <row r="1098" spans="1:17" outlineLevel="2" x14ac:dyDescent="0.3">
      <c r="A1098" s="366" t="str">
        <f>IFERROR(VLOOKUP(RIGHT(E1098,3)+0,[1]SchLocTable!$A$2:$B$47,2,FALSE)," ")</f>
        <v>Cross</v>
      </c>
      <c r="B1098" s="366" t="str">
        <f>VLOOKUP(VALUE(D1098),$D$3:F$106,3,FALSE)</f>
        <v>Kindergarten Teachers</v>
      </c>
      <c r="C1098" t="s">
        <v>314</v>
      </c>
      <c r="D1098">
        <v>809</v>
      </c>
      <c r="E1098" t="s">
        <v>530</v>
      </c>
      <c r="F1098" t="s">
        <v>320</v>
      </c>
      <c r="G1098" t="s">
        <v>319</v>
      </c>
      <c r="H1098" s="502">
        <v>52360</v>
      </c>
      <c r="I1098" s="415">
        <v>0</v>
      </c>
      <c r="J1098" s="415">
        <v>2579</v>
      </c>
      <c r="K1098" s="415">
        <v>2567.27</v>
      </c>
      <c r="L1098" s="415">
        <v>1478.59</v>
      </c>
      <c r="M1098" s="415">
        <v>1604.17</v>
      </c>
      <c r="N1098" s="415">
        <v>1794.65</v>
      </c>
      <c r="O1098" s="415">
        <v>1425.27</v>
      </c>
      <c r="P1098" s="415">
        <v>1406.99</v>
      </c>
      <c r="Q1098" s="481">
        <f t="shared" si="63"/>
        <v>2579</v>
      </c>
    </row>
    <row r="1099" spans="1:17" outlineLevel="2" x14ac:dyDescent="0.3">
      <c r="A1099" s="366" t="str">
        <f>IFERROR(VLOOKUP(RIGHT(E1099,3)+0,[1]SchLocTable!$A$2:$B$47,2,FALSE)," ")</f>
        <v>Cross</v>
      </c>
      <c r="B1099" s="366" t="str">
        <f>VLOOKUP(VALUE(D1099),$D$3:F$106,3,FALSE)</f>
        <v>Kindergarten Teachers</v>
      </c>
      <c r="C1099" t="s">
        <v>314</v>
      </c>
      <c r="D1099">
        <v>809</v>
      </c>
      <c r="E1099" t="s">
        <v>530</v>
      </c>
      <c r="F1099" t="s">
        <v>324</v>
      </c>
      <c r="G1099" t="s">
        <v>319</v>
      </c>
      <c r="H1099" s="502">
        <v>52385</v>
      </c>
      <c r="I1099" s="415">
        <v>0</v>
      </c>
      <c r="J1099" s="415">
        <v>0</v>
      </c>
      <c r="K1099" s="415">
        <v>0</v>
      </c>
      <c r="L1099" s="415">
        <v>0</v>
      </c>
      <c r="M1099" s="415">
        <v>2774.5</v>
      </c>
      <c r="N1099" s="415">
        <v>2706.3</v>
      </c>
      <c r="O1099" s="415">
        <v>0</v>
      </c>
      <c r="P1099" s="415">
        <v>0</v>
      </c>
      <c r="Q1099" s="481">
        <f t="shared" si="63"/>
        <v>0</v>
      </c>
    </row>
    <row r="1100" spans="1:17" outlineLevel="2" x14ac:dyDescent="0.3">
      <c r="A1100" s="366" t="str">
        <f>IFERROR(VLOOKUP(RIGHT(E1100,3)+0,[1]SchLocTable!$A$2:$B$47,2,FALSE)," ")</f>
        <v>Blackham</v>
      </c>
      <c r="B1100" s="366" t="str">
        <f>VLOOKUP(VALUE(D1100),$D$3:F$106,3,FALSE)</f>
        <v>Kindergarten Teachers</v>
      </c>
      <c r="C1100" t="s">
        <v>314</v>
      </c>
      <c r="D1100">
        <v>809</v>
      </c>
      <c r="E1100" t="s">
        <v>531</v>
      </c>
      <c r="F1100" t="s">
        <v>316</v>
      </c>
      <c r="G1100">
        <v>4</v>
      </c>
      <c r="H1100" s="502">
        <v>51000</v>
      </c>
      <c r="I1100" s="415">
        <v>0</v>
      </c>
      <c r="J1100" s="415">
        <v>344109</v>
      </c>
      <c r="K1100" s="415">
        <v>207924.34</v>
      </c>
      <c r="L1100" s="415">
        <v>199251.53</v>
      </c>
      <c r="M1100" s="415">
        <v>160729.9</v>
      </c>
      <c r="N1100" s="415">
        <v>112004.89</v>
      </c>
      <c r="O1100" s="415">
        <v>121185.78</v>
      </c>
      <c r="P1100" s="415">
        <v>176635.08</v>
      </c>
      <c r="Q1100" s="481">
        <f t="shared" si="63"/>
        <v>344109</v>
      </c>
    </row>
    <row r="1101" spans="1:17" outlineLevel="2" x14ac:dyDescent="0.3">
      <c r="A1101" s="366" t="str">
        <f>IFERROR(VLOOKUP(RIGHT(E1101,3)+0,[1]SchLocTable!$A$2:$B$47,2,FALSE)," ")</f>
        <v>Blackham</v>
      </c>
      <c r="B1101" s="366" t="str">
        <f>VLOOKUP(VALUE(D1101),$D$3:F$106,3,FALSE)</f>
        <v>Kindergarten Teachers</v>
      </c>
      <c r="C1101" t="s">
        <v>314</v>
      </c>
      <c r="D1101">
        <v>809</v>
      </c>
      <c r="E1101" t="s">
        <v>531</v>
      </c>
      <c r="F1101" t="s">
        <v>321</v>
      </c>
      <c r="G1101" t="s">
        <v>319</v>
      </c>
      <c r="H1101" s="502">
        <v>52917</v>
      </c>
      <c r="I1101" s="415">
        <v>0</v>
      </c>
      <c r="J1101" s="415">
        <v>27358.799999999999</v>
      </c>
      <c r="K1101" s="415">
        <v>25005.96</v>
      </c>
      <c r="L1101" s="415">
        <v>18988.57</v>
      </c>
      <c r="M1101" s="415">
        <v>12241.11</v>
      </c>
      <c r="N1101" s="415">
        <v>27570.22</v>
      </c>
      <c r="O1101" s="415">
        <v>34670.720000000001</v>
      </c>
      <c r="P1101" s="415">
        <v>32776.379999999997</v>
      </c>
      <c r="Q1101" s="481">
        <f t="shared" si="63"/>
        <v>27358.799999999999</v>
      </c>
    </row>
    <row r="1102" spans="1:17" outlineLevel="2" x14ac:dyDescent="0.3">
      <c r="A1102" s="366" t="str">
        <f>IFERROR(VLOOKUP(RIGHT(E1102,3)+0,[1]SchLocTable!$A$2:$B$47,2,FALSE)," ")</f>
        <v>Blackham</v>
      </c>
      <c r="B1102" s="366" t="str">
        <f>VLOOKUP(VALUE(D1102),$D$3:F$106,3,FALSE)</f>
        <v>Kindergarten Teachers</v>
      </c>
      <c r="C1102" t="s">
        <v>314</v>
      </c>
      <c r="D1102">
        <v>809</v>
      </c>
      <c r="E1102" t="s">
        <v>531</v>
      </c>
      <c r="F1102" t="s">
        <v>318</v>
      </c>
      <c r="G1102" t="s">
        <v>319</v>
      </c>
      <c r="H1102" s="502">
        <v>51140</v>
      </c>
      <c r="I1102" s="415">
        <v>2100</v>
      </c>
      <c r="J1102" s="415">
        <v>0</v>
      </c>
      <c r="K1102" s="415">
        <v>1200</v>
      </c>
      <c r="L1102" s="415">
        <v>1200</v>
      </c>
      <c r="M1102" s="415">
        <v>1100</v>
      </c>
      <c r="N1102" s="415">
        <v>1100</v>
      </c>
      <c r="O1102" s="415">
        <v>1100</v>
      </c>
      <c r="P1102" s="415">
        <v>1100</v>
      </c>
      <c r="Q1102" s="481">
        <f t="shared" si="63"/>
        <v>-2100</v>
      </c>
    </row>
    <row r="1103" spans="1:17" outlineLevel="2" x14ac:dyDescent="0.3">
      <c r="A1103" s="366" t="str">
        <f>IFERROR(VLOOKUP(RIGHT(E1103,3)+0,[1]SchLocTable!$A$2:$B$47,2,FALSE)," ")</f>
        <v>Blackham</v>
      </c>
      <c r="B1103" s="366" t="str">
        <f>VLOOKUP(VALUE(D1103),$D$3:F$106,3,FALSE)</f>
        <v>Kindergarten Teachers</v>
      </c>
      <c r="C1103" t="s">
        <v>314</v>
      </c>
      <c r="D1103">
        <v>809</v>
      </c>
      <c r="E1103" t="s">
        <v>531</v>
      </c>
      <c r="F1103" t="s">
        <v>320</v>
      </c>
      <c r="G1103" t="s">
        <v>319</v>
      </c>
      <c r="H1103" s="502">
        <v>52360</v>
      </c>
      <c r="I1103" s="415">
        <v>0</v>
      </c>
      <c r="J1103" s="415">
        <v>4875</v>
      </c>
      <c r="K1103" s="415">
        <v>4672.62</v>
      </c>
      <c r="L1103" s="415">
        <v>3723.32</v>
      </c>
      <c r="M1103" s="415">
        <v>3896.94</v>
      </c>
      <c r="N1103" s="415">
        <v>2207.39</v>
      </c>
      <c r="O1103" s="415">
        <v>3696.42</v>
      </c>
      <c r="P1103" s="415">
        <v>3646.45</v>
      </c>
      <c r="Q1103" s="481">
        <f t="shared" si="63"/>
        <v>4875</v>
      </c>
    </row>
    <row r="1104" spans="1:17" outlineLevel="2" x14ac:dyDescent="0.3">
      <c r="A1104" s="366" t="str">
        <f>IFERROR(VLOOKUP(RIGHT(E1104,3)+0,[1]SchLocTable!$A$2:$B$47,2,FALSE)," ")</f>
        <v>Dunbar</v>
      </c>
      <c r="B1104" s="366" t="str">
        <f>VLOOKUP(VALUE(D1104),$D$3:F$106,3,FALSE)</f>
        <v>Kindergarten Teachers</v>
      </c>
      <c r="C1104" t="s">
        <v>314</v>
      </c>
      <c r="D1104">
        <v>809</v>
      </c>
      <c r="E1104" t="s">
        <v>532</v>
      </c>
      <c r="F1104" t="s">
        <v>316</v>
      </c>
      <c r="G1104">
        <v>2</v>
      </c>
      <c r="H1104" s="502">
        <v>51000</v>
      </c>
      <c r="I1104" s="415">
        <v>0</v>
      </c>
      <c r="J1104" s="415">
        <v>164551</v>
      </c>
      <c r="K1104" s="415">
        <v>85146.880000000005</v>
      </c>
      <c r="L1104" s="415">
        <v>93057.35</v>
      </c>
      <c r="M1104" s="415">
        <v>70739.5</v>
      </c>
      <c r="N1104" s="415">
        <v>132413.17000000001</v>
      </c>
      <c r="O1104" s="415">
        <v>45700.78</v>
      </c>
      <c r="P1104" s="415">
        <v>24870.14</v>
      </c>
      <c r="Q1104" s="481">
        <f t="shared" si="63"/>
        <v>164551</v>
      </c>
    </row>
    <row r="1105" spans="1:17" outlineLevel="2" x14ac:dyDescent="0.3">
      <c r="A1105" s="366" t="str">
        <f>IFERROR(VLOOKUP(RIGHT(E1105,3)+0,[1]SchLocTable!$A$2:$B$47,2,FALSE)," ")</f>
        <v>Dunbar</v>
      </c>
      <c r="B1105" s="366" t="str">
        <f>VLOOKUP(VALUE(D1105),$D$3:F$106,3,FALSE)</f>
        <v>Kindergarten Teachers</v>
      </c>
      <c r="C1105" t="s">
        <v>314</v>
      </c>
      <c r="D1105">
        <v>809</v>
      </c>
      <c r="E1105" t="s">
        <v>532</v>
      </c>
      <c r="F1105" t="s">
        <v>321</v>
      </c>
      <c r="G1105" t="s">
        <v>319</v>
      </c>
      <c r="H1105" s="502">
        <v>52917</v>
      </c>
      <c r="I1105" s="415">
        <v>0</v>
      </c>
      <c r="J1105" s="415">
        <v>40293</v>
      </c>
      <c r="K1105" s="415">
        <v>29796.06</v>
      </c>
      <c r="L1105" s="415">
        <v>23523.34</v>
      </c>
      <c r="M1105" s="415">
        <v>27607.439999999999</v>
      </c>
      <c r="N1105" s="415">
        <v>25713.06</v>
      </c>
      <c r="O1105" s="415">
        <v>14052.45</v>
      </c>
      <c r="P1105" s="415">
        <v>22186.29</v>
      </c>
      <c r="Q1105" s="481">
        <f t="shared" si="63"/>
        <v>40293</v>
      </c>
    </row>
    <row r="1106" spans="1:17" outlineLevel="2" x14ac:dyDescent="0.3">
      <c r="A1106" s="366" t="str">
        <f>IFERROR(VLOOKUP(RIGHT(E1106,3)+0,[1]SchLocTable!$A$2:$B$47,2,FALSE)," ")</f>
        <v>Dunbar</v>
      </c>
      <c r="B1106" s="366" t="str">
        <f>VLOOKUP(VALUE(D1106),$D$3:F$106,3,FALSE)</f>
        <v>Kindergarten Teachers</v>
      </c>
      <c r="C1106" t="s">
        <v>314</v>
      </c>
      <c r="D1106">
        <v>809</v>
      </c>
      <c r="E1106" t="s">
        <v>532</v>
      </c>
      <c r="F1106" t="s">
        <v>320</v>
      </c>
      <c r="G1106" t="s">
        <v>319</v>
      </c>
      <c r="H1106" s="502">
        <v>52360</v>
      </c>
      <c r="I1106" s="415">
        <v>0</v>
      </c>
      <c r="J1106" s="415">
        <v>2211</v>
      </c>
      <c r="K1106" s="415">
        <v>2167.5</v>
      </c>
      <c r="L1106" s="415">
        <v>1744.31</v>
      </c>
      <c r="M1106" s="415">
        <v>1934.55</v>
      </c>
      <c r="N1106" s="415">
        <v>1820.83</v>
      </c>
      <c r="O1106" s="415">
        <v>1584.92</v>
      </c>
      <c r="P1106" s="415">
        <v>1710.2</v>
      </c>
      <c r="Q1106" s="481">
        <f t="shared" si="63"/>
        <v>2211</v>
      </c>
    </row>
    <row r="1107" spans="1:17" outlineLevel="2" x14ac:dyDescent="0.3">
      <c r="A1107" s="366" t="str">
        <f>IFERROR(VLOOKUP(RIGHT(E1107,3)+0,[1]SchLocTable!$A$2:$B$47,2,FALSE)," ")</f>
        <v>Dunbar</v>
      </c>
      <c r="B1107" s="366" t="str">
        <f>VLOOKUP(VALUE(D1107),$D$3:F$106,3,FALSE)</f>
        <v>Kindergarten Teachers</v>
      </c>
      <c r="C1107" t="s">
        <v>314</v>
      </c>
      <c r="D1107">
        <v>809</v>
      </c>
      <c r="E1107" t="s">
        <v>532</v>
      </c>
      <c r="F1107" t="s">
        <v>324</v>
      </c>
      <c r="G1107" t="s">
        <v>319</v>
      </c>
      <c r="H1107" s="502">
        <v>52385</v>
      </c>
      <c r="I1107" s="415">
        <v>0</v>
      </c>
      <c r="J1107" s="415">
        <v>0</v>
      </c>
      <c r="K1107" s="415">
        <v>0</v>
      </c>
      <c r="L1107" s="415">
        <v>0</v>
      </c>
      <c r="M1107" s="415">
        <v>0</v>
      </c>
      <c r="N1107" s="415">
        <v>0</v>
      </c>
      <c r="O1107" s="415">
        <v>0</v>
      </c>
      <c r="P1107" s="415">
        <v>0</v>
      </c>
      <c r="Q1107" s="481">
        <f t="shared" si="63"/>
        <v>0</v>
      </c>
    </row>
    <row r="1108" spans="1:17" outlineLevel="2" x14ac:dyDescent="0.3">
      <c r="A1108" s="366" t="str">
        <f>IFERROR(VLOOKUP(RIGHT(E1108,3)+0,[1]SchLocTable!$A$2:$B$47,2,FALSE)," ")</f>
        <v>Dunbar</v>
      </c>
      <c r="B1108" s="366" t="str">
        <f>VLOOKUP(VALUE(D1108),$D$3:F$106,3,FALSE)</f>
        <v>Kindergarten Teachers</v>
      </c>
      <c r="C1108" t="s">
        <v>314</v>
      </c>
      <c r="D1108">
        <v>809</v>
      </c>
      <c r="E1108" t="s">
        <v>532</v>
      </c>
      <c r="F1108" t="s">
        <v>533</v>
      </c>
      <c r="G1108" t="s">
        <v>319</v>
      </c>
      <c r="H1108" s="502">
        <v>52397</v>
      </c>
      <c r="I1108" s="415">
        <v>0</v>
      </c>
      <c r="J1108" s="415">
        <v>0</v>
      </c>
      <c r="K1108" s="415">
        <v>0</v>
      </c>
      <c r="L1108" s="415">
        <v>0</v>
      </c>
      <c r="M1108" s="415">
        <v>8628</v>
      </c>
      <c r="N1108" s="415">
        <v>3189</v>
      </c>
      <c r="O1108" s="415">
        <v>0</v>
      </c>
      <c r="P1108" s="415">
        <v>0</v>
      </c>
      <c r="Q1108" s="481">
        <f t="shared" si="63"/>
        <v>0</v>
      </c>
    </row>
    <row r="1109" spans="1:17" outlineLevel="2" x14ac:dyDescent="0.3">
      <c r="A1109" s="366" t="str">
        <f>IFERROR(VLOOKUP(RIGHT(E1109,3)+0,[1]SchLocTable!$A$2:$B$47,2,FALSE)," ")</f>
        <v>Curiale</v>
      </c>
      <c r="B1109" s="366" t="str">
        <f>VLOOKUP(VALUE(D1109),$D$3:F$106,3,FALSE)</f>
        <v>Kindergarten Teachers</v>
      </c>
      <c r="C1109" t="s">
        <v>314</v>
      </c>
      <c r="D1109">
        <v>809</v>
      </c>
      <c r="E1109" t="s">
        <v>534</v>
      </c>
      <c r="F1109" t="s">
        <v>316</v>
      </c>
      <c r="G1109">
        <v>3</v>
      </c>
      <c r="H1109" s="502">
        <v>51000</v>
      </c>
      <c r="I1109" s="415">
        <v>64054.33008</v>
      </c>
      <c r="J1109" s="415">
        <v>210089.05</v>
      </c>
      <c r="K1109" s="415">
        <v>181132.64</v>
      </c>
      <c r="L1109" s="415">
        <v>160775.14000000001</v>
      </c>
      <c r="M1109" s="415">
        <v>130073.94</v>
      </c>
      <c r="N1109" s="415">
        <v>246211.16</v>
      </c>
      <c r="O1109" s="415">
        <v>118636.07</v>
      </c>
      <c r="P1109" s="415">
        <v>70599.12</v>
      </c>
      <c r="Q1109" s="481">
        <f t="shared" si="63"/>
        <v>146034.71992</v>
      </c>
    </row>
    <row r="1110" spans="1:17" outlineLevel="2" x14ac:dyDescent="0.3">
      <c r="A1110" s="366" t="str">
        <f>IFERROR(VLOOKUP(RIGHT(E1110,3)+0,[1]SchLocTable!$A$2:$B$47,2,FALSE)," ")</f>
        <v>Curiale</v>
      </c>
      <c r="B1110" s="366" t="str">
        <f>VLOOKUP(VALUE(D1110),$D$3:F$106,3,FALSE)</f>
        <v>Kindergarten Teachers</v>
      </c>
      <c r="C1110" t="s">
        <v>314</v>
      </c>
      <c r="D1110">
        <v>809</v>
      </c>
      <c r="E1110" t="s">
        <v>534</v>
      </c>
      <c r="F1110" t="s">
        <v>321</v>
      </c>
      <c r="G1110" t="s">
        <v>319</v>
      </c>
      <c r="H1110" s="502">
        <v>52917</v>
      </c>
      <c r="I1110" s="415">
        <v>15644.663999999999</v>
      </c>
      <c r="J1110" s="415">
        <v>77218.259999999995</v>
      </c>
      <c r="K1110" s="415">
        <v>98629.86</v>
      </c>
      <c r="L1110" s="415">
        <v>77980.28</v>
      </c>
      <c r="M1110" s="415">
        <v>91233.87</v>
      </c>
      <c r="N1110" s="415">
        <v>84009.94</v>
      </c>
      <c r="O1110" s="415">
        <v>58155</v>
      </c>
      <c r="P1110" s="415">
        <v>54770.1</v>
      </c>
      <c r="Q1110" s="481">
        <f t="shared" si="63"/>
        <v>61573.595999999998</v>
      </c>
    </row>
    <row r="1111" spans="1:17" outlineLevel="2" x14ac:dyDescent="0.3">
      <c r="A1111" s="366" t="str">
        <f>IFERROR(VLOOKUP(RIGHT(E1111,3)+0,[1]SchLocTable!$A$2:$B$47,2,FALSE)," ")</f>
        <v>Curiale</v>
      </c>
      <c r="B1111" s="366" t="str">
        <f>VLOOKUP(VALUE(D1111),$D$3:F$106,3,FALSE)</f>
        <v>Kindergarten Teachers</v>
      </c>
      <c r="C1111" t="s">
        <v>314</v>
      </c>
      <c r="D1111">
        <v>809</v>
      </c>
      <c r="E1111" t="s">
        <v>534</v>
      </c>
      <c r="F1111" t="s">
        <v>318</v>
      </c>
      <c r="G1111" t="s">
        <v>319</v>
      </c>
      <c r="H1111" s="502">
        <v>51140</v>
      </c>
      <c r="I1111" s="415">
        <v>2000</v>
      </c>
      <c r="J1111" s="415">
        <v>0</v>
      </c>
      <c r="K1111" s="415">
        <v>2700</v>
      </c>
      <c r="L1111" s="415">
        <v>1800</v>
      </c>
      <c r="M1111" s="415">
        <v>1800</v>
      </c>
      <c r="N1111" s="415">
        <v>900</v>
      </c>
      <c r="O1111" s="415">
        <v>900</v>
      </c>
      <c r="P1111" s="415">
        <v>900</v>
      </c>
      <c r="Q1111" s="481">
        <f t="shared" si="63"/>
        <v>-2000</v>
      </c>
    </row>
    <row r="1112" spans="1:17" outlineLevel="2" x14ac:dyDescent="0.3">
      <c r="A1112" s="366" t="str">
        <f>IFERROR(VLOOKUP(RIGHT(E1112,3)+0,[1]SchLocTable!$A$2:$B$47,2,FALSE)," ")</f>
        <v>Curiale</v>
      </c>
      <c r="B1112" s="366" t="str">
        <f>VLOOKUP(VALUE(D1112),$D$3:F$106,3,FALSE)</f>
        <v>Kindergarten Teachers</v>
      </c>
      <c r="C1112" t="s">
        <v>314</v>
      </c>
      <c r="D1112">
        <v>809</v>
      </c>
      <c r="E1112" t="s">
        <v>534</v>
      </c>
      <c r="F1112" t="s">
        <v>320</v>
      </c>
      <c r="G1112" t="s">
        <v>319</v>
      </c>
      <c r="H1112" s="502">
        <v>52360</v>
      </c>
      <c r="I1112" s="415">
        <v>928.78778616</v>
      </c>
      <c r="J1112" s="415">
        <v>2997.77</v>
      </c>
      <c r="K1112" s="415">
        <v>3856.74</v>
      </c>
      <c r="L1112" s="415">
        <v>3037.2</v>
      </c>
      <c r="M1112" s="415">
        <v>3435.3</v>
      </c>
      <c r="N1112" s="415">
        <v>3254.81</v>
      </c>
      <c r="O1112" s="415">
        <v>3158.18</v>
      </c>
      <c r="P1112" s="415">
        <v>2934.1</v>
      </c>
      <c r="Q1112" s="481">
        <f t="shared" si="63"/>
        <v>2068.98221384</v>
      </c>
    </row>
    <row r="1113" spans="1:17" outlineLevel="2" x14ac:dyDescent="0.3">
      <c r="A1113" s="366" t="str">
        <f>IFERROR(VLOOKUP(RIGHT(E1113,3)+0,[1]SchLocTable!$A$2:$B$47,2,FALSE)," ")</f>
        <v>Skane</v>
      </c>
      <c r="B1113" s="366" t="str">
        <f>VLOOKUP(VALUE(D1113),$D$3:F$106,3,FALSE)</f>
        <v>Kindergarten Teachers</v>
      </c>
      <c r="C1113" t="s">
        <v>314</v>
      </c>
      <c r="D1113">
        <v>809</v>
      </c>
      <c r="E1113" t="s">
        <v>1303</v>
      </c>
      <c r="F1113" t="s">
        <v>316</v>
      </c>
      <c r="G1113">
        <v>1</v>
      </c>
      <c r="H1113" s="502">
        <v>51000</v>
      </c>
      <c r="I1113" s="415">
        <v>64054.33008</v>
      </c>
      <c r="J1113" s="415">
        <v>0</v>
      </c>
      <c r="K1113" s="415">
        <v>0</v>
      </c>
      <c r="L1113" s="415">
        <v>0</v>
      </c>
      <c r="M1113" s="415">
        <v>0</v>
      </c>
      <c r="N1113" s="415">
        <v>0</v>
      </c>
      <c r="O1113" s="415">
        <v>0</v>
      </c>
      <c r="P1113" s="415">
        <v>0</v>
      </c>
      <c r="Q1113" s="481">
        <f t="shared" si="63"/>
        <v>-64054.33008</v>
      </c>
    </row>
    <row r="1114" spans="1:17" outlineLevel="2" x14ac:dyDescent="0.3">
      <c r="A1114" s="366" t="str">
        <f>IFERROR(VLOOKUP(RIGHT(E1114,3)+0,[1]SchLocTable!$A$2:$B$47,2,FALSE)," ")</f>
        <v>Skane</v>
      </c>
      <c r="B1114" s="366" t="str">
        <f>VLOOKUP(VALUE(D1114),$D$3:F$106,3,FALSE)</f>
        <v>Kindergarten Teachers</v>
      </c>
      <c r="C1114" t="s">
        <v>314</v>
      </c>
      <c r="D1114">
        <v>809</v>
      </c>
      <c r="E1114" t="s">
        <v>1303</v>
      </c>
      <c r="F1114" t="s">
        <v>321</v>
      </c>
      <c r="G1114" t="s">
        <v>319</v>
      </c>
      <c r="H1114" s="502">
        <v>52917</v>
      </c>
      <c r="I1114" s="415">
        <v>15644.663999999999</v>
      </c>
      <c r="J1114" s="415">
        <v>0</v>
      </c>
      <c r="K1114" s="415">
        <v>0</v>
      </c>
      <c r="L1114" s="415">
        <v>0</v>
      </c>
      <c r="M1114" s="415">
        <v>0</v>
      </c>
      <c r="N1114" s="415">
        <v>0</v>
      </c>
      <c r="O1114" s="415">
        <v>0</v>
      </c>
      <c r="P1114" s="415">
        <v>0</v>
      </c>
      <c r="Q1114" s="481">
        <f t="shared" si="63"/>
        <v>-15644.663999999999</v>
      </c>
    </row>
    <row r="1115" spans="1:17" outlineLevel="2" x14ac:dyDescent="0.3">
      <c r="A1115" s="366" t="str">
        <f>IFERROR(VLOOKUP(RIGHT(E1115,3)+0,[1]SchLocTable!$A$2:$B$47,2,FALSE)," ")</f>
        <v>Skane</v>
      </c>
      <c r="B1115" s="366" t="str">
        <f>VLOOKUP(VALUE(D1115),$D$3:F$106,3,FALSE)</f>
        <v>Kindergarten Teachers</v>
      </c>
      <c r="C1115" t="s">
        <v>314</v>
      </c>
      <c r="D1115">
        <v>809</v>
      </c>
      <c r="E1115" t="s">
        <v>1303</v>
      </c>
      <c r="F1115" t="s">
        <v>320</v>
      </c>
      <c r="G1115" t="s">
        <v>319</v>
      </c>
      <c r="H1115" s="502">
        <v>52360</v>
      </c>
      <c r="I1115" s="415">
        <v>928.78778616</v>
      </c>
      <c r="J1115" s="415">
        <v>0</v>
      </c>
      <c r="K1115" s="415">
        <v>0</v>
      </c>
      <c r="L1115" s="415">
        <v>0</v>
      </c>
      <c r="M1115" s="415">
        <v>0</v>
      </c>
      <c r="N1115" s="415">
        <v>0</v>
      </c>
      <c r="O1115" s="415">
        <v>0</v>
      </c>
      <c r="P1115" s="415">
        <v>0</v>
      </c>
      <c r="Q1115" s="481">
        <f t="shared" si="63"/>
        <v>-928.78778616</v>
      </c>
    </row>
    <row r="1116" spans="1:17" outlineLevel="2" x14ac:dyDescent="0.3">
      <c r="A1116" s="366" t="str">
        <f>IFERROR(VLOOKUP(RIGHT(E1116,3)+0,[1]SchLocTable!$A$2:$B$47,2,FALSE)," ")</f>
        <v>High Horizons Magnet</v>
      </c>
      <c r="B1116" s="366" t="str">
        <f>VLOOKUP(VALUE(D1116),$D$3:F$106,3,FALSE)</f>
        <v>Kindergarten Teachers</v>
      </c>
      <c r="C1116" t="s">
        <v>314</v>
      </c>
      <c r="D1116">
        <v>809</v>
      </c>
      <c r="E1116" t="s">
        <v>535</v>
      </c>
      <c r="F1116" t="s">
        <v>316</v>
      </c>
      <c r="G1116">
        <v>2</v>
      </c>
      <c r="H1116" s="502">
        <v>51000</v>
      </c>
      <c r="I1116" s="415">
        <v>0</v>
      </c>
      <c r="J1116" s="415">
        <v>210140</v>
      </c>
      <c r="K1116" s="415">
        <v>110662.44</v>
      </c>
      <c r="L1116" s="415">
        <v>114444.06</v>
      </c>
      <c r="M1116" s="415">
        <v>94550.92</v>
      </c>
      <c r="N1116" s="415">
        <v>131881.29999999999</v>
      </c>
      <c r="O1116" s="415">
        <v>100034.86</v>
      </c>
      <c r="P1116" s="415">
        <v>119464.06</v>
      </c>
      <c r="Q1116" s="481">
        <f t="shared" si="63"/>
        <v>210140</v>
      </c>
    </row>
    <row r="1117" spans="1:17" outlineLevel="2" x14ac:dyDescent="0.3">
      <c r="A1117" s="366" t="str">
        <f>IFERROR(VLOOKUP(RIGHT(E1117,3)+0,[1]SchLocTable!$A$2:$B$47,2,FALSE)," ")</f>
        <v>High Horizons Magnet</v>
      </c>
      <c r="B1117" s="366" t="str">
        <f>VLOOKUP(VALUE(D1117),$D$3:F$106,3,FALSE)</f>
        <v>Kindergarten Teachers</v>
      </c>
      <c r="C1117" t="s">
        <v>314</v>
      </c>
      <c r="D1117">
        <v>809</v>
      </c>
      <c r="E1117" t="s">
        <v>535</v>
      </c>
      <c r="F1117" t="s">
        <v>321</v>
      </c>
      <c r="G1117" t="s">
        <v>319</v>
      </c>
      <c r="H1117" s="502">
        <v>52917</v>
      </c>
      <c r="I1117" s="415">
        <v>0</v>
      </c>
      <c r="J1117" s="415">
        <v>62740.44</v>
      </c>
      <c r="K1117" s="415">
        <v>59783.82</v>
      </c>
      <c r="L1117" s="415">
        <v>50242.05</v>
      </c>
      <c r="M1117" s="415">
        <v>58784.67</v>
      </c>
      <c r="N1117" s="415">
        <v>54870.9</v>
      </c>
      <c r="O1117" s="415">
        <v>29077.5</v>
      </c>
      <c r="P1117" s="415">
        <v>27385.05</v>
      </c>
      <c r="Q1117" s="481">
        <f t="shared" si="63"/>
        <v>62740.44</v>
      </c>
    </row>
    <row r="1118" spans="1:17" outlineLevel="2" x14ac:dyDescent="0.3">
      <c r="A1118" s="366" t="str">
        <f>IFERROR(VLOOKUP(RIGHT(E1118,3)+0,[1]SchLocTable!$A$2:$B$47,2,FALSE)," ")</f>
        <v>High Horizons Magnet</v>
      </c>
      <c r="B1118" s="366" t="str">
        <f>VLOOKUP(VALUE(D1118),$D$3:F$106,3,FALSE)</f>
        <v>Kindergarten Teachers</v>
      </c>
      <c r="C1118" t="s">
        <v>314</v>
      </c>
      <c r="D1118">
        <v>809</v>
      </c>
      <c r="E1118" t="s">
        <v>535</v>
      </c>
      <c r="F1118" t="s">
        <v>318</v>
      </c>
      <c r="G1118" t="s">
        <v>319</v>
      </c>
      <c r="H1118" s="502">
        <v>51140</v>
      </c>
      <c r="I1118" s="415">
        <v>2100</v>
      </c>
      <c r="J1118" s="415">
        <v>0</v>
      </c>
      <c r="K1118" s="415">
        <v>2100</v>
      </c>
      <c r="L1118" s="415">
        <v>2000</v>
      </c>
      <c r="M1118" s="415">
        <v>2000</v>
      </c>
      <c r="N1118" s="415">
        <v>2000</v>
      </c>
      <c r="O1118" s="415">
        <v>1100</v>
      </c>
      <c r="P1118" s="415">
        <v>1100</v>
      </c>
      <c r="Q1118" s="481">
        <f t="shared" si="63"/>
        <v>-2100</v>
      </c>
    </row>
    <row r="1119" spans="1:17" outlineLevel="2" x14ac:dyDescent="0.3">
      <c r="A1119" s="366" t="str">
        <f>IFERROR(VLOOKUP(RIGHT(E1119,3)+0,[1]SchLocTable!$A$2:$B$47,2,FALSE)," ")</f>
        <v>High Horizons Magnet</v>
      </c>
      <c r="B1119" s="366" t="str">
        <f>VLOOKUP(VALUE(D1119),$D$3:F$106,3,FALSE)</f>
        <v>Kindergarten Teachers</v>
      </c>
      <c r="C1119" t="s">
        <v>314</v>
      </c>
      <c r="D1119">
        <v>809</v>
      </c>
      <c r="E1119" t="s">
        <v>535</v>
      </c>
      <c r="F1119" t="s">
        <v>320</v>
      </c>
      <c r="G1119" t="s">
        <v>319</v>
      </c>
      <c r="H1119" s="502">
        <v>52360</v>
      </c>
      <c r="I1119" s="415">
        <v>0</v>
      </c>
      <c r="J1119" s="415">
        <v>2737</v>
      </c>
      <c r="K1119" s="415">
        <v>2754.75</v>
      </c>
      <c r="L1119" s="415">
        <v>2165.87</v>
      </c>
      <c r="M1119" s="415">
        <v>2516.5500000000002</v>
      </c>
      <c r="N1119" s="415">
        <v>2433.98</v>
      </c>
      <c r="O1119" s="415">
        <v>2031.85</v>
      </c>
      <c r="P1119" s="415">
        <v>2006.26</v>
      </c>
      <c r="Q1119" s="481">
        <f t="shared" si="63"/>
        <v>2737</v>
      </c>
    </row>
    <row r="1120" spans="1:17" outlineLevel="2" x14ac:dyDescent="0.3">
      <c r="A1120" s="366" t="str">
        <f>IFERROR(VLOOKUP(RIGHT(E1120,3)+0,[1]SchLocTable!$A$2:$B$47,2,FALSE)," ")</f>
        <v>Multicultural Magnet</v>
      </c>
      <c r="B1120" s="366" t="str">
        <f>VLOOKUP(VALUE(D1120),$D$3:F$106,3,FALSE)</f>
        <v>Kindergarten Teachers</v>
      </c>
      <c r="C1120" t="s">
        <v>314</v>
      </c>
      <c r="D1120">
        <v>809</v>
      </c>
      <c r="E1120" t="s">
        <v>536</v>
      </c>
      <c r="F1120" t="s">
        <v>316</v>
      </c>
      <c r="G1120">
        <v>1</v>
      </c>
      <c r="H1120" s="502">
        <v>51000</v>
      </c>
      <c r="I1120" s="415">
        <v>0</v>
      </c>
      <c r="J1120" s="415">
        <v>105070</v>
      </c>
      <c r="K1120" s="415">
        <v>65638.3</v>
      </c>
      <c r="L1120" s="415">
        <v>34377.57</v>
      </c>
      <c r="M1120" s="415">
        <v>29846.959999999999</v>
      </c>
      <c r="N1120" s="415">
        <v>17294.57</v>
      </c>
      <c r="O1120" s="415">
        <v>54697.46</v>
      </c>
      <c r="P1120" s="415">
        <v>27374.06</v>
      </c>
      <c r="Q1120" s="481">
        <f t="shared" si="63"/>
        <v>105070</v>
      </c>
    </row>
    <row r="1121" spans="1:17" outlineLevel="2" x14ac:dyDescent="0.3">
      <c r="A1121" s="366" t="str">
        <f>IFERROR(VLOOKUP(RIGHT(E1121,3)+0,[1]SchLocTable!$A$2:$B$47,2,FALSE)," ")</f>
        <v>Multicultural Magnet</v>
      </c>
      <c r="B1121" s="366" t="str">
        <f>VLOOKUP(VALUE(D1121),$D$3:F$106,3,FALSE)</f>
        <v>Kindergarten Teachers</v>
      </c>
      <c r="C1121" t="s">
        <v>314</v>
      </c>
      <c r="D1121">
        <v>809</v>
      </c>
      <c r="E1121" t="s">
        <v>536</v>
      </c>
      <c r="F1121" t="s">
        <v>321</v>
      </c>
      <c r="G1121" t="s">
        <v>319</v>
      </c>
      <c r="H1121" s="502">
        <v>52917</v>
      </c>
      <c r="I1121" s="415">
        <v>0</v>
      </c>
      <c r="J1121" s="415">
        <v>0</v>
      </c>
      <c r="K1121" s="415">
        <v>6681.12</v>
      </c>
      <c r="L1121" s="415">
        <v>27738.23</v>
      </c>
      <c r="M1121" s="415">
        <v>32449.200000000001</v>
      </c>
      <c r="N1121" s="415">
        <v>30308.67</v>
      </c>
      <c r="O1121" s="415">
        <v>29077.5</v>
      </c>
      <c r="P1121" s="415">
        <v>25404.57</v>
      </c>
      <c r="Q1121" s="481">
        <f t="shared" si="63"/>
        <v>0</v>
      </c>
    </row>
    <row r="1122" spans="1:17" outlineLevel="2" x14ac:dyDescent="0.3">
      <c r="A1122" s="366" t="str">
        <f>IFERROR(VLOOKUP(RIGHT(E1122,3)+0,[1]SchLocTable!$A$2:$B$47,2,FALSE)," ")</f>
        <v>Multicultural Magnet</v>
      </c>
      <c r="B1122" s="366" t="str">
        <f>VLOOKUP(VALUE(D1122),$D$3:F$106,3,FALSE)</f>
        <v>Kindergarten Teachers</v>
      </c>
      <c r="C1122" t="s">
        <v>314</v>
      </c>
      <c r="D1122">
        <v>809</v>
      </c>
      <c r="E1122" t="s">
        <v>536</v>
      </c>
      <c r="F1122" t="s">
        <v>318</v>
      </c>
      <c r="G1122" t="s">
        <v>319</v>
      </c>
      <c r="H1122" s="502">
        <v>51140</v>
      </c>
      <c r="I1122" s="415">
        <v>900</v>
      </c>
      <c r="J1122" s="415">
        <v>0</v>
      </c>
      <c r="K1122" s="415">
        <v>900</v>
      </c>
      <c r="L1122" s="415">
        <v>0</v>
      </c>
      <c r="M1122" s="415">
        <v>0</v>
      </c>
      <c r="N1122" s="415">
        <v>0</v>
      </c>
      <c r="O1122" s="415">
        <v>0</v>
      </c>
      <c r="P1122" s="415">
        <v>0</v>
      </c>
      <c r="Q1122" s="481">
        <f t="shared" si="63"/>
        <v>-900</v>
      </c>
    </row>
    <row r="1123" spans="1:17" outlineLevel="2" x14ac:dyDescent="0.3">
      <c r="A1123" s="366" t="str">
        <f>IFERROR(VLOOKUP(RIGHT(E1123,3)+0,[1]SchLocTable!$A$2:$B$47,2,FALSE)," ")</f>
        <v>Multicultural Magnet</v>
      </c>
      <c r="B1123" s="366" t="str">
        <f>VLOOKUP(VALUE(D1123),$D$3:F$106,3,FALSE)</f>
        <v>Kindergarten Teachers</v>
      </c>
      <c r="C1123" t="s">
        <v>314</v>
      </c>
      <c r="D1123">
        <v>809</v>
      </c>
      <c r="E1123" t="s">
        <v>536</v>
      </c>
      <c r="F1123" t="s">
        <v>320</v>
      </c>
      <c r="G1123" t="s">
        <v>319</v>
      </c>
      <c r="H1123" s="502">
        <v>52360</v>
      </c>
      <c r="I1123" s="415">
        <v>0</v>
      </c>
      <c r="J1123" s="415">
        <v>1537</v>
      </c>
      <c r="K1123" s="415">
        <v>1623.96</v>
      </c>
      <c r="L1123" s="415">
        <v>651.39</v>
      </c>
      <c r="M1123" s="415">
        <v>722.12</v>
      </c>
      <c r="N1123" s="415">
        <v>664.01</v>
      </c>
      <c r="O1123" s="415">
        <v>682.69</v>
      </c>
      <c r="P1123" s="415">
        <v>689.56</v>
      </c>
      <c r="Q1123" s="481">
        <f t="shared" si="63"/>
        <v>1537</v>
      </c>
    </row>
    <row r="1124" spans="1:17" outlineLevel="2" x14ac:dyDescent="0.3">
      <c r="A1124" s="366" t="str">
        <f>IFERROR(VLOOKUP(RIGHT(E1124,3)+0,[1]SchLocTable!$A$2:$B$47,2,FALSE)," ")</f>
        <v xml:space="preserve"> </v>
      </c>
      <c r="B1124" s="366" t="str">
        <f>VLOOKUP(VALUE(D1124),$D$3:F$106,3,FALSE)</f>
        <v>Bilingual Education</v>
      </c>
      <c r="C1124" t="s">
        <v>314</v>
      </c>
      <c r="D1124">
        <v>810</v>
      </c>
      <c r="E1124" t="s">
        <v>537</v>
      </c>
      <c r="F1124" t="s">
        <v>316</v>
      </c>
      <c r="G1124">
        <v>3</v>
      </c>
      <c r="H1124" s="502">
        <v>51000</v>
      </c>
      <c r="I1124" s="415">
        <v>165642.56072000001</v>
      </c>
      <c r="J1124" s="415">
        <v>444388.66</v>
      </c>
      <c r="K1124" s="415">
        <v>431928.55</v>
      </c>
      <c r="L1124" s="415">
        <v>47009.81</v>
      </c>
      <c r="M1124" s="415">
        <v>49505.9</v>
      </c>
      <c r="N1124" s="415">
        <v>48774.400000000001</v>
      </c>
      <c r="O1124" s="415">
        <v>0</v>
      </c>
      <c r="P1124" s="415">
        <v>0</v>
      </c>
      <c r="Q1124" s="481">
        <f t="shared" si="63"/>
        <v>278746.09927999997</v>
      </c>
    </row>
    <row r="1125" spans="1:17" outlineLevel="2" x14ac:dyDescent="0.3">
      <c r="A1125" s="366" t="str">
        <f>IFERROR(VLOOKUP(RIGHT(E1125,3)+0,[1]SchLocTable!$A$2:$B$47,2,FALSE)," ")</f>
        <v xml:space="preserve"> </v>
      </c>
      <c r="B1125" s="366" t="str">
        <f>VLOOKUP(VALUE(D1125),$D$3:F$106,3,FALSE)</f>
        <v>Bilingual Education</v>
      </c>
      <c r="C1125" t="s">
        <v>314</v>
      </c>
      <c r="D1125">
        <v>810</v>
      </c>
      <c r="E1125" t="s">
        <v>537</v>
      </c>
      <c r="F1125" t="s">
        <v>321</v>
      </c>
      <c r="G1125" t="s">
        <v>319</v>
      </c>
      <c r="H1125" s="502">
        <v>52917</v>
      </c>
      <c r="I1125" s="415">
        <v>69496.30799999999</v>
      </c>
      <c r="J1125" s="415">
        <v>121936.43</v>
      </c>
      <c r="K1125" s="415">
        <v>110913.18</v>
      </c>
      <c r="L1125" s="415">
        <v>37143.82</v>
      </c>
      <c r="M1125" s="415">
        <v>32449.200000000001</v>
      </c>
      <c r="N1125" s="415">
        <v>30308.67</v>
      </c>
      <c r="O1125" s="415">
        <v>0</v>
      </c>
      <c r="P1125" s="415">
        <v>0</v>
      </c>
      <c r="Q1125" s="481">
        <f t="shared" si="63"/>
        <v>52440.122000000003</v>
      </c>
    </row>
    <row r="1126" spans="1:17" outlineLevel="2" x14ac:dyDescent="0.3">
      <c r="A1126" s="366" t="str">
        <f>IFERROR(VLOOKUP(RIGHT(E1126,3)+0,[1]SchLocTable!$A$2:$B$47,2,FALSE)," ")</f>
        <v xml:space="preserve"> </v>
      </c>
      <c r="B1126" s="366" t="str">
        <f>VLOOKUP(VALUE(D1126),$D$3:F$106,3,FALSE)</f>
        <v>Bilingual Education</v>
      </c>
      <c r="C1126" t="s">
        <v>314</v>
      </c>
      <c r="D1126">
        <v>810</v>
      </c>
      <c r="E1126" t="s">
        <v>537</v>
      </c>
      <c r="F1126" t="s">
        <v>318</v>
      </c>
      <c r="G1126" t="s">
        <v>319</v>
      </c>
      <c r="H1126" s="502">
        <v>51140</v>
      </c>
      <c r="I1126" s="415">
        <v>2300</v>
      </c>
      <c r="J1126" s="415">
        <v>0</v>
      </c>
      <c r="K1126" s="415">
        <v>3100</v>
      </c>
      <c r="L1126" s="415">
        <v>5800</v>
      </c>
      <c r="M1126" s="415">
        <v>2600</v>
      </c>
      <c r="N1126" s="415">
        <v>1300</v>
      </c>
      <c r="O1126" s="415">
        <v>0</v>
      </c>
      <c r="P1126" s="415">
        <v>0</v>
      </c>
      <c r="Q1126" s="481">
        <f t="shared" si="63"/>
        <v>-2300</v>
      </c>
    </row>
    <row r="1127" spans="1:17" outlineLevel="2" x14ac:dyDescent="0.3">
      <c r="A1127" s="366" t="str">
        <f>IFERROR(VLOOKUP(RIGHT(E1127,3)+0,[1]SchLocTable!$A$2:$B$47,2,FALSE)," ")</f>
        <v xml:space="preserve"> </v>
      </c>
      <c r="B1127" s="366" t="str">
        <f>VLOOKUP(VALUE(D1127),$D$3:F$106,3,FALSE)</f>
        <v>Bilingual Education</v>
      </c>
      <c r="C1127" t="s">
        <v>314</v>
      </c>
      <c r="D1127">
        <v>810</v>
      </c>
      <c r="E1127" t="s">
        <v>537</v>
      </c>
      <c r="F1127" t="s">
        <v>320</v>
      </c>
      <c r="G1127" t="s">
        <v>319</v>
      </c>
      <c r="H1127" s="502">
        <v>52360</v>
      </c>
      <c r="I1127" s="415">
        <v>2401.8171304400003</v>
      </c>
      <c r="J1127" s="415">
        <v>6362.18</v>
      </c>
      <c r="K1127" s="415">
        <v>6579.84</v>
      </c>
      <c r="L1127" s="415">
        <v>1337.46</v>
      </c>
      <c r="M1127" s="415">
        <v>0</v>
      </c>
      <c r="N1127" s="415">
        <v>0</v>
      </c>
      <c r="O1127" s="415">
        <v>0</v>
      </c>
      <c r="P1127" s="415">
        <v>0</v>
      </c>
      <c r="Q1127" s="481">
        <f t="shared" si="63"/>
        <v>3960.36286956</v>
      </c>
    </row>
    <row r="1128" spans="1:17" outlineLevel="2" x14ac:dyDescent="0.3">
      <c r="A1128" s="366" t="str">
        <f>IFERROR(VLOOKUP(RIGHT(E1128,3)+0,[1]SchLocTable!$A$2:$B$47,2,FALSE)," ")</f>
        <v xml:space="preserve"> </v>
      </c>
      <c r="B1128" s="366" t="str">
        <f>VLOOKUP(VALUE(D1128),$D$3:F$106,3,FALSE)</f>
        <v>Bilingual Education</v>
      </c>
      <c r="C1128" t="s">
        <v>314</v>
      </c>
      <c r="D1128">
        <v>810</v>
      </c>
      <c r="E1128" t="s">
        <v>537</v>
      </c>
      <c r="F1128" t="s">
        <v>329</v>
      </c>
      <c r="G1128" t="s">
        <v>319</v>
      </c>
      <c r="H1128" s="502">
        <v>51154</v>
      </c>
      <c r="I1128" s="415">
        <v>0</v>
      </c>
      <c r="J1128" s="415">
        <v>0</v>
      </c>
      <c r="K1128" s="415">
        <v>0</v>
      </c>
      <c r="L1128" s="415">
        <v>0</v>
      </c>
      <c r="M1128" s="415">
        <v>11375</v>
      </c>
      <c r="N1128" s="415">
        <v>0</v>
      </c>
      <c r="O1128" s="415">
        <v>0</v>
      </c>
      <c r="P1128" s="415">
        <v>0</v>
      </c>
      <c r="Q1128" s="481">
        <f t="shared" si="63"/>
        <v>0</v>
      </c>
    </row>
    <row r="1129" spans="1:17" outlineLevel="2" x14ac:dyDescent="0.3">
      <c r="A1129" s="366" t="str">
        <f>IFERROR(VLOOKUP(RIGHT(E1129,3)+0,[1]SchLocTable!$A$2:$B$47,2,FALSE)," ")</f>
        <v>Barnum</v>
      </c>
      <c r="B1129" s="366" t="str">
        <f>VLOOKUP(VALUE(D1129),$D$3:F$106,3,FALSE)</f>
        <v>Bilingual Education</v>
      </c>
      <c r="C1129" t="s">
        <v>314</v>
      </c>
      <c r="D1129">
        <v>810</v>
      </c>
      <c r="E1129" t="s">
        <v>538</v>
      </c>
      <c r="F1129" t="s">
        <v>316</v>
      </c>
      <c r="G1129">
        <v>4</v>
      </c>
      <c r="H1129" s="502">
        <v>51000</v>
      </c>
      <c r="I1129" s="415">
        <v>160000</v>
      </c>
      <c r="J1129" s="415">
        <v>162774.28</v>
      </c>
      <c r="K1129" s="415">
        <v>240111.98</v>
      </c>
      <c r="L1129" s="415">
        <v>192987.13</v>
      </c>
      <c r="M1129" s="415">
        <v>302582.34000000003</v>
      </c>
      <c r="N1129" s="415">
        <v>236374.36</v>
      </c>
      <c r="O1129" s="415">
        <v>215216.82</v>
      </c>
      <c r="P1129" s="415">
        <v>250806.2</v>
      </c>
      <c r="Q1129" s="481">
        <f t="shared" si="63"/>
        <v>2774.2799999999988</v>
      </c>
    </row>
    <row r="1130" spans="1:17" outlineLevel="2" x14ac:dyDescent="0.3">
      <c r="A1130" s="366" t="str">
        <f>IFERROR(VLOOKUP(RIGHT(E1130,3)+0,[1]SchLocTable!$A$2:$B$47,2,FALSE)," ")</f>
        <v>Barnum</v>
      </c>
      <c r="B1130" s="366" t="str">
        <f>VLOOKUP(VALUE(D1130),$D$3:F$106,3,FALSE)</f>
        <v>Bilingual Education</v>
      </c>
      <c r="C1130" t="s">
        <v>314</v>
      </c>
      <c r="D1130">
        <v>810</v>
      </c>
      <c r="E1130" t="s">
        <v>538</v>
      </c>
      <c r="F1130" t="s">
        <v>321</v>
      </c>
      <c r="G1130" t="s">
        <v>319</v>
      </c>
      <c r="H1130" s="502">
        <v>52917</v>
      </c>
      <c r="I1130" s="415">
        <v>64800</v>
      </c>
      <c r="J1130" s="415">
        <v>43165.8</v>
      </c>
      <c r="K1130" s="415">
        <v>52166.1</v>
      </c>
      <c r="L1130" s="415">
        <v>24418.880000000001</v>
      </c>
      <c r="M1130" s="415">
        <v>29429.52</v>
      </c>
      <c r="N1130" s="415">
        <v>21524.09</v>
      </c>
      <c r="O1130" s="415">
        <v>42777.31</v>
      </c>
      <c r="P1130" s="415">
        <v>51618.879999999997</v>
      </c>
      <c r="Q1130" s="481">
        <f t="shared" si="63"/>
        <v>-21634.199999999997</v>
      </c>
    </row>
    <row r="1131" spans="1:17" outlineLevel="2" x14ac:dyDescent="0.3">
      <c r="A1131" s="366" t="str">
        <f>IFERROR(VLOOKUP(RIGHT(E1131,3)+0,[1]SchLocTable!$A$2:$B$47,2,FALSE)," ")</f>
        <v>Barnum</v>
      </c>
      <c r="B1131" s="366" t="str">
        <f>VLOOKUP(VALUE(D1131),$D$3:F$106,3,FALSE)</f>
        <v>Bilingual Education</v>
      </c>
      <c r="C1131" t="s">
        <v>314</v>
      </c>
      <c r="D1131">
        <v>810</v>
      </c>
      <c r="E1131" t="s">
        <v>538</v>
      </c>
      <c r="F1131" t="s">
        <v>320</v>
      </c>
      <c r="G1131" t="s">
        <v>319</v>
      </c>
      <c r="H1131" s="502">
        <v>52360</v>
      </c>
      <c r="I1131" s="415">
        <v>2320</v>
      </c>
      <c r="J1131" s="415">
        <v>2337.7399999999998</v>
      </c>
      <c r="K1131" s="415">
        <v>3258.74</v>
      </c>
      <c r="L1131" s="415">
        <v>2697.07</v>
      </c>
      <c r="M1131" s="415">
        <v>4268.78</v>
      </c>
      <c r="N1131" s="415">
        <v>3343.21</v>
      </c>
      <c r="O1131" s="415">
        <v>2975.33</v>
      </c>
      <c r="P1131" s="415">
        <v>3476.97</v>
      </c>
      <c r="Q1131" s="481">
        <f t="shared" si="63"/>
        <v>17.739999999999782</v>
      </c>
    </row>
    <row r="1132" spans="1:17" outlineLevel="2" x14ac:dyDescent="0.3">
      <c r="A1132" s="366" t="str">
        <f>IFERROR(VLOOKUP(RIGHT(E1132,3)+0,[1]SchLocTable!$A$2:$B$47,2,FALSE)," ")</f>
        <v>Barnum</v>
      </c>
      <c r="B1132" s="366" t="str">
        <f>VLOOKUP(VALUE(D1132),$D$3:F$106,3,FALSE)</f>
        <v>Bilingual Education</v>
      </c>
      <c r="C1132" t="s">
        <v>314</v>
      </c>
      <c r="D1132">
        <v>810</v>
      </c>
      <c r="E1132" t="s">
        <v>538</v>
      </c>
      <c r="F1132" t="s">
        <v>324</v>
      </c>
      <c r="G1132" t="s">
        <v>319</v>
      </c>
      <c r="H1132" s="502">
        <v>52385</v>
      </c>
      <c r="I1132" s="415">
        <v>0</v>
      </c>
      <c r="J1132" s="415">
        <v>0</v>
      </c>
      <c r="K1132" s="415">
        <v>0</v>
      </c>
      <c r="L1132" s="415">
        <v>2278.5</v>
      </c>
      <c r="M1132" s="415">
        <v>0</v>
      </c>
      <c r="N1132" s="415">
        <v>0</v>
      </c>
      <c r="O1132" s="415">
        <v>368.28</v>
      </c>
      <c r="P1132" s="415">
        <v>0</v>
      </c>
      <c r="Q1132" s="481">
        <f t="shared" si="63"/>
        <v>0</v>
      </c>
    </row>
    <row r="1133" spans="1:17" outlineLevel="2" x14ac:dyDescent="0.3">
      <c r="A1133" s="366" t="str">
        <f>IFERROR(VLOOKUP(RIGHT(E1133,3)+0,[1]SchLocTable!$A$2:$B$47,2,FALSE)," ")</f>
        <v>Beardsley</v>
      </c>
      <c r="B1133" s="366" t="str">
        <f>VLOOKUP(VALUE(D1133),$D$3:F$106,3,FALSE)</f>
        <v>Bilingual Education</v>
      </c>
      <c r="C1133" t="s">
        <v>314</v>
      </c>
      <c r="D1133">
        <v>810</v>
      </c>
      <c r="E1133" t="s">
        <v>539</v>
      </c>
      <c r="F1133" t="s">
        <v>316</v>
      </c>
      <c r="G1133" t="s">
        <v>319</v>
      </c>
      <c r="H1133" s="502">
        <v>51000</v>
      </c>
      <c r="I1133" s="415">
        <v>0</v>
      </c>
      <c r="J1133" s="415">
        <v>0</v>
      </c>
      <c r="K1133" s="415">
        <v>0</v>
      </c>
      <c r="L1133" s="415">
        <v>10257.36</v>
      </c>
      <c r="M1133" s="415">
        <v>91106.3</v>
      </c>
      <c r="N1133" s="415">
        <v>77032.02</v>
      </c>
      <c r="O1133" s="415">
        <v>72752.94</v>
      </c>
      <c r="P1133" s="415">
        <v>71607.899999999994</v>
      </c>
      <c r="Q1133" s="481">
        <f t="shared" si="63"/>
        <v>0</v>
      </c>
    </row>
    <row r="1134" spans="1:17" outlineLevel="2" x14ac:dyDescent="0.3">
      <c r="A1134" s="366" t="str">
        <f>IFERROR(VLOOKUP(RIGHT(E1134,3)+0,[1]SchLocTable!$A$2:$B$47,2,FALSE)," ")</f>
        <v>Beardsley</v>
      </c>
      <c r="B1134" s="366" t="str">
        <f>VLOOKUP(VALUE(D1134),$D$3:F$106,3,FALSE)</f>
        <v>Bilingual Education</v>
      </c>
      <c r="C1134" t="s">
        <v>314</v>
      </c>
      <c r="D1134">
        <v>810</v>
      </c>
      <c r="E1134" t="s">
        <v>539</v>
      </c>
      <c r="F1134" t="s">
        <v>321</v>
      </c>
      <c r="G1134" t="s">
        <v>319</v>
      </c>
      <c r="H1134" s="502">
        <v>52917</v>
      </c>
      <c r="I1134" s="415">
        <v>0</v>
      </c>
      <c r="J1134" s="415">
        <v>0</v>
      </c>
      <c r="K1134" s="415">
        <v>0</v>
      </c>
      <c r="L1134" s="415">
        <v>137.07</v>
      </c>
      <c r="M1134" s="415">
        <v>5463.18</v>
      </c>
      <c r="N1134" s="415">
        <v>959.49</v>
      </c>
      <c r="O1134" s="415">
        <v>847.98</v>
      </c>
      <c r="P1134" s="415">
        <v>896.07</v>
      </c>
      <c r="Q1134" s="481">
        <f t="shared" si="63"/>
        <v>0</v>
      </c>
    </row>
    <row r="1135" spans="1:17" outlineLevel="2" x14ac:dyDescent="0.3">
      <c r="A1135" s="366" t="str">
        <f>IFERROR(VLOOKUP(RIGHT(E1135,3)+0,[1]SchLocTable!$A$2:$B$47,2,FALSE)," ")</f>
        <v>Beardsley</v>
      </c>
      <c r="B1135" s="366" t="str">
        <f>VLOOKUP(VALUE(D1135),$D$3:F$106,3,FALSE)</f>
        <v>Bilingual Education</v>
      </c>
      <c r="C1135" t="s">
        <v>314</v>
      </c>
      <c r="D1135">
        <v>810</v>
      </c>
      <c r="E1135" t="s">
        <v>539</v>
      </c>
      <c r="F1135" t="s">
        <v>320</v>
      </c>
      <c r="G1135" t="s">
        <v>319</v>
      </c>
      <c r="H1135" s="502">
        <v>52360</v>
      </c>
      <c r="I1135" s="415">
        <v>0</v>
      </c>
      <c r="J1135" s="415">
        <v>0</v>
      </c>
      <c r="K1135" s="415">
        <v>0</v>
      </c>
      <c r="L1135" s="415">
        <v>148.38999999999999</v>
      </c>
      <c r="M1135" s="415">
        <v>1300.24</v>
      </c>
      <c r="N1135" s="415">
        <v>1114.47</v>
      </c>
      <c r="O1135" s="415">
        <v>1052.75</v>
      </c>
      <c r="P1135" s="415">
        <v>1036.8699999999999</v>
      </c>
      <c r="Q1135" s="481">
        <f t="shared" si="63"/>
        <v>0</v>
      </c>
    </row>
    <row r="1136" spans="1:17" outlineLevel="2" x14ac:dyDescent="0.3">
      <c r="A1136" s="366" t="str">
        <f>IFERROR(VLOOKUP(RIGHT(E1136,3)+0,[1]SchLocTable!$A$2:$B$47,2,FALSE)," ")</f>
        <v>Black Rock</v>
      </c>
      <c r="B1136" s="366" t="str">
        <f>VLOOKUP(VALUE(D1136),$D$3:F$106,3,FALSE)</f>
        <v>Bilingual Education</v>
      </c>
      <c r="C1136" t="s">
        <v>314</v>
      </c>
      <c r="D1136">
        <v>810</v>
      </c>
      <c r="E1136" t="s">
        <v>540</v>
      </c>
      <c r="F1136" t="s">
        <v>316</v>
      </c>
      <c r="G1136">
        <v>1</v>
      </c>
      <c r="H1136" s="502">
        <v>51000</v>
      </c>
      <c r="I1136" s="415">
        <v>0</v>
      </c>
      <c r="J1136" s="415">
        <v>105070</v>
      </c>
      <c r="K1136" s="415">
        <v>94155.1</v>
      </c>
      <c r="L1136" s="415">
        <v>0</v>
      </c>
      <c r="M1136" s="415">
        <v>83106.92</v>
      </c>
      <c r="N1136" s="415">
        <v>77488.37</v>
      </c>
      <c r="O1136" s="415">
        <v>83106.92</v>
      </c>
      <c r="P1136" s="415">
        <v>53109.19</v>
      </c>
      <c r="Q1136" s="481">
        <f t="shared" si="63"/>
        <v>105070</v>
      </c>
    </row>
    <row r="1137" spans="1:17" outlineLevel="2" x14ac:dyDescent="0.3">
      <c r="A1137" s="366" t="str">
        <f>IFERROR(VLOOKUP(RIGHT(E1137,3)+0,[1]SchLocTable!$A$2:$B$47,2,FALSE)," ")</f>
        <v>Black Rock</v>
      </c>
      <c r="B1137" s="366" t="str">
        <f>VLOOKUP(VALUE(D1137),$D$3:F$106,3,FALSE)</f>
        <v>Bilingual Education</v>
      </c>
      <c r="C1137" t="s">
        <v>314</v>
      </c>
      <c r="D1137">
        <v>810</v>
      </c>
      <c r="E1137" t="s">
        <v>540</v>
      </c>
      <c r="F1137" t="s">
        <v>321</v>
      </c>
      <c r="G1137" t="s">
        <v>319</v>
      </c>
      <c r="H1137" s="502">
        <v>52917</v>
      </c>
      <c r="I1137" s="415">
        <v>0</v>
      </c>
      <c r="J1137" s="415">
        <v>13037.22</v>
      </c>
      <c r="K1137" s="415">
        <v>18972.900000000001</v>
      </c>
      <c r="L1137" s="415">
        <v>0</v>
      </c>
      <c r="M1137" s="415">
        <v>26335.47</v>
      </c>
      <c r="N1137" s="415">
        <v>24835.87</v>
      </c>
      <c r="O1137" s="415">
        <v>29077.5</v>
      </c>
      <c r="P1137" s="415">
        <v>0</v>
      </c>
      <c r="Q1137" s="481">
        <f t="shared" si="63"/>
        <v>13037.22</v>
      </c>
    </row>
    <row r="1138" spans="1:17" outlineLevel="2" x14ac:dyDescent="0.3">
      <c r="A1138" s="366" t="str">
        <f>IFERROR(VLOOKUP(RIGHT(E1138,3)+0,[1]SchLocTable!$A$2:$B$47,2,FALSE)," ")</f>
        <v>Black Rock</v>
      </c>
      <c r="B1138" s="366" t="str">
        <f>VLOOKUP(VALUE(D1138),$D$3:F$106,3,FALSE)</f>
        <v>Bilingual Education</v>
      </c>
      <c r="C1138" t="s">
        <v>314</v>
      </c>
      <c r="D1138">
        <v>810</v>
      </c>
      <c r="E1138" t="s">
        <v>540</v>
      </c>
      <c r="F1138" t="s">
        <v>320</v>
      </c>
      <c r="G1138" t="s">
        <v>319</v>
      </c>
      <c r="H1138" s="502">
        <v>52360</v>
      </c>
      <c r="I1138" s="415">
        <v>0</v>
      </c>
      <c r="J1138" s="415">
        <v>1453</v>
      </c>
      <c r="K1138" s="415">
        <v>1284.1199999999999</v>
      </c>
      <c r="L1138" s="415">
        <v>0</v>
      </c>
      <c r="M1138" s="415">
        <v>1098.6500000000001</v>
      </c>
      <c r="N1138" s="415">
        <v>1026.3399999999999</v>
      </c>
      <c r="O1138" s="415">
        <v>1107.67</v>
      </c>
      <c r="P1138" s="415">
        <v>770.08</v>
      </c>
      <c r="Q1138" s="481">
        <f t="shared" si="63"/>
        <v>1453</v>
      </c>
    </row>
    <row r="1139" spans="1:17" outlineLevel="1" x14ac:dyDescent="0.3">
      <c r="A1139" s="366" t="str">
        <f>IFERROR(VLOOKUP(RIGHT(E1139,3)+0,[1]SchLocTable!$A$2:$B$47,2,FALSE)," ")</f>
        <v>Bryant</v>
      </c>
      <c r="B1139" s="366" t="str">
        <f>VLOOKUP(VALUE(D1139),$D$3:F$106,3,FALSE)</f>
        <v>Bilingual Education</v>
      </c>
      <c r="C1139" t="s">
        <v>314</v>
      </c>
      <c r="D1139">
        <v>810</v>
      </c>
      <c r="E1139" t="s">
        <v>541</v>
      </c>
      <c r="F1139" t="s">
        <v>316</v>
      </c>
      <c r="G1139" t="s">
        <v>319</v>
      </c>
      <c r="H1139" s="502">
        <v>51000</v>
      </c>
      <c r="I1139" s="415">
        <v>0</v>
      </c>
      <c r="J1139" s="415">
        <v>0</v>
      </c>
      <c r="K1139" s="415">
        <v>10003.14</v>
      </c>
      <c r="L1139" s="415">
        <v>44368.01</v>
      </c>
      <c r="M1139" s="415">
        <v>52321.919999999998</v>
      </c>
      <c r="N1139" s="415">
        <v>97548.88</v>
      </c>
      <c r="O1139" s="415">
        <v>96106.92</v>
      </c>
      <c r="P1139" s="415">
        <v>94593.98</v>
      </c>
      <c r="Q1139" s="481">
        <f t="shared" si="63"/>
        <v>0</v>
      </c>
    </row>
    <row r="1140" spans="1:17" outlineLevel="2" x14ac:dyDescent="0.3">
      <c r="A1140" s="366" t="str">
        <f>IFERROR(VLOOKUP(RIGHT(E1140,3)+0,[1]SchLocTable!$A$2:$B$47,2,FALSE)," ")</f>
        <v>Bryant</v>
      </c>
      <c r="B1140" s="366" t="str">
        <f>VLOOKUP(VALUE(D1140),$D$3:F$106,3,FALSE)</f>
        <v>Bilingual Education</v>
      </c>
      <c r="C1140" t="s">
        <v>314</v>
      </c>
      <c r="D1140">
        <v>810</v>
      </c>
      <c r="E1140" t="s">
        <v>541</v>
      </c>
      <c r="F1140" t="s">
        <v>321</v>
      </c>
      <c r="G1140" t="s">
        <v>319</v>
      </c>
      <c r="H1140" s="502">
        <v>52917</v>
      </c>
      <c r="I1140" s="415">
        <v>0</v>
      </c>
      <c r="J1140" s="415">
        <v>0</v>
      </c>
      <c r="K1140" s="415">
        <v>0</v>
      </c>
      <c r="L1140" s="415">
        <v>11541.6</v>
      </c>
      <c r="M1140" s="415">
        <v>10864.98</v>
      </c>
      <c r="N1140" s="415">
        <v>28393.19</v>
      </c>
      <c r="O1140" s="415">
        <v>29077.5</v>
      </c>
      <c r="P1140" s="415">
        <v>27385.05</v>
      </c>
      <c r="Q1140" s="481">
        <f t="shared" si="63"/>
        <v>0</v>
      </c>
    </row>
    <row r="1141" spans="1:17" outlineLevel="2" x14ac:dyDescent="0.3">
      <c r="A1141" s="366" t="str">
        <f>IFERROR(VLOOKUP(RIGHT(E1141,3)+0,[1]SchLocTable!$A$2:$B$47,2,FALSE)," ")</f>
        <v>Bryant</v>
      </c>
      <c r="B1141" s="366" t="str">
        <f>VLOOKUP(VALUE(D1141),$D$3:F$106,3,FALSE)</f>
        <v>Bilingual Education</v>
      </c>
      <c r="C1141" t="s">
        <v>314</v>
      </c>
      <c r="D1141">
        <v>810</v>
      </c>
      <c r="E1141" t="s">
        <v>541</v>
      </c>
      <c r="F1141" t="s">
        <v>320</v>
      </c>
      <c r="G1141" t="s">
        <v>319</v>
      </c>
      <c r="H1141" s="502">
        <v>52360</v>
      </c>
      <c r="I1141" s="415">
        <v>0</v>
      </c>
      <c r="J1141" s="415">
        <v>0</v>
      </c>
      <c r="K1141" s="415">
        <v>145.04</v>
      </c>
      <c r="L1141" s="415">
        <v>595.29</v>
      </c>
      <c r="M1141" s="415">
        <v>714.74</v>
      </c>
      <c r="N1141" s="415">
        <v>1339.76</v>
      </c>
      <c r="O1141" s="415">
        <v>1300.52</v>
      </c>
      <c r="P1141" s="415">
        <v>1286.48</v>
      </c>
      <c r="Q1141" s="481">
        <f t="shared" si="63"/>
        <v>0</v>
      </c>
    </row>
    <row r="1142" spans="1:17" outlineLevel="2" x14ac:dyDescent="0.3">
      <c r="A1142" s="366" t="str">
        <f>IFERROR(VLOOKUP(RIGHT(E1142,3)+0,[1]SchLocTable!$A$2:$B$47,2,FALSE)," ")</f>
        <v>Columbus</v>
      </c>
      <c r="B1142" s="366" t="str">
        <f>VLOOKUP(VALUE(D1142),$D$3:F$106,3,FALSE)</f>
        <v>Bilingual Education</v>
      </c>
      <c r="C1142" t="s">
        <v>314</v>
      </c>
      <c r="D1142">
        <v>810</v>
      </c>
      <c r="E1142" t="s">
        <v>542</v>
      </c>
      <c r="F1142" t="s">
        <v>316</v>
      </c>
      <c r="G1142">
        <v>3</v>
      </c>
      <c r="H1142" s="502">
        <v>51000</v>
      </c>
      <c r="I1142" s="415">
        <v>0</v>
      </c>
      <c r="J1142" s="415">
        <v>268104.13</v>
      </c>
      <c r="K1142" s="415">
        <v>199105.74</v>
      </c>
      <c r="L1142" s="415">
        <v>240377.81</v>
      </c>
      <c r="M1142" s="415">
        <v>275032.07</v>
      </c>
      <c r="N1142" s="415">
        <v>304115.34000000003</v>
      </c>
      <c r="O1142" s="415">
        <v>297977.5</v>
      </c>
      <c r="P1142" s="415">
        <v>211774.29</v>
      </c>
      <c r="Q1142" s="481">
        <f t="shared" si="63"/>
        <v>268104.13</v>
      </c>
    </row>
    <row r="1143" spans="1:17" outlineLevel="2" x14ac:dyDescent="0.3">
      <c r="A1143" s="366" t="str">
        <f>IFERROR(VLOOKUP(RIGHT(E1143,3)+0,[1]SchLocTable!$A$2:$B$47,2,FALSE)," ")</f>
        <v>Columbus</v>
      </c>
      <c r="B1143" s="366" t="str">
        <f>VLOOKUP(VALUE(D1143),$D$3:F$106,3,FALSE)</f>
        <v>Bilingual Education</v>
      </c>
      <c r="C1143" t="s">
        <v>314</v>
      </c>
      <c r="D1143">
        <v>810</v>
      </c>
      <c r="E1143" t="s">
        <v>542</v>
      </c>
      <c r="F1143" t="s">
        <v>321</v>
      </c>
      <c r="G1143" t="s">
        <v>319</v>
      </c>
      <c r="H1143" s="502">
        <v>52917</v>
      </c>
      <c r="I1143" s="415">
        <v>0</v>
      </c>
      <c r="J1143" s="415">
        <v>57370.74</v>
      </c>
      <c r="K1143" s="415">
        <v>52069.5</v>
      </c>
      <c r="L1143" s="415">
        <v>52592.51</v>
      </c>
      <c r="M1143" s="415">
        <v>63590.13</v>
      </c>
      <c r="N1143" s="415">
        <v>96901.05</v>
      </c>
      <c r="O1143" s="415">
        <v>94996.76</v>
      </c>
      <c r="P1143" s="415">
        <v>66151.44</v>
      </c>
      <c r="Q1143" s="481">
        <f t="shared" si="63"/>
        <v>57370.74</v>
      </c>
    </row>
    <row r="1144" spans="1:17" outlineLevel="2" x14ac:dyDescent="0.3">
      <c r="A1144" s="366" t="str">
        <f>IFERROR(VLOOKUP(RIGHT(E1144,3)+0,[1]SchLocTable!$A$2:$B$47,2,FALSE)," ")</f>
        <v>Columbus</v>
      </c>
      <c r="B1144" s="366" t="str">
        <f>VLOOKUP(VALUE(D1144),$D$3:F$106,3,FALSE)</f>
        <v>Bilingual Education</v>
      </c>
      <c r="C1144" t="s">
        <v>314</v>
      </c>
      <c r="D1144">
        <v>810</v>
      </c>
      <c r="E1144" t="s">
        <v>542</v>
      </c>
      <c r="F1144" t="s">
        <v>318</v>
      </c>
      <c r="G1144" t="s">
        <v>319</v>
      </c>
      <c r="H1144" s="502">
        <v>51140</v>
      </c>
      <c r="I1144" s="415">
        <v>0</v>
      </c>
      <c r="J1144" s="415">
        <v>0</v>
      </c>
      <c r="K1144" s="415">
        <v>1100</v>
      </c>
      <c r="L1144" s="415">
        <v>1100</v>
      </c>
      <c r="M1144" s="415">
        <v>1100</v>
      </c>
      <c r="N1144" s="415">
        <v>900</v>
      </c>
      <c r="O1144" s="415">
        <v>900</v>
      </c>
      <c r="P1144" s="415">
        <v>2700</v>
      </c>
      <c r="Q1144" s="481">
        <f t="shared" si="63"/>
        <v>0</v>
      </c>
    </row>
    <row r="1145" spans="1:17" outlineLevel="2" x14ac:dyDescent="0.3">
      <c r="A1145" s="366" t="str">
        <f>IFERROR(VLOOKUP(RIGHT(E1145,3)+0,[1]SchLocTable!$A$2:$B$47,2,FALSE)," ")</f>
        <v>Columbus</v>
      </c>
      <c r="B1145" s="366" t="str">
        <f>VLOOKUP(VALUE(D1145),$D$3:F$106,3,FALSE)</f>
        <v>Bilingual Education</v>
      </c>
      <c r="C1145" t="s">
        <v>314</v>
      </c>
      <c r="D1145">
        <v>810</v>
      </c>
      <c r="E1145" t="s">
        <v>542</v>
      </c>
      <c r="F1145" t="s">
        <v>320</v>
      </c>
      <c r="G1145" t="s">
        <v>319</v>
      </c>
      <c r="H1145" s="502">
        <v>52360</v>
      </c>
      <c r="I1145" s="415">
        <v>0</v>
      </c>
      <c r="J1145" s="415">
        <v>3851.41</v>
      </c>
      <c r="K1145" s="415">
        <v>2661.23</v>
      </c>
      <c r="L1145" s="415">
        <v>3284.71</v>
      </c>
      <c r="M1145" s="415">
        <v>3688.92</v>
      </c>
      <c r="N1145" s="415">
        <v>4043.68</v>
      </c>
      <c r="O1145" s="415">
        <v>3972.47</v>
      </c>
      <c r="P1145" s="415">
        <v>3166.71</v>
      </c>
      <c r="Q1145" s="481">
        <f t="shared" si="63"/>
        <v>3851.41</v>
      </c>
    </row>
    <row r="1146" spans="1:17" outlineLevel="2" x14ac:dyDescent="0.3">
      <c r="A1146" s="366" t="str">
        <f>IFERROR(VLOOKUP(RIGHT(E1146,3)+0,[1]SchLocTable!$A$2:$B$47,2,FALSE)," ")</f>
        <v>Marin</v>
      </c>
      <c r="B1146" s="366" t="str">
        <f>VLOOKUP(VALUE(D1146),$D$3:F$106,3,FALSE)</f>
        <v>Bilingual Education</v>
      </c>
      <c r="C1146" t="s">
        <v>314</v>
      </c>
      <c r="D1146">
        <v>810</v>
      </c>
      <c r="E1146" t="s">
        <v>543</v>
      </c>
      <c r="F1146" t="s">
        <v>316</v>
      </c>
      <c r="G1146">
        <v>7</v>
      </c>
      <c r="H1146" s="502">
        <v>51000</v>
      </c>
      <c r="I1146" s="415">
        <v>147275</v>
      </c>
      <c r="J1146" s="415">
        <v>629425.30000000005</v>
      </c>
      <c r="K1146" s="415">
        <v>635596.12</v>
      </c>
      <c r="L1146" s="415">
        <v>349946.2</v>
      </c>
      <c r="M1146" s="415">
        <v>657257</v>
      </c>
      <c r="N1146" s="415">
        <v>708599.09</v>
      </c>
      <c r="O1146" s="415">
        <v>702977.75</v>
      </c>
      <c r="P1146" s="415">
        <v>682500.9</v>
      </c>
      <c r="Q1146" s="481">
        <f t="shared" si="63"/>
        <v>482150.30000000005</v>
      </c>
    </row>
    <row r="1147" spans="1:17" outlineLevel="2" x14ac:dyDescent="0.3">
      <c r="A1147" s="366" t="str">
        <f>IFERROR(VLOOKUP(RIGHT(E1147,3)+0,[1]SchLocTable!$A$2:$B$47,2,FALSE)," ")</f>
        <v>Marin</v>
      </c>
      <c r="B1147" s="366" t="str">
        <f>VLOOKUP(VALUE(D1147),$D$3:F$106,3,FALSE)</f>
        <v>Bilingual Education</v>
      </c>
      <c r="C1147" t="s">
        <v>314</v>
      </c>
      <c r="D1147">
        <v>810</v>
      </c>
      <c r="E1147" t="s">
        <v>543</v>
      </c>
      <c r="F1147" t="s">
        <v>321</v>
      </c>
      <c r="G1147" t="s">
        <v>319</v>
      </c>
      <c r="H1147" s="502">
        <v>52917</v>
      </c>
      <c r="I1147" s="415">
        <v>89762.135999999999</v>
      </c>
      <c r="J1147" s="415">
        <v>232068.61</v>
      </c>
      <c r="K1147" s="415">
        <v>202832.86</v>
      </c>
      <c r="L1147" s="415">
        <v>166677.24</v>
      </c>
      <c r="M1147" s="415">
        <v>189623.86</v>
      </c>
      <c r="N1147" s="415">
        <v>229574.78</v>
      </c>
      <c r="O1147" s="415">
        <v>216323.13</v>
      </c>
      <c r="P1147" s="415">
        <v>201185.07</v>
      </c>
      <c r="Q1147" s="481">
        <f t="shared" si="63"/>
        <v>142306.47399999999</v>
      </c>
    </row>
    <row r="1148" spans="1:17" outlineLevel="2" x14ac:dyDescent="0.3">
      <c r="A1148" s="366" t="str">
        <f>IFERROR(VLOOKUP(RIGHT(E1148,3)+0,[1]SchLocTable!$A$2:$B$47,2,FALSE)," ")</f>
        <v>Marin</v>
      </c>
      <c r="B1148" s="366" t="str">
        <f>VLOOKUP(VALUE(D1148),$D$3:F$106,3,FALSE)</f>
        <v>Bilingual Education</v>
      </c>
      <c r="C1148" t="s">
        <v>314</v>
      </c>
      <c r="D1148">
        <v>810</v>
      </c>
      <c r="E1148" t="s">
        <v>543</v>
      </c>
      <c r="F1148" t="s">
        <v>318</v>
      </c>
      <c r="G1148" t="s">
        <v>319</v>
      </c>
      <c r="H1148" s="502">
        <v>51140</v>
      </c>
      <c r="I1148" s="415">
        <v>5100</v>
      </c>
      <c r="J1148" s="415">
        <v>0</v>
      </c>
      <c r="K1148" s="415">
        <v>4700</v>
      </c>
      <c r="L1148" s="415">
        <v>4700</v>
      </c>
      <c r="M1148" s="415">
        <v>6400</v>
      </c>
      <c r="N1148" s="415">
        <v>4000</v>
      </c>
      <c r="O1148" s="415">
        <v>5800</v>
      </c>
      <c r="P1148" s="415">
        <v>4800</v>
      </c>
      <c r="Q1148" s="481">
        <f t="shared" si="63"/>
        <v>-5100</v>
      </c>
    </row>
    <row r="1149" spans="1:17" outlineLevel="2" x14ac:dyDescent="0.3">
      <c r="A1149" s="366" t="str">
        <f>IFERROR(VLOOKUP(RIGHT(E1149,3)+0,[1]SchLocTable!$A$2:$B$47,2,FALSE)," ")</f>
        <v>Marin</v>
      </c>
      <c r="B1149" s="366" t="str">
        <f>VLOOKUP(VALUE(D1149),$D$3:F$106,3,FALSE)</f>
        <v>Bilingual Education</v>
      </c>
      <c r="C1149" t="s">
        <v>314</v>
      </c>
      <c r="D1149">
        <v>810</v>
      </c>
      <c r="E1149" t="s">
        <v>543</v>
      </c>
      <c r="F1149" t="s">
        <v>320</v>
      </c>
      <c r="G1149" t="s">
        <v>319</v>
      </c>
      <c r="H1149" s="502">
        <v>52360</v>
      </c>
      <c r="I1149" s="415">
        <v>2135.4875000000002</v>
      </c>
      <c r="J1149" s="415">
        <v>8978.43</v>
      </c>
      <c r="K1149" s="415">
        <v>8524.51</v>
      </c>
      <c r="L1149" s="415">
        <v>6457.12</v>
      </c>
      <c r="M1149" s="415">
        <v>9015.82</v>
      </c>
      <c r="N1149" s="415">
        <v>9426.49</v>
      </c>
      <c r="O1149" s="415">
        <v>9491.48</v>
      </c>
      <c r="P1149" s="415">
        <v>9210.1</v>
      </c>
      <c r="Q1149" s="481">
        <f t="shared" si="63"/>
        <v>6842.9425000000001</v>
      </c>
    </row>
    <row r="1150" spans="1:17" outlineLevel="2" x14ac:dyDescent="0.3">
      <c r="A1150" s="366" t="str">
        <f>IFERROR(VLOOKUP(RIGHT(E1150,3)+0,[1]SchLocTable!$A$2:$B$47,2,FALSE)," ")</f>
        <v>Marin</v>
      </c>
      <c r="B1150" s="366" t="str">
        <f>VLOOKUP(VALUE(D1150),$D$3:F$106,3,FALSE)</f>
        <v>Bilingual Education</v>
      </c>
      <c r="C1150" t="s">
        <v>314</v>
      </c>
      <c r="D1150">
        <v>810</v>
      </c>
      <c r="E1150" t="s">
        <v>543</v>
      </c>
      <c r="F1150" t="s">
        <v>324</v>
      </c>
      <c r="G1150" t="s">
        <v>319</v>
      </c>
      <c r="H1150" s="502">
        <v>52385</v>
      </c>
      <c r="I1150" s="415">
        <v>7301.97</v>
      </c>
      <c r="J1150" s="415">
        <v>2676.27</v>
      </c>
      <c r="K1150" s="415">
        <v>2134.06</v>
      </c>
      <c r="L1150" s="415">
        <v>2374.0300000000002</v>
      </c>
      <c r="M1150" s="415">
        <v>2603.9899999999998</v>
      </c>
      <c r="N1150" s="415">
        <v>2131.29</v>
      </c>
      <c r="O1150" s="415">
        <v>0</v>
      </c>
      <c r="P1150" s="415">
        <v>0</v>
      </c>
      <c r="Q1150" s="481">
        <f t="shared" si="63"/>
        <v>-4625.7000000000007</v>
      </c>
    </row>
    <row r="1151" spans="1:17" outlineLevel="2" x14ac:dyDescent="0.3">
      <c r="A1151" s="366" t="str">
        <f>IFERROR(VLOOKUP(RIGHT(E1151,3)+0,[1]SchLocTable!$A$2:$B$47,2,FALSE)," ")</f>
        <v>Marin</v>
      </c>
      <c r="B1151" s="366" t="str">
        <f>VLOOKUP(VALUE(D1151),$D$3:F$106,3,FALSE)</f>
        <v>Bilingual Education</v>
      </c>
      <c r="C1151" t="s">
        <v>314</v>
      </c>
      <c r="D1151">
        <v>810</v>
      </c>
      <c r="E1151" t="s">
        <v>543</v>
      </c>
      <c r="F1151" t="s">
        <v>329</v>
      </c>
      <c r="G1151" t="s">
        <v>319</v>
      </c>
      <c r="H1151" s="502">
        <v>51154</v>
      </c>
      <c r="I1151" s="415">
        <v>0</v>
      </c>
      <c r="J1151" s="415">
        <v>0</v>
      </c>
      <c r="K1151" s="415">
        <v>0</v>
      </c>
      <c r="L1151" s="415">
        <v>0</v>
      </c>
      <c r="M1151" s="415">
        <v>11375</v>
      </c>
      <c r="N1151" s="415">
        <v>0</v>
      </c>
      <c r="O1151" s="415">
        <v>2600</v>
      </c>
      <c r="P1151" s="415">
        <v>0</v>
      </c>
      <c r="Q1151" s="481">
        <f t="shared" ref="Q1151:Q1214" si="64">J1151-I1151</f>
        <v>0</v>
      </c>
    </row>
    <row r="1152" spans="1:17" outlineLevel="2" x14ac:dyDescent="0.3">
      <c r="A1152" s="366" t="str">
        <f>IFERROR(VLOOKUP(RIGHT(E1152,3)+0,[1]SchLocTable!$A$2:$B$47,2,FALSE)," ")</f>
        <v>Hallen</v>
      </c>
      <c r="B1152" s="366" t="str">
        <f>VLOOKUP(VALUE(D1152),$D$3:F$106,3,FALSE)</f>
        <v>Bilingual Education</v>
      </c>
      <c r="C1152" t="s">
        <v>314</v>
      </c>
      <c r="D1152">
        <v>810</v>
      </c>
      <c r="E1152" t="s">
        <v>544</v>
      </c>
      <c r="F1152" t="s">
        <v>316</v>
      </c>
      <c r="G1152" t="s">
        <v>319</v>
      </c>
      <c r="H1152" s="502">
        <v>51000</v>
      </c>
      <c r="I1152" s="415">
        <v>55214.369079999997</v>
      </c>
      <c r="J1152" s="415">
        <v>0</v>
      </c>
      <c r="K1152" s="415">
        <v>0</v>
      </c>
      <c r="L1152" s="415">
        <v>0</v>
      </c>
      <c r="M1152" s="415">
        <v>0</v>
      </c>
      <c r="N1152" s="415">
        <v>0</v>
      </c>
      <c r="O1152" s="415">
        <v>0</v>
      </c>
      <c r="P1152" s="415">
        <v>0</v>
      </c>
      <c r="Q1152" s="481">
        <f t="shared" si="64"/>
        <v>-55214.369079999997</v>
      </c>
    </row>
    <row r="1153" spans="1:17" outlineLevel="2" x14ac:dyDescent="0.3">
      <c r="A1153" s="366" t="str">
        <f>IFERROR(VLOOKUP(RIGHT(E1153,3)+0,[1]SchLocTable!$A$2:$B$47,2,FALSE)," ")</f>
        <v>Hallen</v>
      </c>
      <c r="B1153" s="366" t="str">
        <f>VLOOKUP(VALUE(D1153),$D$3:F$106,3,FALSE)</f>
        <v>Bilingual Education</v>
      </c>
      <c r="C1153" t="s">
        <v>314</v>
      </c>
      <c r="D1153">
        <v>810</v>
      </c>
      <c r="E1153" t="s">
        <v>544</v>
      </c>
      <c r="F1153" t="s">
        <v>321</v>
      </c>
      <c r="G1153" t="s">
        <v>319</v>
      </c>
      <c r="H1153" s="502">
        <v>52917</v>
      </c>
      <c r="I1153" s="415">
        <v>23165.604000000003</v>
      </c>
      <c r="J1153" s="415">
        <v>0</v>
      </c>
      <c r="K1153" s="415">
        <v>0</v>
      </c>
      <c r="L1153" s="415">
        <v>0</v>
      </c>
      <c r="M1153" s="415">
        <v>0</v>
      </c>
      <c r="N1153" s="415">
        <v>0</v>
      </c>
      <c r="O1153" s="415">
        <v>0</v>
      </c>
      <c r="P1153" s="415">
        <v>0</v>
      </c>
      <c r="Q1153" s="481">
        <f t="shared" si="64"/>
        <v>-23165.604000000003</v>
      </c>
    </row>
    <row r="1154" spans="1:17" outlineLevel="2" x14ac:dyDescent="0.3">
      <c r="A1154" s="366" t="str">
        <f>IFERROR(VLOOKUP(RIGHT(E1154,3)+0,[1]SchLocTable!$A$2:$B$47,2,FALSE)," ")</f>
        <v>Hallen</v>
      </c>
      <c r="B1154" s="366" t="str">
        <f>VLOOKUP(VALUE(D1154),$D$3:F$106,3,FALSE)</f>
        <v>Bilingual Education</v>
      </c>
      <c r="C1154" t="s">
        <v>314</v>
      </c>
      <c r="D1154">
        <v>810</v>
      </c>
      <c r="E1154" t="s">
        <v>544</v>
      </c>
      <c r="F1154" t="s">
        <v>320</v>
      </c>
      <c r="G1154" t="s">
        <v>319</v>
      </c>
      <c r="H1154" s="502">
        <v>52360</v>
      </c>
      <c r="I1154" s="415">
        <v>800.60835166000004</v>
      </c>
      <c r="J1154" s="415">
        <v>0</v>
      </c>
      <c r="K1154" s="415">
        <v>0</v>
      </c>
      <c r="L1154" s="415">
        <v>0</v>
      </c>
      <c r="M1154" s="415">
        <v>0</v>
      </c>
      <c r="N1154" s="415">
        <v>0</v>
      </c>
      <c r="O1154" s="415">
        <v>0</v>
      </c>
      <c r="P1154" s="415">
        <v>0</v>
      </c>
      <c r="Q1154" s="481">
        <f t="shared" si="64"/>
        <v>-800.60835166000004</v>
      </c>
    </row>
    <row r="1155" spans="1:17" outlineLevel="2" x14ac:dyDescent="0.3">
      <c r="A1155" s="366" t="str">
        <f>IFERROR(VLOOKUP(RIGHT(E1155,3)+0,[1]SchLocTable!$A$2:$B$47,2,FALSE)," ")</f>
        <v>Batalla</v>
      </c>
      <c r="B1155" s="366" t="str">
        <f>VLOOKUP(VALUE(D1155),$D$3:F$106,3,FALSE)</f>
        <v>Bilingual Education</v>
      </c>
      <c r="C1155" t="s">
        <v>314</v>
      </c>
      <c r="D1155">
        <v>810</v>
      </c>
      <c r="E1155" t="s">
        <v>545</v>
      </c>
      <c r="F1155" t="s">
        <v>316</v>
      </c>
      <c r="G1155">
        <v>7</v>
      </c>
      <c r="H1155" s="502">
        <v>51000</v>
      </c>
      <c r="I1155" s="415">
        <v>143599.07892</v>
      </c>
      <c r="J1155" s="415">
        <v>708798.16</v>
      </c>
      <c r="K1155" s="415">
        <v>879303.03</v>
      </c>
      <c r="L1155" s="415">
        <v>765380.12</v>
      </c>
      <c r="M1155" s="415">
        <v>888417.67</v>
      </c>
      <c r="N1155" s="415">
        <v>958337.29</v>
      </c>
      <c r="O1155" s="415">
        <v>894885.55</v>
      </c>
      <c r="P1155" s="415">
        <v>1013059.73</v>
      </c>
      <c r="Q1155" s="481">
        <f t="shared" si="64"/>
        <v>565199.08108000003</v>
      </c>
    </row>
    <row r="1156" spans="1:17" outlineLevel="2" x14ac:dyDescent="0.3">
      <c r="A1156" s="366" t="str">
        <f>IFERROR(VLOOKUP(RIGHT(E1156,3)+0,[1]SchLocTable!$A$2:$B$47,2,FALSE)," ")</f>
        <v>Batalla</v>
      </c>
      <c r="B1156" s="366" t="str">
        <f>VLOOKUP(VALUE(D1156),$D$3:F$106,3,FALSE)</f>
        <v>Bilingual Education</v>
      </c>
      <c r="C1156" t="s">
        <v>314</v>
      </c>
      <c r="D1156">
        <v>810</v>
      </c>
      <c r="E1156" t="s">
        <v>545</v>
      </c>
      <c r="F1156" t="s">
        <v>321</v>
      </c>
      <c r="G1156" t="s">
        <v>319</v>
      </c>
      <c r="H1156" s="502">
        <v>52917</v>
      </c>
      <c r="I1156" s="415">
        <v>33152.472000000002</v>
      </c>
      <c r="J1156" s="415">
        <v>179457.58</v>
      </c>
      <c r="K1156" s="415">
        <v>195459.84</v>
      </c>
      <c r="L1156" s="415">
        <v>177090.2</v>
      </c>
      <c r="M1156" s="415">
        <v>264211.14</v>
      </c>
      <c r="N1156" s="415">
        <v>282491.38</v>
      </c>
      <c r="O1156" s="415">
        <v>250592.61</v>
      </c>
      <c r="P1156" s="415">
        <v>283848.75</v>
      </c>
      <c r="Q1156" s="481">
        <f t="shared" si="64"/>
        <v>146305.10799999998</v>
      </c>
    </row>
    <row r="1157" spans="1:17" outlineLevel="2" x14ac:dyDescent="0.3">
      <c r="A1157" s="366" t="str">
        <f>IFERROR(VLOOKUP(RIGHT(E1157,3)+0,[1]SchLocTable!$A$2:$B$47,2,FALSE)," ")</f>
        <v>Batalla</v>
      </c>
      <c r="B1157" s="366" t="str">
        <f>VLOOKUP(VALUE(D1157),$D$3:F$106,3,FALSE)</f>
        <v>Bilingual Education</v>
      </c>
      <c r="C1157" t="s">
        <v>314</v>
      </c>
      <c r="D1157">
        <v>810</v>
      </c>
      <c r="E1157" t="s">
        <v>545</v>
      </c>
      <c r="F1157" t="s">
        <v>318</v>
      </c>
      <c r="G1157" t="s">
        <v>319</v>
      </c>
      <c r="H1157" s="502">
        <v>51140</v>
      </c>
      <c r="I1157" s="415">
        <v>3900</v>
      </c>
      <c r="J1157" s="415">
        <v>0</v>
      </c>
      <c r="K1157" s="415">
        <v>6800</v>
      </c>
      <c r="L1157" s="415">
        <v>3800</v>
      </c>
      <c r="M1157" s="415">
        <v>2900</v>
      </c>
      <c r="N1157" s="415">
        <v>2000</v>
      </c>
      <c r="O1157" s="415">
        <v>4400</v>
      </c>
      <c r="P1157" s="415">
        <v>4200</v>
      </c>
      <c r="Q1157" s="481">
        <f t="shared" si="64"/>
        <v>-3900</v>
      </c>
    </row>
    <row r="1158" spans="1:17" outlineLevel="2" x14ac:dyDescent="0.3">
      <c r="A1158" s="366" t="str">
        <f>IFERROR(VLOOKUP(RIGHT(E1158,3)+0,[1]SchLocTable!$A$2:$B$47,2,FALSE)," ")</f>
        <v>Batalla</v>
      </c>
      <c r="B1158" s="366" t="str">
        <f>VLOOKUP(VALUE(D1158),$D$3:F$106,3,FALSE)</f>
        <v>Bilingual Education</v>
      </c>
      <c r="C1158" t="s">
        <v>314</v>
      </c>
      <c r="D1158">
        <v>810</v>
      </c>
      <c r="E1158" t="s">
        <v>545</v>
      </c>
      <c r="F1158" t="s">
        <v>320</v>
      </c>
      <c r="G1158" t="s">
        <v>319</v>
      </c>
      <c r="H1158" s="502">
        <v>52360</v>
      </c>
      <c r="I1158" s="415">
        <v>2082.1866443399999</v>
      </c>
      <c r="J1158" s="415">
        <v>10162.02</v>
      </c>
      <c r="K1158" s="415">
        <v>11993.17</v>
      </c>
      <c r="L1158" s="415">
        <v>10270.66</v>
      </c>
      <c r="M1158" s="415">
        <v>11912.69</v>
      </c>
      <c r="N1158" s="415">
        <v>12963.62</v>
      </c>
      <c r="O1158" s="415">
        <v>11725.51</v>
      </c>
      <c r="P1158" s="415">
        <v>12397.39</v>
      </c>
      <c r="Q1158" s="481">
        <f t="shared" si="64"/>
        <v>8079.833355660001</v>
      </c>
    </row>
    <row r="1159" spans="1:17" outlineLevel="2" x14ac:dyDescent="0.3">
      <c r="A1159" s="366" t="str">
        <f>IFERROR(VLOOKUP(RIGHT(E1159,3)+0,[1]SchLocTable!$A$2:$B$47,2,FALSE)," ")</f>
        <v>Batalla</v>
      </c>
      <c r="B1159" s="366" t="str">
        <f>VLOOKUP(VALUE(D1159),$D$3:F$106,3,FALSE)</f>
        <v>Bilingual Education</v>
      </c>
      <c r="C1159" t="s">
        <v>314</v>
      </c>
      <c r="D1159">
        <v>810</v>
      </c>
      <c r="E1159" t="s">
        <v>545</v>
      </c>
      <c r="F1159" t="s">
        <v>324</v>
      </c>
      <c r="G1159" t="s">
        <v>319</v>
      </c>
      <c r="H1159" s="502">
        <v>52385</v>
      </c>
      <c r="I1159" s="415">
        <v>0</v>
      </c>
      <c r="J1159" s="415">
        <v>0</v>
      </c>
      <c r="K1159" s="415">
        <v>2356</v>
      </c>
      <c r="L1159" s="415">
        <v>3511.11</v>
      </c>
      <c r="M1159" s="415">
        <v>2432.98</v>
      </c>
      <c r="N1159" s="415">
        <v>2837.7</v>
      </c>
      <c r="O1159" s="415">
        <v>175.47</v>
      </c>
      <c r="P1159" s="415">
        <v>0</v>
      </c>
      <c r="Q1159" s="481">
        <f t="shared" si="64"/>
        <v>0</v>
      </c>
    </row>
    <row r="1160" spans="1:17" outlineLevel="2" x14ac:dyDescent="0.3">
      <c r="A1160" s="366" t="str">
        <f>IFERROR(VLOOKUP(RIGHT(E1160,3)+0,[1]SchLocTable!$A$2:$B$47,2,FALSE)," ")</f>
        <v>Batalla</v>
      </c>
      <c r="B1160" s="366" t="str">
        <f>VLOOKUP(VALUE(D1160),$D$3:F$106,3,FALSE)</f>
        <v>Bilingual Education</v>
      </c>
      <c r="C1160" t="s">
        <v>314</v>
      </c>
      <c r="D1160">
        <v>810</v>
      </c>
      <c r="E1160" t="s">
        <v>545</v>
      </c>
      <c r="F1160" t="s">
        <v>533</v>
      </c>
      <c r="G1160" t="s">
        <v>319</v>
      </c>
      <c r="H1160" s="502">
        <v>52397</v>
      </c>
      <c r="I1160" s="415">
        <v>0</v>
      </c>
      <c r="J1160" s="415">
        <v>0</v>
      </c>
      <c r="K1160" s="415">
        <v>0</v>
      </c>
      <c r="L1160" s="415">
        <v>4550</v>
      </c>
      <c r="M1160" s="415">
        <v>0</v>
      </c>
      <c r="N1160" s="415">
        <v>0</v>
      </c>
      <c r="O1160" s="415">
        <v>0</v>
      </c>
      <c r="P1160" s="415">
        <v>0</v>
      </c>
      <c r="Q1160" s="481">
        <f t="shared" si="64"/>
        <v>0</v>
      </c>
    </row>
    <row r="1161" spans="1:17" outlineLevel="2" x14ac:dyDescent="0.3">
      <c r="A1161" s="366" t="str">
        <f>IFERROR(VLOOKUP(RIGHT(E1161,3)+0,[1]SchLocTable!$A$2:$B$47,2,FALSE)," ")</f>
        <v>Madison</v>
      </c>
      <c r="B1161" s="366" t="str">
        <f>VLOOKUP(VALUE(D1161),$D$3:F$106,3,FALSE)</f>
        <v>Bilingual Education</v>
      </c>
      <c r="C1161" t="s">
        <v>314</v>
      </c>
      <c r="D1161">
        <v>810</v>
      </c>
      <c r="E1161" t="s">
        <v>546</v>
      </c>
      <c r="F1161" t="s">
        <v>316</v>
      </c>
      <c r="G1161">
        <v>2</v>
      </c>
      <c r="H1161" s="502">
        <v>51000</v>
      </c>
      <c r="I1161" s="415">
        <v>0</v>
      </c>
      <c r="J1161" s="415">
        <v>105070</v>
      </c>
      <c r="K1161" s="415">
        <v>102757.98</v>
      </c>
      <c r="L1161" s="415">
        <v>0</v>
      </c>
      <c r="M1161" s="415">
        <v>99011.9</v>
      </c>
      <c r="N1161" s="415">
        <v>97548.99</v>
      </c>
      <c r="O1161" s="415">
        <v>96106.92</v>
      </c>
      <c r="P1161" s="415">
        <v>94593.98</v>
      </c>
      <c r="Q1161" s="481">
        <f t="shared" si="64"/>
        <v>105070</v>
      </c>
    </row>
    <row r="1162" spans="1:17" outlineLevel="2" x14ac:dyDescent="0.3">
      <c r="A1162" s="366" t="str">
        <f>IFERROR(VLOOKUP(RIGHT(E1162,3)+0,[1]SchLocTable!$A$2:$B$47,2,FALSE)," ")</f>
        <v>Madison</v>
      </c>
      <c r="B1162" s="366" t="str">
        <f>VLOOKUP(VALUE(D1162),$D$3:F$106,3,FALSE)</f>
        <v>Bilingual Education</v>
      </c>
      <c r="C1162" t="s">
        <v>314</v>
      </c>
      <c r="D1162">
        <v>810</v>
      </c>
      <c r="E1162" t="s">
        <v>546</v>
      </c>
      <c r="F1162" t="s">
        <v>321</v>
      </c>
      <c r="G1162" t="s">
        <v>319</v>
      </c>
      <c r="H1162" s="502">
        <v>52917</v>
      </c>
      <c r="I1162" s="415">
        <v>0</v>
      </c>
      <c r="J1162" s="415">
        <v>16070</v>
      </c>
      <c r="K1162" s="415">
        <v>11844</v>
      </c>
      <c r="L1162" s="415">
        <v>0</v>
      </c>
      <c r="M1162" s="415">
        <v>10956.75</v>
      </c>
      <c r="N1162" s="415">
        <v>10232.879999999999</v>
      </c>
      <c r="O1162" s="415">
        <v>9817.68</v>
      </c>
      <c r="P1162" s="415">
        <v>22186.29</v>
      </c>
      <c r="Q1162" s="481">
        <f t="shared" si="64"/>
        <v>16070</v>
      </c>
    </row>
    <row r="1163" spans="1:17" outlineLevel="2" x14ac:dyDescent="0.3">
      <c r="A1163" s="366" t="str">
        <f>IFERROR(VLOOKUP(RIGHT(E1163,3)+0,[1]SchLocTable!$A$2:$B$47,2,FALSE)," ")</f>
        <v>Madison</v>
      </c>
      <c r="B1163" s="366" t="str">
        <f>VLOOKUP(VALUE(D1163),$D$3:F$106,3,FALSE)</f>
        <v>Bilingual Education</v>
      </c>
      <c r="C1163" t="s">
        <v>314</v>
      </c>
      <c r="D1163">
        <v>810</v>
      </c>
      <c r="E1163" t="s">
        <v>546</v>
      </c>
      <c r="F1163" t="s">
        <v>318</v>
      </c>
      <c r="G1163" t="s">
        <v>319</v>
      </c>
      <c r="H1163" s="502">
        <v>51140</v>
      </c>
      <c r="I1163" s="415">
        <v>900</v>
      </c>
      <c r="J1163" s="415">
        <v>0</v>
      </c>
      <c r="K1163" s="415">
        <v>2600</v>
      </c>
      <c r="L1163" s="415">
        <v>1300</v>
      </c>
      <c r="M1163" s="415">
        <v>1300</v>
      </c>
      <c r="N1163" s="415">
        <v>1300</v>
      </c>
      <c r="O1163" s="415">
        <v>0</v>
      </c>
      <c r="P1163" s="415">
        <v>2000</v>
      </c>
      <c r="Q1163" s="481">
        <f t="shared" si="64"/>
        <v>-900</v>
      </c>
    </row>
    <row r="1164" spans="1:17" outlineLevel="2" x14ac:dyDescent="0.3">
      <c r="A1164" s="366" t="str">
        <f>IFERROR(VLOOKUP(RIGHT(E1164,3)+0,[1]SchLocTable!$A$2:$B$47,2,FALSE)," ")</f>
        <v>Madison</v>
      </c>
      <c r="B1164" s="366" t="str">
        <f>VLOOKUP(VALUE(D1164),$D$3:F$106,3,FALSE)</f>
        <v>Bilingual Education</v>
      </c>
      <c r="C1164" t="s">
        <v>314</v>
      </c>
      <c r="D1164">
        <v>810</v>
      </c>
      <c r="E1164" t="s">
        <v>546</v>
      </c>
      <c r="F1164" t="s">
        <v>320</v>
      </c>
      <c r="G1164" t="s">
        <v>319</v>
      </c>
      <c r="H1164" s="502">
        <v>52360</v>
      </c>
      <c r="I1164" s="415">
        <v>0</v>
      </c>
      <c r="J1164" s="415">
        <v>1472</v>
      </c>
      <c r="K1164" s="415">
        <v>1642.07</v>
      </c>
      <c r="L1164" s="415">
        <v>0</v>
      </c>
      <c r="M1164" s="415">
        <v>1410.37</v>
      </c>
      <c r="N1164" s="415">
        <v>1393.35</v>
      </c>
      <c r="O1164" s="415">
        <v>1356.26</v>
      </c>
      <c r="P1164" s="415">
        <v>1411.36</v>
      </c>
      <c r="Q1164" s="481">
        <f t="shared" si="64"/>
        <v>1472</v>
      </c>
    </row>
    <row r="1165" spans="1:17" outlineLevel="2" x14ac:dyDescent="0.3">
      <c r="A1165" s="366" t="str">
        <f>IFERROR(VLOOKUP(RIGHT(E1165,3)+0,[1]SchLocTable!$A$2:$B$47,2,FALSE)," ")</f>
        <v>Madison</v>
      </c>
      <c r="B1165" s="366" t="str">
        <f>VLOOKUP(VALUE(D1165),$D$3:F$106,3,FALSE)</f>
        <v>Bilingual Education</v>
      </c>
      <c r="C1165" t="s">
        <v>314</v>
      </c>
      <c r="D1165">
        <v>810</v>
      </c>
      <c r="E1165" t="s">
        <v>546</v>
      </c>
      <c r="F1165" t="s">
        <v>329</v>
      </c>
      <c r="G1165" t="s">
        <v>319</v>
      </c>
      <c r="H1165" s="502">
        <v>51154</v>
      </c>
      <c r="I1165" s="415">
        <v>0</v>
      </c>
      <c r="J1165" s="415">
        <v>0</v>
      </c>
      <c r="K1165" s="415">
        <v>11375</v>
      </c>
      <c r="L1165" s="415">
        <v>0</v>
      </c>
      <c r="M1165" s="415">
        <v>0</v>
      </c>
      <c r="N1165" s="415">
        <v>0</v>
      </c>
      <c r="O1165" s="415">
        <v>0</v>
      </c>
      <c r="P1165" s="415">
        <v>6500</v>
      </c>
      <c r="Q1165" s="481">
        <f t="shared" si="64"/>
        <v>0</v>
      </c>
    </row>
    <row r="1166" spans="1:17" outlineLevel="2" x14ac:dyDescent="0.3">
      <c r="A1166" s="366" t="str">
        <f>IFERROR(VLOOKUP(RIGHT(E1166,3)+0,[1]SchLocTable!$A$2:$B$47,2,FALSE)," ")</f>
        <v>Read</v>
      </c>
      <c r="B1166" s="366" t="str">
        <f>VLOOKUP(VALUE(D1166),$D$3:F$106,3,FALSE)</f>
        <v>Bilingual Education</v>
      </c>
      <c r="C1166" t="s">
        <v>314</v>
      </c>
      <c r="D1166">
        <v>810</v>
      </c>
      <c r="E1166" t="s">
        <v>547</v>
      </c>
      <c r="F1166" t="s">
        <v>316</v>
      </c>
      <c r="G1166">
        <v>1</v>
      </c>
      <c r="H1166" s="502">
        <v>51000</v>
      </c>
      <c r="I1166" s="415">
        <v>0</v>
      </c>
      <c r="J1166" s="415">
        <v>70022</v>
      </c>
      <c r="K1166" s="415">
        <v>66996.02</v>
      </c>
      <c r="L1166" s="415">
        <v>0</v>
      </c>
      <c r="M1166" s="415">
        <v>0</v>
      </c>
      <c r="N1166" s="415">
        <v>0</v>
      </c>
      <c r="O1166" s="415">
        <v>0</v>
      </c>
      <c r="P1166" s="415">
        <v>0</v>
      </c>
      <c r="Q1166" s="481">
        <f t="shared" si="64"/>
        <v>70022</v>
      </c>
    </row>
    <row r="1167" spans="1:17" outlineLevel="2" x14ac:dyDescent="0.3">
      <c r="A1167" s="366" t="str">
        <f>IFERROR(VLOOKUP(RIGHT(E1167,3)+0,[1]SchLocTable!$A$2:$B$47,2,FALSE)," ")</f>
        <v>Read</v>
      </c>
      <c r="B1167" s="366" t="str">
        <f>VLOOKUP(VALUE(D1167),$D$3:F$106,3,FALSE)</f>
        <v>Bilingual Education</v>
      </c>
      <c r="C1167" t="s">
        <v>314</v>
      </c>
      <c r="D1167">
        <v>810</v>
      </c>
      <c r="E1167" t="s">
        <v>547</v>
      </c>
      <c r="F1167" t="s">
        <v>321</v>
      </c>
      <c r="G1167" t="s">
        <v>319</v>
      </c>
      <c r="H1167" s="502">
        <v>52917</v>
      </c>
      <c r="I1167" s="415">
        <v>0</v>
      </c>
      <c r="J1167" s="415">
        <v>0</v>
      </c>
      <c r="K1167" s="415">
        <v>28038.78</v>
      </c>
      <c r="L1167" s="415">
        <v>0</v>
      </c>
      <c r="M1167" s="415">
        <v>0</v>
      </c>
      <c r="N1167" s="415">
        <v>0</v>
      </c>
      <c r="O1167" s="415">
        <v>0</v>
      </c>
      <c r="P1167" s="415">
        <v>0</v>
      </c>
      <c r="Q1167" s="481">
        <f t="shared" si="64"/>
        <v>0</v>
      </c>
    </row>
    <row r="1168" spans="1:17" outlineLevel="2" x14ac:dyDescent="0.3">
      <c r="A1168" s="366" t="str">
        <f>IFERROR(VLOOKUP(RIGHT(E1168,3)+0,[1]SchLocTable!$A$2:$B$47,2,FALSE)," ")</f>
        <v>Read</v>
      </c>
      <c r="B1168" s="366" t="str">
        <f>VLOOKUP(VALUE(D1168),$D$3:F$106,3,FALSE)</f>
        <v>Bilingual Education</v>
      </c>
      <c r="C1168" t="s">
        <v>314</v>
      </c>
      <c r="D1168">
        <v>810</v>
      </c>
      <c r="E1168" t="s">
        <v>547</v>
      </c>
      <c r="F1168" t="s">
        <v>318</v>
      </c>
      <c r="G1168" t="s">
        <v>319</v>
      </c>
      <c r="H1168" s="502">
        <v>51140</v>
      </c>
      <c r="I1168" s="415">
        <v>0</v>
      </c>
      <c r="J1168" s="415">
        <v>0</v>
      </c>
      <c r="K1168" s="415">
        <v>0</v>
      </c>
      <c r="L1168" s="415">
        <v>1300</v>
      </c>
      <c r="M1168" s="415">
        <v>0</v>
      </c>
      <c r="N1168" s="415">
        <v>0</v>
      </c>
      <c r="O1168" s="415">
        <v>0</v>
      </c>
      <c r="P1168" s="415">
        <v>0</v>
      </c>
      <c r="Q1168" s="481">
        <f t="shared" si="64"/>
        <v>0</v>
      </c>
    </row>
    <row r="1169" spans="1:17" outlineLevel="2" x14ac:dyDescent="0.3">
      <c r="A1169" s="366" t="str">
        <f>IFERROR(VLOOKUP(RIGHT(E1169,3)+0,[1]SchLocTable!$A$2:$B$47,2,FALSE)," ")</f>
        <v>Read</v>
      </c>
      <c r="B1169" s="366" t="str">
        <f>VLOOKUP(VALUE(D1169),$D$3:F$106,3,FALSE)</f>
        <v>Bilingual Education</v>
      </c>
      <c r="C1169" t="s">
        <v>314</v>
      </c>
      <c r="D1169">
        <v>810</v>
      </c>
      <c r="E1169" t="s">
        <v>547</v>
      </c>
      <c r="F1169" t="s">
        <v>320</v>
      </c>
      <c r="G1169" t="s">
        <v>319</v>
      </c>
      <c r="H1169" s="502">
        <v>52360</v>
      </c>
      <c r="I1169" s="415">
        <v>0</v>
      </c>
      <c r="J1169" s="415">
        <v>847</v>
      </c>
      <c r="K1169" s="415">
        <v>850.73</v>
      </c>
      <c r="L1169" s="415">
        <v>18.850000000000001</v>
      </c>
      <c r="M1169" s="415">
        <v>0</v>
      </c>
      <c r="N1169" s="415">
        <v>0</v>
      </c>
      <c r="O1169" s="415">
        <v>0</v>
      </c>
      <c r="P1169" s="415">
        <v>0</v>
      </c>
      <c r="Q1169" s="481">
        <f t="shared" si="64"/>
        <v>847</v>
      </c>
    </row>
    <row r="1170" spans="1:17" outlineLevel="2" x14ac:dyDescent="0.3">
      <c r="A1170" s="366" t="str">
        <f>IFERROR(VLOOKUP(RIGHT(E1170,3)+0,[1]SchLocTable!$A$2:$B$47,2,FALSE)," ")</f>
        <v>Roosevelt</v>
      </c>
      <c r="B1170" s="366" t="str">
        <f>VLOOKUP(VALUE(D1170),$D$3:F$106,3,FALSE)</f>
        <v>Bilingual Education</v>
      </c>
      <c r="C1170" t="s">
        <v>314</v>
      </c>
      <c r="D1170">
        <v>810</v>
      </c>
      <c r="E1170" t="s">
        <v>548</v>
      </c>
      <c r="F1170" t="s">
        <v>316</v>
      </c>
      <c r="G1170">
        <v>3</v>
      </c>
      <c r="H1170" s="502">
        <v>51000</v>
      </c>
      <c r="I1170" s="415">
        <v>0</v>
      </c>
      <c r="J1170" s="415">
        <v>299926</v>
      </c>
      <c r="K1170" s="415">
        <v>289453.84000000003</v>
      </c>
      <c r="L1170" s="415">
        <v>309789.64</v>
      </c>
      <c r="M1170" s="415">
        <v>303789.77</v>
      </c>
      <c r="N1170" s="415">
        <v>238774.99</v>
      </c>
      <c r="O1170" s="415">
        <v>260450.32</v>
      </c>
      <c r="P1170" s="415">
        <v>307805</v>
      </c>
      <c r="Q1170" s="481">
        <f t="shared" si="64"/>
        <v>299926</v>
      </c>
    </row>
    <row r="1171" spans="1:17" outlineLevel="2" x14ac:dyDescent="0.3">
      <c r="A1171" s="366" t="str">
        <f>IFERROR(VLOOKUP(RIGHT(E1171,3)+0,[1]SchLocTable!$A$2:$B$47,2,FALSE)," ")</f>
        <v>Roosevelt</v>
      </c>
      <c r="B1171" s="366" t="str">
        <f>VLOOKUP(VALUE(D1171),$D$3:F$106,3,FALSE)</f>
        <v>Bilingual Education</v>
      </c>
      <c r="C1171" t="s">
        <v>314</v>
      </c>
      <c r="D1171">
        <v>810</v>
      </c>
      <c r="E1171" t="s">
        <v>548</v>
      </c>
      <c r="F1171" t="s">
        <v>321</v>
      </c>
      <c r="G1171" t="s">
        <v>319</v>
      </c>
      <c r="H1171" s="502">
        <v>52917</v>
      </c>
      <c r="I1171" s="415">
        <v>0</v>
      </c>
      <c r="J1171" s="415">
        <v>64683.57</v>
      </c>
      <c r="K1171" s="415">
        <v>58763.88</v>
      </c>
      <c r="L1171" s="415">
        <v>57976.59</v>
      </c>
      <c r="M1171" s="415">
        <v>54362.7</v>
      </c>
      <c r="N1171" s="415">
        <v>50774.43</v>
      </c>
      <c r="O1171" s="415">
        <v>59321.57</v>
      </c>
      <c r="P1171" s="415">
        <v>68062.679999999993</v>
      </c>
      <c r="Q1171" s="481">
        <f t="shared" si="64"/>
        <v>64683.57</v>
      </c>
    </row>
    <row r="1172" spans="1:17" outlineLevel="2" x14ac:dyDescent="0.3">
      <c r="A1172" s="366" t="str">
        <f>IFERROR(VLOOKUP(RIGHT(E1172,3)+0,[1]SchLocTable!$A$2:$B$47,2,FALSE)," ")</f>
        <v>Roosevelt</v>
      </c>
      <c r="B1172" s="366" t="str">
        <f>VLOOKUP(VALUE(D1172),$D$3:F$106,3,FALSE)</f>
        <v>Bilingual Education</v>
      </c>
      <c r="C1172" t="s">
        <v>314</v>
      </c>
      <c r="D1172">
        <v>810</v>
      </c>
      <c r="E1172" t="s">
        <v>548</v>
      </c>
      <c r="F1172" t="s">
        <v>318</v>
      </c>
      <c r="G1172" t="s">
        <v>319</v>
      </c>
      <c r="H1172" s="502">
        <v>51140</v>
      </c>
      <c r="I1172" s="415">
        <v>2200</v>
      </c>
      <c r="J1172" s="415">
        <v>0</v>
      </c>
      <c r="K1172" s="415">
        <v>2200</v>
      </c>
      <c r="L1172" s="415">
        <v>2200</v>
      </c>
      <c r="M1172" s="415">
        <v>2200</v>
      </c>
      <c r="N1172" s="415">
        <v>1300</v>
      </c>
      <c r="O1172" s="415">
        <v>1300</v>
      </c>
      <c r="P1172" s="415">
        <v>3500</v>
      </c>
      <c r="Q1172" s="481">
        <f t="shared" si="64"/>
        <v>-2200</v>
      </c>
    </row>
    <row r="1173" spans="1:17" outlineLevel="2" x14ac:dyDescent="0.3">
      <c r="A1173" s="366" t="str">
        <f>IFERROR(VLOOKUP(RIGHT(E1173,3)+0,[1]SchLocTable!$A$2:$B$47,2,FALSE)," ")</f>
        <v>Roosevelt</v>
      </c>
      <c r="B1173" s="366" t="str">
        <f>VLOOKUP(VALUE(D1173),$D$3:F$106,3,FALSE)</f>
        <v>Bilingual Education</v>
      </c>
      <c r="C1173" t="s">
        <v>314</v>
      </c>
      <c r="D1173">
        <v>810</v>
      </c>
      <c r="E1173" t="s">
        <v>548</v>
      </c>
      <c r="F1173" t="s">
        <v>320</v>
      </c>
      <c r="G1173" t="s">
        <v>319</v>
      </c>
      <c r="H1173" s="502">
        <v>52360</v>
      </c>
      <c r="I1173" s="415">
        <v>0</v>
      </c>
      <c r="J1173" s="415">
        <v>2559</v>
      </c>
      <c r="K1173" s="415">
        <v>2519.85</v>
      </c>
      <c r="L1173" s="415">
        <v>2856.09</v>
      </c>
      <c r="M1173" s="415">
        <v>2776.93</v>
      </c>
      <c r="N1173" s="415">
        <v>1889.46</v>
      </c>
      <c r="O1173" s="415">
        <v>2194.9499999999998</v>
      </c>
      <c r="P1173" s="415">
        <v>1533.91</v>
      </c>
      <c r="Q1173" s="481">
        <f t="shared" si="64"/>
        <v>2559</v>
      </c>
    </row>
    <row r="1174" spans="1:17" outlineLevel="2" x14ac:dyDescent="0.3">
      <c r="A1174" s="366" t="str">
        <f>IFERROR(VLOOKUP(RIGHT(E1174,3)+0,[1]SchLocTable!$A$2:$B$47,2,FALSE)," ")</f>
        <v>Waltersville</v>
      </c>
      <c r="B1174" s="366" t="str">
        <f>VLOOKUP(VALUE(D1174),$D$3:F$106,3,FALSE)</f>
        <v>Bilingual Education</v>
      </c>
      <c r="C1174" t="s">
        <v>314</v>
      </c>
      <c r="D1174">
        <v>810</v>
      </c>
      <c r="E1174" t="s">
        <v>549</v>
      </c>
      <c r="F1174" t="s">
        <v>316</v>
      </c>
      <c r="G1174" t="s">
        <v>319</v>
      </c>
      <c r="H1174" s="502">
        <v>51000</v>
      </c>
      <c r="I1174" s="415">
        <v>80000</v>
      </c>
      <c r="J1174" s="415">
        <v>105070</v>
      </c>
      <c r="K1174" s="415">
        <v>102757.98</v>
      </c>
      <c r="L1174" s="415">
        <v>0</v>
      </c>
      <c r="M1174" s="415">
        <v>9901.1</v>
      </c>
      <c r="N1174" s="415">
        <v>97548.88</v>
      </c>
      <c r="O1174" s="415">
        <v>96106.92</v>
      </c>
      <c r="P1174" s="415">
        <v>94593.98</v>
      </c>
      <c r="Q1174" s="481">
        <f t="shared" si="64"/>
        <v>25070</v>
      </c>
    </row>
    <row r="1175" spans="1:17" outlineLevel="2" x14ac:dyDescent="0.3">
      <c r="A1175" s="366" t="str">
        <f>IFERROR(VLOOKUP(RIGHT(E1175,3)+0,[1]SchLocTable!$A$2:$B$47,2,FALSE)," ")</f>
        <v>Waltersville</v>
      </c>
      <c r="B1175" s="366" t="str">
        <f>VLOOKUP(VALUE(D1175),$D$3:F$106,3,FALSE)</f>
        <v>Bilingual Education</v>
      </c>
      <c r="C1175" t="s">
        <v>314</v>
      </c>
      <c r="D1175">
        <v>810</v>
      </c>
      <c r="E1175" t="s">
        <v>549</v>
      </c>
      <c r="F1175" t="s">
        <v>321</v>
      </c>
      <c r="G1175" t="s">
        <v>319</v>
      </c>
      <c r="H1175" s="502">
        <v>52917</v>
      </c>
      <c r="I1175" s="415">
        <v>32400</v>
      </c>
      <c r="J1175" s="415">
        <v>13893.39</v>
      </c>
      <c r="K1175" s="415">
        <v>12722.64</v>
      </c>
      <c r="L1175" s="415">
        <v>0</v>
      </c>
      <c r="M1175" s="415">
        <v>1181.29</v>
      </c>
      <c r="N1175" s="415">
        <v>11192.37</v>
      </c>
      <c r="O1175" s="415">
        <v>10241.67</v>
      </c>
      <c r="P1175" s="415">
        <v>9693.6</v>
      </c>
      <c r="Q1175" s="481">
        <f t="shared" si="64"/>
        <v>-18506.61</v>
      </c>
    </row>
    <row r="1176" spans="1:17" outlineLevel="2" x14ac:dyDescent="0.3">
      <c r="A1176" s="366" t="str">
        <f>IFERROR(VLOOKUP(RIGHT(E1176,3)+0,[1]SchLocTable!$A$2:$B$47,2,FALSE)," ")</f>
        <v>Waltersville</v>
      </c>
      <c r="B1176" s="366" t="str">
        <f>VLOOKUP(VALUE(D1176),$D$3:F$106,3,FALSE)</f>
        <v>Bilingual Education</v>
      </c>
      <c r="C1176" t="s">
        <v>314</v>
      </c>
      <c r="D1176">
        <v>810</v>
      </c>
      <c r="E1176" t="s">
        <v>549</v>
      </c>
      <c r="F1176" t="s">
        <v>318</v>
      </c>
      <c r="G1176" t="s">
        <v>319</v>
      </c>
      <c r="H1176" s="502">
        <v>51140</v>
      </c>
      <c r="I1176" s="415">
        <v>1100</v>
      </c>
      <c r="J1176" s="415">
        <v>0</v>
      </c>
      <c r="K1176" s="415">
        <v>1100</v>
      </c>
      <c r="L1176" s="415">
        <v>1100</v>
      </c>
      <c r="M1176" s="415">
        <v>1100</v>
      </c>
      <c r="N1176" s="415">
        <v>900</v>
      </c>
      <c r="O1176" s="415">
        <v>900</v>
      </c>
      <c r="P1176" s="415">
        <v>900</v>
      </c>
      <c r="Q1176" s="481">
        <f t="shared" si="64"/>
        <v>-1100</v>
      </c>
    </row>
    <row r="1177" spans="1:17" outlineLevel="2" x14ac:dyDescent="0.3">
      <c r="A1177" s="366" t="str">
        <f>IFERROR(VLOOKUP(RIGHT(E1177,3)+0,[1]SchLocTable!$A$2:$B$47,2,FALSE)," ")</f>
        <v>Waltersville</v>
      </c>
      <c r="B1177" s="366" t="str">
        <f>VLOOKUP(VALUE(D1177),$D$3:F$106,3,FALSE)</f>
        <v>Bilingual Education</v>
      </c>
      <c r="C1177" t="s">
        <v>314</v>
      </c>
      <c r="D1177">
        <v>810</v>
      </c>
      <c r="E1177" t="s">
        <v>549</v>
      </c>
      <c r="F1177" t="s">
        <v>320</v>
      </c>
      <c r="G1177" t="s">
        <v>319</v>
      </c>
      <c r="H1177" s="502">
        <v>52360</v>
      </c>
      <c r="I1177" s="415">
        <v>1160</v>
      </c>
      <c r="J1177" s="415">
        <v>1466</v>
      </c>
      <c r="K1177" s="415">
        <v>1453.03</v>
      </c>
      <c r="L1177" s="415">
        <v>0</v>
      </c>
      <c r="M1177" s="415">
        <v>113.18</v>
      </c>
      <c r="N1177" s="415">
        <v>1385.09</v>
      </c>
      <c r="O1177" s="415">
        <v>1368.23</v>
      </c>
      <c r="P1177" s="415">
        <v>1349.31</v>
      </c>
      <c r="Q1177" s="481">
        <f t="shared" si="64"/>
        <v>306</v>
      </c>
    </row>
    <row r="1178" spans="1:17" outlineLevel="2" x14ac:dyDescent="0.3">
      <c r="A1178" s="366" t="str">
        <f>IFERROR(VLOOKUP(RIGHT(E1178,3)+0,[1]SchLocTable!$A$2:$B$47,2,FALSE)," ")</f>
        <v>Claytor</v>
      </c>
      <c r="B1178" s="366" t="str">
        <f>VLOOKUP(VALUE(D1178),$D$3:F$106,3,FALSE)</f>
        <v>Bilingual Education</v>
      </c>
      <c r="C1178" t="s">
        <v>314</v>
      </c>
      <c r="D1178">
        <v>810</v>
      </c>
      <c r="E1178" t="s">
        <v>550</v>
      </c>
      <c r="F1178" t="s">
        <v>316</v>
      </c>
      <c r="G1178" t="s">
        <v>319</v>
      </c>
      <c r="H1178" s="502">
        <v>51000</v>
      </c>
      <c r="I1178" s="415">
        <v>0</v>
      </c>
      <c r="J1178" s="415">
        <v>0</v>
      </c>
      <c r="K1178" s="415">
        <v>0</v>
      </c>
      <c r="L1178" s="415">
        <v>63338.94</v>
      </c>
      <c r="M1178" s="415">
        <v>22666.51</v>
      </c>
      <c r="N1178" s="415">
        <v>88564.06</v>
      </c>
      <c r="O1178" s="415">
        <v>87254.96</v>
      </c>
      <c r="P1178" s="415">
        <v>85881.12</v>
      </c>
      <c r="Q1178" s="481">
        <f t="shared" si="64"/>
        <v>0</v>
      </c>
    </row>
    <row r="1179" spans="1:17" outlineLevel="2" x14ac:dyDescent="0.3">
      <c r="A1179" s="366" t="str">
        <f>IFERROR(VLOOKUP(RIGHT(E1179,3)+0,[1]SchLocTable!$A$2:$B$47,2,FALSE)," ")</f>
        <v>Claytor</v>
      </c>
      <c r="B1179" s="366" t="str">
        <f>VLOOKUP(VALUE(D1179),$D$3:F$106,3,FALSE)</f>
        <v>Bilingual Education</v>
      </c>
      <c r="C1179" t="s">
        <v>314</v>
      </c>
      <c r="D1179">
        <v>810</v>
      </c>
      <c r="E1179" t="s">
        <v>550</v>
      </c>
      <c r="F1179" t="s">
        <v>321</v>
      </c>
      <c r="G1179" t="s">
        <v>319</v>
      </c>
      <c r="H1179" s="502">
        <v>52917</v>
      </c>
      <c r="I1179" s="415">
        <v>0</v>
      </c>
      <c r="J1179" s="415">
        <v>0</v>
      </c>
      <c r="K1179" s="415">
        <v>0</v>
      </c>
      <c r="L1179" s="415">
        <v>34606.949999999997</v>
      </c>
      <c r="M1179" s="415">
        <v>3807.05</v>
      </c>
      <c r="N1179" s="415">
        <v>10232.879999999999</v>
      </c>
      <c r="O1179" s="415">
        <v>9817.68</v>
      </c>
      <c r="P1179" s="415">
        <v>9245.67</v>
      </c>
      <c r="Q1179" s="481">
        <f t="shared" si="64"/>
        <v>0</v>
      </c>
    </row>
    <row r="1180" spans="1:17" outlineLevel="2" x14ac:dyDescent="0.3">
      <c r="A1180" s="366" t="str">
        <f>IFERROR(VLOOKUP(RIGHT(E1180,3)+0,[1]SchLocTable!$A$2:$B$47,2,FALSE)," ")</f>
        <v>Claytor</v>
      </c>
      <c r="B1180" s="366" t="str">
        <f>VLOOKUP(VALUE(D1180),$D$3:F$106,3,FALSE)</f>
        <v>Bilingual Education</v>
      </c>
      <c r="C1180" t="s">
        <v>314</v>
      </c>
      <c r="D1180">
        <v>810</v>
      </c>
      <c r="E1180" t="s">
        <v>550</v>
      </c>
      <c r="F1180" t="s">
        <v>320</v>
      </c>
      <c r="G1180" t="s">
        <v>319</v>
      </c>
      <c r="H1180" s="502">
        <v>52360</v>
      </c>
      <c r="I1180" s="415">
        <v>0</v>
      </c>
      <c r="J1180" s="415">
        <v>0</v>
      </c>
      <c r="K1180" s="415">
        <v>0</v>
      </c>
      <c r="L1180" s="415">
        <v>775.11</v>
      </c>
      <c r="M1180" s="415">
        <v>243.45</v>
      </c>
      <c r="N1180" s="415">
        <v>1257.26</v>
      </c>
      <c r="O1180" s="415">
        <v>1227.9100000000001</v>
      </c>
      <c r="P1180" s="415">
        <v>1210.6500000000001</v>
      </c>
      <c r="Q1180" s="481">
        <f t="shared" si="64"/>
        <v>0</v>
      </c>
    </row>
    <row r="1181" spans="1:17" outlineLevel="2" x14ac:dyDescent="0.3">
      <c r="A1181" s="366" t="str">
        <f>IFERROR(VLOOKUP(RIGHT(E1181,3)+0,[1]SchLocTable!$A$2:$B$47,2,FALSE)," ")</f>
        <v>Johnson</v>
      </c>
      <c r="B1181" s="366" t="str">
        <f>VLOOKUP(VALUE(D1181),$D$3:F$106,3,FALSE)</f>
        <v>Bilingual Education</v>
      </c>
      <c r="C1181" t="s">
        <v>314</v>
      </c>
      <c r="D1181">
        <v>810</v>
      </c>
      <c r="E1181" t="s">
        <v>551</v>
      </c>
      <c r="F1181" t="s">
        <v>316</v>
      </c>
      <c r="G1181">
        <v>2</v>
      </c>
      <c r="H1181" s="502">
        <v>51000</v>
      </c>
      <c r="I1181" s="415">
        <v>0</v>
      </c>
      <c r="J1181" s="415">
        <v>357102</v>
      </c>
      <c r="K1181" s="415">
        <v>343832.04</v>
      </c>
      <c r="L1181" s="415">
        <v>260277.91</v>
      </c>
      <c r="M1181" s="415">
        <v>299380.28999999998</v>
      </c>
      <c r="N1181" s="415">
        <v>342296.74</v>
      </c>
      <c r="O1181" s="415">
        <v>238379.39</v>
      </c>
      <c r="P1181" s="415">
        <v>387771.36</v>
      </c>
      <c r="Q1181" s="481">
        <f t="shared" si="64"/>
        <v>357102</v>
      </c>
    </row>
    <row r="1182" spans="1:17" outlineLevel="2" x14ac:dyDescent="0.3">
      <c r="A1182" s="366" t="str">
        <f>IFERROR(VLOOKUP(RIGHT(E1182,3)+0,[1]SchLocTable!$A$2:$B$47,2,FALSE)," ")</f>
        <v>Johnson</v>
      </c>
      <c r="B1182" s="366" t="str">
        <f>VLOOKUP(VALUE(D1182),$D$3:F$106,3,FALSE)</f>
        <v>Bilingual Education</v>
      </c>
      <c r="C1182" t="s">
        <v>314</v>
      </c>
      <c r="D1182">
        <v>810</v>
      </c>
      <c r="E1182" t="s">
        <v>551</v>
      </c>
      <c r="F1182" t="s">
        <v>321</v>
      </c>
      <c r="G1182" t="s">
        <v>319</v>
      </c>
      <c r="H1182" s="502">
        <v>52917</v>
      </c>
      <c r="I1182" s="415">
        <v>0</v>
      </c>
      <c r="J1182" s="415">
        <v>128864.61</v>
      </c>
      <c r="K1182" s="415">
        <v>115753.68</v>
      </c>
      <c r="L1182" s="415">
        <v>89347.29</v>
      </c>
      <c r="M1182" s="415">
        <v>107019.99</v>
      </c>
      <c r="N1182" s="415">
        <v>120062.6</v>
      </c>
      <c r="O1182" s="415">
        <v>78465.69</v>
      </c>
      <c r="P1182" s="415">
        <v>136028.97</v>
      </c>
      <c r="Q1182" s="481">
        <f t="shared" si="64"/>
        <v>128864.61</v>
      </c>
    </row>
    <row r="1183" spans="1:17" outlineLevel="2" x14ac:dyDescent="0.3">
      <c r="A1183" s="366" t="str">
        <f>IFERROR(VLOOKUP(RIGHT(E1183,3)+0,[1]SchLocTable!$A$2:$B$47,2,FALSE)," ")</f>
        <v>Johnson</v>
      </c>
      <c r="B1183" s="366" t="str">
        <f>VLOOKUP(VALUE(D1183),$D$3:F$106,3,FALSE)</f>
        <v>Bilingual Education</v>
      </c>
      <c r="C1183" t="s">
        <v>314</v>
      </c>
      <c r="D1183">
        <v>810</v>
      </c>
      <c r="E1183" t="s">
        <v>551</v>
      </c>
      <c r="F1183" t="s">
        <v>318</v>
      </c>
      <c r="G1183" t="s">
        <v>319</v>
      </c>
      <c r="H1183" s="502">
        <v>51140</v>
      </c>
      <c r="I1183" s="415">
        <v>0</v>
      </c>
      <c r="J1183" s="415">
        <v>0</v>
      </c>
      <c r="K1183" s="415">
        <v>900</v>
      </c>
      <c r="L1183" s="415">
        <v>900</v>
      </c>
      <c r="M1183" s="415">
        <v>900</v>
      </c>
      <c r="N1183" s="415">
        <v>900</v>
      </c>
      <c r="O1183" s="415">
        <v>900</v>
      </c>
      <c r="P1183" s="415">
        <v>900</v>
      </c>
      <c r="Q1183" s="481">
        <f t="shared" si="64"/>
        <v>0</v>
      </c>
    </row>
    <row r="1184" spans="1:17" outlineLevel="2" x14ac:dyDescent="0.3">
      <c r="A1184" s="366" t="str">
        <f>IFERROR(VLOOKUP(RIGHT(E1184,3)+0,[1]SchLocTable!$A$2:$B$47,2,FALSE)," ")</f>
        <v>Johnson</v>
      </c>
      <c r="B1184" s="366" t="str">
        <f>VLOOKUP(VALUE(D1184),$D$3:F$106,3,FALSE)</f>
        <v>Bilingual Education</v>
      </c>
      <c r="C1184" t="s">
        <v>314</v>
      </c>
      <c r="D1184">
        <v>810</v>
      </c>
      <c r="E1184" t="s">
        <v>551</v>
      </c>
      <c r="F1184" t="s">
        <v>320</v>
      </c>
      <c r="G1184" t="s">
        <v>319</v>
      </c>
      <c r="H1184" s="502">
        <v>52360</v>
      </c>
      <c r="I1184" s="415">
        <v>0</v>
      </c>
      <c r="J1184" s="415">
        <v>4550</v>
      </c>
      <c r="K1184" s="415">
        <v>4502.43</v>
      </c>
      <c r="L1184" s="415">
        <v>3312.39</v>
      </c>
      <c r="M1184" s="415">
        <v>3920.93</v>
      </c>
      <c r="N1184" s="415">
        <v>4505.84</v>
      </c>
      <c r="O1184" s="415">
        <v>3171.47</v>
      </c>
      <c r="P1184" s="415">
        <v>5124.5</v>
      </c>
      <c r="Q1184" s="481">
        <f t="shared" si="64"/>
        <v>4550</v>
      </c>
    </row>
    <row r="1185" spans="1:17" outlineLevel="2" x14ac:dyDescent="0.3">
      <c r="A1185" s="366" t="str">
        <f>IFERROR(VLOOKUP(RIGHT(E1185,3)+0,[1]SchLocTable!$A$2:$B$47,2,FALSE)," ")</f>
        <v>Winthrop</v>
      </c>
      <c r="B1185" s="366" t="str">
        <f>VLOOKUP(VALUE(D1185),$D$3:F$106,3,FALSE)</f>
        <v>Bilingual Education</v>
      </c>
      <c r="C1185" t="s">
        <v>314</v>
      </c>
      <c r="D1185">
        <v>810</v>
      </c>
      <c r="E1185" t="s">
        <v>552</v>
      </c>
      <c r="F1185" t="s">
        <v>316</v>
      </c>
      <c r="G1185">
        <v>1</v>
      </c>
      <c r="H1185" s="502">
        <v>51000</v>
      </c>
      <c r="I1185" s="415">
        <v>0</v>
      </c>
      <c r="J1185" s="415">
        <v>75900</v>
      </c>
      <c r="K1185" s="415">
        <v>70021.899999999994</v>
      </c>
      <c r="L1185" s="415">
        <v>0</v>
      </c>
      <c r="M1185" s="415">
        <v>116010.72</v>
      </c>
      <c r="N1185" s="415">
        <v>60018.46</v>
      </c>
      <c r="O1185" s="415">
        <v>57346.12</v>
      </c>
      <c r="P1185" s="415">
        <v>56442.879999999997</v>
      </c>
      <c r="Q1185" s="481">
        <f t="shared" si="64"/>
        <v>75900</v>
      </c>
    </row>
    <row r="1186" spans="1:17" outlineLevel="2" x14ac:dyDescent="0.3">
      <c r="A1186" s="366" t="str">
        <f>IFERROR(VLOOKUP(RIGHT(E1186,3)+0,[1]SchLocTable!$A$2:$B$47,2,FALSE)," ")</f>
        <v>Winthrop</v>
      </c>
      <c r="B1186" s="366" t="str">
        <f>VLOOKUP(VALUE(D1186),$D$3:F$106,3,FALSE)</f>
        <v>Bilingual Education</v>
      </c>
      <c r="C1186" t="s">
        <v>314</v>
      </c>
      <c r="D1186">
        <v>810</v>
      </c>
      <c r="E1186" t="s">
        <v>552</v>
      </c>
      <c r="F1186" t="s">
        <v>321</v>
      </c>
      <c r="G1186" t="s">
        <v>319</v>
      </c>
      <c r="H1186" s="502">
        <v>52917</v>
      </c>
      <c r="I1186" s="415">
        <v>0</v>
      </c>
      <c r="J1186" s="415">
        <v>31370.22</v>
      </c>
      <c r="K1186" s="415">
        <v>28478.1</v>
      </c>
      <c r="L1186" s="415">
        <v>0</v>
      </c>
      <c r="M1186" s="415">
        <v>45146.52</v>
      </c>
      <c r="N1186" s="415">
        <v>24562.23</v>
      </c>
      <c r="O1186" s="415">
        <v>23581.07</v>
      </c>
      <c r="P1186" s="415">
        <v>22186.29</v>
      </c>
      <c r="Q1186" s="481">
        <f t="shared" si="64"/>
        <v>31370.22</v>
      </c>
    </row>
    <row r="1187" spans="1:17" outlineLevel="2" x14ac:dyDescent="0.3">
      <c r="A1187" s="366" t="str">
        <f>IFERROR(VLOOKUP(RIGHT(E1187,3)+0,[1]SchLocTable!$A$2:$B$47,2,FALSE)," ")</f>
        <v>Winthrop</v>
      </c>
      <c r="B1187" s="366" t="str">
        <f>VLOOKUP(VALUE(D1187),$D$3:F$106,3,FALSE)</f>
        <v>Bilingual Education</v>
      </c>
      <c r="C1187" t="s">
        <v>314</v>
      </c>
      <c r="D1187">
        <v>810</v>
      </c>
      <c r="E1187" t="s">
        <v>552</v>
      </c>
      <c r="F1187" t="s">
        <v>320</v>
      </c>
      <c r="G1187" t="s">
        <v>319</v>
      </c>
      <c r="H1187" s="502">
        <v>52360</v>
      </c>
      <c r="I1187" s="415">
        <v>0</v>
      </c>
      <c r="J1187" s="415">
        <v>930</v>
      </c>
      <c r="K1187" s="415">
        <v>893.45</v>
      </c>
      <c r="L1187" s="415">
        <v>0</v>
      </c>
      <c r="M1187" s="415">
        <v>1495.41</v>
      </c>
      <c r="N1187" s="415">
        <v>774.08</v>
      </c>
      <c r="O1187" s="415">
        <v>741.73</v>
      </c>
      <c r="P1187" s="415">
        <v>734.93</v>
      </c>
      <c r="Q1187" s="481">
        <f t="shared" si="64"/>
        <v>930</v>
      </c>
    </row>
    <row r="1188" spans="1:17" outlineLevel="2" x14ac:dyDescent="0.3">
      <c r="A1188" s="366" t="str">
        <f>IFERROR(VLOOKUP(RIGHT(E1188,3)+0,[1]SchLocTable!$A$2:$B$47,2,FALSE)," ")</f>
        <v>Blackham</v>
      </c>
      <c r="B1188" s="366" t="str">
        <f>VLOOKUP(VALUE(D1188),$D$3:F$106,3,FALSE)</f>
        <v>Bilingual Education</v>
      </c>
      <c r="C1188" t="s">
        <v>314</v>
      </c>
      <c r="D1188">
        <v>810</v>
      </c>
      <c r="E1188" t="s">
        <v>553</v>
      </c>
      <c r="F1188" t="s">
        <v>316</v>
      </c>
      <c r="G1188">
        <v>3</v>
      </c>
      <c r="H1188" s="502">
        <v>51000</v>
      </c>
      <c r="I1188" s="415">
        <v>0</v>
      </c>
      <c r="J1188" s="415">
        <v>315210</v>
      </c>
      <c r="K1188" s="415">
        <v>308273.96000000002</v>
      </c>
      <c r="L1188" s="415">
        <v>301491.06</v>
      </c>
      <c r="M1188" s="415">
        <v>202136</v>
      </c>
      <c r="N1188" s="415">
        <v>283994.88</v>
      </c>
      <c r="O1188" s="415">
        <v>270554.32</v>
      </c>
      <c r="P1188" s="415">
        <v>254440.16</v>
      </c>
      <c r="Q1188" s="481">
        <f t="shared" si="64"/>
        <v>315210</v>
      </c>
    </row>
    <row r="1189" spans="1:17" outlineLevel="2" x14ac:dyDescent="0.3">
      <c r="A1189" s="366" t="str">
        <f>IFERROR(VLOOKUP(RIGHT(E1189,3)+0,[1]SchLocTable!$A$2:$B$47,2,FALSE)," ")</f>
        <v>Blackham</v>
      </c>
      <c r="B1189" s="366" t="str">
        <f>VLOOKUP(VALUE(D1189),$D$3:F$106,3,FALSE)</f>
        <v>Bilingual Education</v>
      </c>
      <c r="C1189" t="s">
        <v>314</v>
      </c>
      <c r="D1189">
        <v>810</v>
      </c>
      <c r="E1189" t="s">
        <v>553</v>
      </c>
      <c r="F1189" t="s">
        <v>321</v>
      </c>
      <c r="G1189" t="s">
        <v>319</v>
      </c>
      <c r="H1189" s="502">
        <v>52917</v>
      </c>
      <c r="I1189" s="415">
        <v>0</v>
      </c>
      <c r="J1189" s="415">
        <v>115827.39</v>
      </c>
      <c r="K1189" s="415">
        <v>105227.64</v>
      </c>
      <c r="L1189" s="415">
        <v>103820.85</v>
      </c>
      <c r="M1189" s="415">
        <v>68143.320000000007</v>
      </c>
      <c r="N1189" s="415">
        <v>90926.01</v>
      </c>
      <c r="O1189" s="415">
        <v>85992.47</v>
      </c>
      <c r="P1189" s="415">
        <v>56114.52</v>
      </c>
      <c r="Q1189" s="481">
        <f t="shared" si="64"/>
        <v>115827.39</v>
      </c>
    </row>
    <row r="1190" spans="1:17" outlineLevel="2" x14ac:dyDescent="0.3">
      <c r="A1190" s="366" t="str">
        <f>IFERROR(VLOOKUP(RIGHT(E1190,3)+0,[1]SchLocTable!$A$2:$B$47,2,FALSE)," ")</f>
        <v>Blackham</v>
      </c>
      <c r="B1190" s="366" t="str">
        <f>VLOOKUP(VALUE(D1190),$D$3:F$106,3,FALSE)</f>
        <v>Bilingual Education</v>
      </c>
      <c r="C1190" t="s">
        <v>314</v>
      </c>
      <c r="D1190">
        <v>810</v>
      </c>
      <c r="E1190" t="s">
        <v>553</v>
      </c>
      <c r="F1190" t="s">
        <v>318</v>
      </c>
      <c r="G1190" t="s">
        <v>319</v>
      </c>
      <c r="H1190" s="502">
        <v>51140</v>
      </c>
      <c r="I1190" s="415">
        <v>3400</v>
      </c>
      <c r="J1190" s="415">
        <v>0</v>
      </c>
      <c r="K1190" s="415">
        <v>3400</v>
      </c>
      <c r="L1190" s="415">
        <v>3200</v>
      </c>
      <c r="M1190" s="415">
        <v>3200</v>
      </c>
      <c r="N1190" s="415">
        <v>3100</v>
      </c>
      <c r="O1190" s="415">
        <v>2900</v>
      </c>
      <c r="P1190" s="415">
        <v>2900</v>
      </c>
      <c r="Q1190" s="481">
        <f t="shared" si="64"/>
        <v>-3400</v>
      </c>
    </row>
    <row r="1191" spans="1:17" outlineLevel="2" x14ac:dyDescent="0.3">
      <c r="A1191" s="366" t="str">
        <f>IFERROR(VLOOKUP(RIGHT(E1191,3)+0,[1]SchLocTable!$A$2:$B$47,2,FALSE)," ")</f>
        <v>Blackham</v>
      </c>
      <c r="B1191" s="366" t="str">
        <f>VLOOKUP(VALUE(D1191),$D$3:F$106,3,FALSE)</f>
        <v>Bilingual Education</v>
      </c>
      <c r="C1191" t="s">
        <v>314</v>
      </c>
      <c r="D1191">
        <v>810</v>
      </c>
      <c r="E1191" t="s">
        <v>553</v>
      </c>
      <c r="F1191" t="s">
        <v>320</v>
      </c>
      <c r="G1191" t="s">
        <v>319</v>
      </c>
      <c r="H1191" s="502">
        <v>52360</v>
      </c>
      <c r="I1191" s="415">
        <v>0</v>
      </c>
      <c r="J1191" s="415">
        <v>3992</v>
      </c>
      <c r="K1191" s="415">
        <v>4070.11</v>
      </c>
      <c r="L1191" s="415">
        <v>3988.1</v>
      </c>
      <c r="M1191" s="415">
        <v>2585.15</v>
      </c>
      <c r="N1191" s="415">
        <v>3807.89</v>
      </c>
      <c r="O1191" s="415">
        <v>3638.59</v>
      </c>
      <c r="P1191" s="415">
        <v>3524.21</v>
      </c>
      <c r="Q1191" s="481">
        <f t="shared" si="64"/>
        <v>3992</v>
      </c>
    </row>
    <row r="1192" spans="1:17" outlineLevel="2" x14ac:dyDescent="0.3">
      <c r="A1192" s="366" t="str">
        <f>IFERROR(VLOOKUP(RIGHT(E1192,3)+0,[1]SchLocTable!$A$2:$B$47,2,FALSE)," ")</f>
        <v>Curiale</v>
      </c>
      <c r="B1192" s="366" t="str">
        <f>VLOOKUP(VALUE(D1192),$D$3:F$106,3,FALSE)</f>
        <v>Bilingual Education</v>
      </c>
      <c r="C1192" t="s">
        <v>314</v>
      </c>
      <c r="D1192">
        <v>810</v>
      </c>
      <c r="E1192" t="s">
        <v>554</v>
      </c>
      <c r="F1192" t="s">
        <v>316</v>
      </c>
      <c r="G1192">
        <v>1</v>
      </c>
      <c r="H1192" s="502">
        <v>51000</v>
      </c>
      <c r="I1192" s="415">
        <v>0</v>
      </c>
      <c r="J1192" s="415">
        <v>105070</v>
      </c>
      <c r="K1192" s="415">
        <v>213015.98</v>
      </c>
      <c r="L1192" s="415">
        <v>0</v>
      </c>
      <c r="M1192" s="415">
        <v>46093.97</v>
      </c>
      <c r="N1192" s="415">
        <v>97548.99</v>
      </c>
      <c r="O1192" s="415">
        <v>96106.92</v>
      </c>
      <c r="P1192" s="415">
        <v>94594.08</v>
      </c>
      <c r="Q1192" s="481">
        <f t="shared" si="64"/>
        <v>105070</v>
      </c>
    </row>
    <row r="1193" spans="1:17" outlineLevel="2" x14ac:dyDescent="0.3">
      <c r="A1193" s="366" t="str">
        <f>IFERROR(VLOOKUP(RIGHT(E1193,3)+0,[1]SchLocTable!$A$2:$B$47,2,FALSE)," ")</f>
        <v>Curiale</v>
      </c>
      <c r="B1193" s="366" t="str">
        <f>VLOOKUP(VALUE(D1193),$D$3:F$106,3,FALSE)</f>
        <v>Bilingual Education</v>
      </c>
      <c r="C1193" t="s">
        <v>314</v>
      </c>
      <c r="D1193">
        <v>810</v>
      </c>
      <c r="E1193" t="s">
        <v>554</v>
      </c>
      <c r="F1193" t="s">
        <v>321</v>
      </c>
      <c r="G1193" t="s">
        <v>319</v>
      </c>
      <c r="H1193" s="502">
        <v>52917</v>
      </c>
      <c r="I1193" s="415">
        <v>0</v>
      </c>
      <c r="J1193" s="415">
        <v>38437</v>
      </c>
      <c r="K1193" s="415">
        <v>70151.759999999995</v>
      </c>
      <c r="L1193" s="415">
        <v>0</v>
      </c>
      <c r="M1193" s="415">
        <v>15105.1</v>
      </c>
      <c r="N1193" s="415">
        <v>30308.67</v>
      </c>
      <c r="O1193" s="415">
        <v>29077.5</v>
      </c>
      <c r="P1193" s="415">
        <v>27385.05</v>
      </c>
      <c r="Q1193" s="481">
        <f t="shared" si="64"/>
        <v>38437</v>
      </c>
    </row>
    <row r="1194" spans="1:17" outlineLevel="2" x14ac:dyDescent="0.3">
      <c r="A1194" s="366" t="str">
        <f>IFERROR(VLOOKUP(RIGHT(E1194,3)+0,[1]SchLocTable!$A$2:$B$47,2,FALSE)," ")</f>
        <v>Curiale</v>
      </c>
      <c r="B1194" s="366" t="str">
        <f>VLOOKUP(VALUE(D1194),$D$3:F$106,3,FALSE)</f>
        <v>Bilingual Education</v>
      </c>
      <c r="C1194" t="s">
        <v>314</v>
      </c>
      <c r="D1194">
        <v>810</v>
      </c>
      <c r="E1194" t="s">
        <v>554</v>
      </c>
      <c r="F1194" t="s">
        <v>318</v>
      </c>
      <c r="G1194" t="s">
        <v>319</v>
      </c>
      <c r="H1194" s="502">
        <v>51140</v>
      </c>
      <c r="I1194" s="415">
        <v>1100</v>
      </c>
      <c r="J1194" s="415">
        <v>0</v>
      </c>
      <c r="K1194" s="415">
        <v>2200</v>
      </c>
      <c r="L1194" s="415">
        <v>2200</v>
      </c>
      <c r="M1194" s="415">
        <v>900</v>
      </c>
      <c r="N1194" s="415">
        <v>900</v>
      </c>
      <c r="O1194" s="415">
        <v>900</v>
      </c>
      <c r="P1194" s="415">
        <v>900</v>
      </c>
      <c r="Q1194" s="481">
        <f t="shared" si="64"/>
        <v>-1100</v>
      </c>
    </row>
    <row r="1195" spans="1:17" outlineLevel="2" x14ac:dyDescent="0.3">
      <c r="A1195" s="366" t="str">
        <f>IFERROR(VLOOKUP(RIGHT(E1195,3)+0,[1]SchLocTable!$A$2:$B$47,2,FALSE)," ")</f>
        <v>Curiale</v>
      </c>
      <c r="B1195" s="366" t="str">
        <f>VLOOKUP(VALUE(D1195),$D$3:F$106,3,FALSE)</f>
        <v>Bilingual Education</v>
      </c>
      <c r="C1195" t="s">
        <v>314</v>
      </c>
      <c r="D1195">
        <v>810</v>
      </c>
      <c r="E1195" t="s">
        <v>554</v>
      </c>
      <c r="F1195" t="s">
        <v>320</v>
      </c>
      <c r="G1195" t="s">
        <v>319</v>
      </c>
      <c r="H1195" s="502">
        <v>52360</v>
      </c>
      <c r="I1195" s="415">
        <v>0</v>
      </c>
      <c r="J1195" s="415">
        <v>1371</v>
      </c>
      <c r="K1195" s="415">
        <v>2821.19</v>
      </c>
      <c r="L1195" s="415">
        <v>0</v>
      </c>
      <c r="M1195" s="415">
        <v>550.62</v>
      </c>
      <c r="N1195" s="415">
        <v>1309.18</v>
      </c>
      <c r="O1195" s="415">
        <v>1296.1600000000001</v>
      </c>
      <c r="P1195" s="415">
        <v>1282.1300000000001</v>
      </c>
      <c r="Q1195" s="481">
        <f t="shared" si="64"/>
        <v>1371</v>
      </c>
    </row>
    <row r="1196" spans="1:17" outlineLevel="2" x14ac:dyDescent="0.3">
      <c r="A1196" s="366" t="str">
        <f>IFERROR(VLOOKUP(RIGHT(E1196,3)+0,[1]SchLocTable!$A$2:$B$47,2,FALSE)," ")</f>
        <v>Multicultural Magnet</v>
      </c>
      <c r="B1196" s="366" t="str">
        <f>VLOOKUP(VALUE(D1196),$D$3:F$106,3,FALSE)</f>
        <v>Bilingual Education</v>
      </c>
      <c r="C1196" t="s">
        <v>314</v>
      </c>
      <c r="D1196">
        <v>810</v>
      </c>
      <c r="E1196" t="s">
        <v>555</v>
      </c>
      <c r="F1196" t="s">
        <v>316</v>
      </c>
      <c r="G1196">
        <v>4</v>
      </c>
      <c r="H1196" s="502">
        <v>51000</v>
      </c>
      <c r="I1196" s="415">
        <v>0</v>
      </c>
      <c r="J1196" s="415">
        <v>271235</v>
      </c>
      <c r="K1196" s="415">
        <v>283384.96000000002</v>
      </c>
      <c r="L1196" s="415">
        <v>325155.21999999997</v>
      </c>
      <c r="M1196" s="415">
        <v>316329.78000000003</v>
      </c>
      <c r="N1196" s="415">
        <v>284791.26</v>
      </c>
      <c r="O1196" s="415">
        <v>335700.82</v>
      </c>
      <c r="P1196" s="415">
        <v>330427.24</v>
      </c>
      <c r="Q1196" s="481">
        <f t="shared" si="64"/>
        <v>271235</v>
      </c>
    </row>
    <row r="1197" spans="1:17" outlineLevel="2" x14ac:dyDescent="0.3">
      <c r="A1197" s="366" t="str">
        <f>IFERROR(VLOOKUP(RIGHT(E1197,3)+0,[1]SchLocTable!$A$2:$B$47,2,FALSE)," ")</f>
        <v>Multicultural Magnet</v>
      </c>
      <c r="B1197" s="366" t="str">
        <f>VLOOKUP(VALUE(D1197),$D$3:F$106,3,FALSE)</f>
        <v>Bilingual Education</v>
      </c>
      <c r="C1197" t="s">
        <v>314</v>
      </c>
      <c r="D1197">
        <v>810</v>
      </c>
      <c r="E1197" t="s">
        <v>555</v>
      </c>
      <c r="F1197" t="s">
        <v>321</v>
      </c>
      <c r="G1197" t="s">
        <v>319</v>
      </c>
      <c r="H1197" s="502">
        <v>52917</v>
      </c>
      <c r="I1197" s="415">
        <v>0</v>
      </c>
      <c r="J1197" s="415">
        <v>101349.57</v>
      </c>
      <c r="K1197" s="415">
        <v>102053.75999999999</v>
      </c>
      <c r="L1197" s="415">
        <v>128165.46</v>
      </c>
      <c r="M1197" s="415">
        <v>91233.87</v>
      </c>
      <c r="N1197" s="415">
        <v>66417.06</v>
      </c>
      <c r="O1197" s="415">
        <v>55831.5</v>
      </c>
      <c r="P1197" s="415">
        <v>55666.17</v>
      </c>
      <c r="Q1197" s="481">
        <f t="shared" si="64"/>
        <v>101349.57</v>
      </c>
    </row>
    <row r="1198" spans="1:17" outlineLevel="2" x14ac:dyDescent="0.3">
      <c r="A1198" s="366" t="str">
        <f>IFERROR(VLOOKUP(RIGHT(E1198,3)+0,[1]SchLocTable!$A$2:$B$47,2,FALSE)," ")</f>
        <v>Multicultural Magnet</v>
      </c>
      <c r="B1198" s="366" t="str">
        <f>VLOOKUP(VALUE(D1198),$D$3:F$106,3,FALSE)</f>
        <v>Bilingual Education</v>
      </c>
      <c r="C1198" t="s">
        <v>314</v>
      </c>
      <c r="D1198">
        <v>810</v>
      </c>
      <c r="E1198" t="s">
        <v>555</v>
      </c>
      <c r="F1198" t="s">
        <v>318</v>
      </c>
      <c r="G1198" t="s">
        <v>319</v>
      </c>
      <c r="H1198" s="502">
        <v>51140</v>
      </c>
      <c r="I1198" s="415">
        <v>3200</v>
      </c>
      <c r="J1198" s="415">
        <v>0</v>
      </c>
      <c r="K1198" s="415">
        <v>2300</v>
      </c>
      <c r="L1198" s="415">
        <v>2200</v>
      </c>
      <c r="M1198" s="415">
        <v>2000</v>
      </c>
      <c r="N1198" s="415">
        <v>1100</v>
      </c>
      <c r="O1198" s="415">
        <v>3100</v>
      </c>
      <c r="P1198" s="415">
        <v>3100</v>
      </c>
      <c r="Q1198" s="481">
        <f t="shared" si="64"/>
        <v>-3200</v>
      </c>
    </row>
    <row r="1199" spans="1:17" outlineLevel="2" x14ac:dyDescent="0.3">
      <c r="A1199" s="366" t="str">
        <f>IFERROR(VLOOKUP(RIGHT(E1199,3)+0,[1]SchLocTable!$A$2:$B$47,2,FALSE)," ")</f>
        <v>Multicultural Magnet</v>
      </c>
      <c r="B1199" s="366" t="str">
        <f>VLOOKUP(VALUE(D1199),$D$3:F$106,3,FALSE)</f>
        <v>Bilingual Education</v>
      </c>
      <c r="C1199" t="s">
        <v>314</v>
      </c>
      <c r="D1199">
        <v>810</v>
      </c>
      <c r="E1199" t="s">
        <v>555</v>
      </c>
      <c r="F1199" t="s">
        <v>320</v>
      </c>
      <c r="G1199" t="s">
        <v>319</v>
      </c>
      <c r="H1199" s="502">
        <v>52360</v>
      </c>
      <c r="I1199" s="415">
        <v>0</v>
      </c>
      <c r="J1199" s="415">
        <v>3417</v>
      </c>
      <c r="K1199" s="415">
        <v>3706.2</v>
      </c>
      <c r="L1199" s="415">
        <v>4209.58</v>
      </c>
      <c r="M1199" s="415">
        <v>4230.5200000000004</v>
      </c>
      <c r="N1199" s="415">
        <v>3885.83</v>
      </c>
      <c r="O1199" s="415">
        <v>4701.4799999999996</v>
      </c>
      <c r="P1199" s="415">
        <v>4629.6400000000003</v>
      </c>
      <c r="Q1199" s="481">
        <f t="shared" si="64"/>
        <v>3417</v>
      </c>
    </row>
    <row r="1200" spans="1:17" outlineLevel="2" x14ac:dyDescent="0.3">
      <c r="A1200" s="366" t="str">
        <f>IFERROR(VLOOKUP(RIGHT(E1200,3)+0,[1]SchLocTable!$A$2:$B$47,2,FALSE)," ")</f>
        <v>Bassick HS</v>
      </c>
      <c r="B1200" s="366" t="str">
        <f>VLOOKUP(VALUE(D1200),$D$3:F$106,3,FALSE)</f>
        <v>Bilingual Education</v>
      </c>
      <c r="C1200" t="s">
        <v>314</v>
      </c>
      <c r="D1200">
        <v>810</v>
      </c>
      <c r="E1200" t="s">
        <v>556</v>
      </c>
      <c r="F1200" t="s">
        <v>316</v>
      </c>
      <c r="G1200">
        <v>3</v>
      </c>
      <c r="H1200" s="502">
        <v>51000</v>
      </c>
      <c r="I1200" s="415">
        <v>168804.0528</v>
      </c>
      <c r="J1200" s="415">
        <v>105069.9</v>
      </c>
      <c r="K1200" s="415">
        <v>68156.070000000007</v>
      </c>
      <c r="L1200" s="415">
        <v>163836.09</v>
      </c>
      <c r="M1200" s="415">
        <v>188904.82</v>
      </c>
      <c r="N1200" s="415">
        <v>176144.04</v>
      </c>
      <c r="O1200" s="415">
        <v>151100.04</v>
      </c>
      <c r="P1200" s="415">
        <v>148821.04</v>
      </c>
      <c r="Q1200" s="481">
        <f t="shared" si="64"/>
        <v>-63734.152800000011</v>
      </c>
    </row>
    <row r="1201" spans="1:17" outlineLevel="2" x14ac:dyDescent="0.3">
      <c r="A1201" s="366" t="str">
        <f>IFERROR(VLOOKUP(RIGHT(E1201,3)+0,[1]SchLocTable!$A$2:$B$47,2,FALSE)," ")</f>
        <v>Bassick HS</v>
      </c>
      <c r="B1201" s="366" t="str">
        <f>VLOOKUP(VALUE(D1201),$D$3:F$106,3,FALSE)</f>
        <v>Bilingual Education</v>
      </c>
      <c r="C1201" t="s">
        <v>314</v>
      </c>
      <c r="D1201">
        <v>810</v>
      </c>
      <c r="E1201" t="s">
        <v>556</v>
      </c>
      <c r="F1201" t="s">
        <v>321</v>
      </c>
      <c r="G1201" t="s">
        <v>319</v>
      </c>
      <c r="H1201" s="502">
        <v>52917</v>
      </c>
      <c r="I1201" s="415">
        <v>31200.623999999996</v>
      </c>
      <c r="J1201" s="415">
        <v>13037.22</v>
      </c>
      <c r="K1201" s="415">
        <v>9774.26</v>
      </c>
      <c r="L1201" s="415">
        <v>12164.67</v>
      </c>
      <c r="M1201" s="415">
        <v>37720.199999999997</v>
      </c>
      <c r="N1201" s="415">
        <v>35079.89</v>
      </c>
      <c r="O1201" s="415">
        <v>20059.349999999999</v>
      </c>
      <c r="P1201" s="415">
        <v>18939.27</v>
      </c>
      <c r="Q1201" s="481">
        <f t="shared" si="64"/>
        <v>-18163.403999999995</v>
      </c>
    </row>
    <row r="1202" spans="1:17" outlineLevel="2" x14ac:dyDescent="0.3">
      <c r="A1202" s="366" t="str">
        <f>IFERROR(VLOOKUP(RIGHT(E1202,3)+0,[1]SchLocTable!$A$2:$B$47,2,FALSE)," ")</f>
        <v>Bassick HS</v>
      </c>
      <c r="B1202" s="366" t="str">
        <f>VLOOKUP(VALUE(D1202),$D$3:F$106,3,FALSE)</f>
        <v>Bilingual Education</v>
      </c>
      <c r="C1202" t="s">
        <v>314</v>
      </c>
      <c r="D1202">
        <v>810</v>
      </c>
      <c r="E1202" t="s">
        <v>556</v>
      </c>
      <c r="F1202" t="s">
        <v>318</v>
      </c>
      <c r="G1202" t="s">
        <v>319</v>
      </c>
      <c r="H1202" s="502">
        <v>51140</v>
      </c>
      <c r="I1202" s="415">
        <v>0</v>
      </c>
      <c r="J1202" s="415">
        <v>0</v>
      </c>
      <c r="K1202" s="415">
        <v>0</v>
      </c>
      <c r="L1202" s="415">
        <v>2500</v>
      </c>
      <c r="M1202" s="415">
        <v>2100</v>
      </c>
      <c r="N1202" s="415">
        <v>2100</v>
      </c>
      <c r="O1202" s="415">
        <v>1200</v>
      </c>
      <c r="P1202" s="415">
        <v>1200</v>
      </c>
      <c r="Q1202" s="481">
        <f t="shared" si="64"/>
        <v>0</v>
      </c>
    </row>
    <row r="1203" spans="1:17" outlineLevel="1" x14ac:dyDescent="0.3">
      <c r="A1203" s="366" t="str">
        <f>IFERROR(VLOOKUP(RIGHT(E1203,3)+0,[1]SchLocTable!$A$2:$B$47,2,FALSE)," ")</f>
        <v>Bassick HS</v>
      </c>
      <c r="B1203" s="366" t="str">
        <f>VLOOKUP(VALUE(D1203),$D$3:F$106,3,FALSE)</f>
        <v>Bilingual Education</v>
      </c>
      <c r="C1203" t="s">
        <v>314</v>
      </c>
      <c r="D1203">
        <v>810</v>
      </c>
      <c r="E1203" t="s">
        <v>556</v>
      </c>
      <c r="F1203" t="s">
        <v>320</v>
      </c>
      <c r="G1203" t="s">
        <v>319</v>
      </c>
      <c r="H1203" s="502">
        <v>52360</v>
      </c>
      <c r="I1203" s="415">
        <v>2447.6587656000002</v>
      </c>
      <c r="J1203" s="415">
        <v>1515.31</v>
      </c>
      <c r="K1203" s="415">
        <v>954.55</v>
      </c>
      <c r="L1203" s="415">
        <v>2527.1799999999998</v>
      </c>
      <c r="M1203" s="415">
        <v>2617.9299999999998</v>
      </c>
      <c r="N1203" s="415">
        <v>2806.68</v>
      </c>
      <c r="O1203" s="415">
        <v>2132.6799999999998</v>
      </c>
      <c r="P1203" s="415">
        <v>2107.5</v>
      </c>
      <c r="Q1203" s="481">
        <f t="shared" si="64"/>
        <v>-932.34876560000021</v>
      </c>
    </row>
    <row r="1204" spans="1:17" outlineLevel="2" x14ac:dyDescent="0.3">
      <c r="A1204" s="366" t="str">
        <f>IFERROR(VLOOKUP(RIGHT(E1204,3)+0,[1]SchLocTable!$A$2:$B$47,2,FALSE)," ")</f>
        <v>Bassick HS</v>
      </c>
      <c r="B1204" s="366" t="str">
        <f>VLOOKUP(VALUE(D1204),$D$3:F$106,3,FALSE)</f>
        <v>Bilingual Education</v>
      </c>
      <c r="C1204" t="s">
        <v>314</v>
      </c>
      <c r="D1204">
        <v>810</v>
      </c>
      <c r="E1204" t="s">
        <v>556</v>
      </c>
      <c r="F1204" t="s">
        <v>329</v>
      </c>
      <c r="G1204" t="s">
        <v>319</v>
      </c>
      <c r="H1204" s="502">
        <v>51154</v>
      </c>
      <c r="I1204" s="415">
        <v>0</v>
      </c>
      <c r="J1204" s="415">
        <v>0</v>
      </c>
      <c r="K1204" s="415">
        <v>0</v>
      </c>
      <c r="L1204" s="415">
        <v>11375</v>
      </c>
      <c r="M1204" s="415">
        <v>0</v>
      </c>
      <c r="N1204" s="415">
        <v>0</v>
      </c>
      <c r="O1204" s="415">
        <v>0</v>
      </c>
      <c r="P1204" s="415">
        <v>0</v>
      </c>
      <c r="Q1204" s="481">
        <f t="shared" si="64"/>
        <v>0</v>
      </c>
    </row>
    <row r="1205" spans="1:17" outlineLevel="2" x14ac:dyDescent="0.3">
      <c r="A1205" s="366" t="str">
        <f>IFERROR(VLOOKUP(RIGHT(E1205,3)+0,[1]SchLocTable!$A$2:$B$47,2,FALSE)," ")</f>
        <v>Central HS</v>
      </c>
      <c r="B1205" s="366" t="str">
        <f>VLOOKUP(VALUE(D1205),$D$3:F$106,3,FALSE)</f>
        <v>Bilingual Education</v>
      </c>
      <c r="C1205" t="s">
        <v>314</v>
      </c>
      <c r="D1205">
        <v>810</v>
      </c>
      <c r="E1205" t="s">
        <v>557</v>
      </c>
      <c r="F1205" t="s">
        <v>316</v>
      </c>
      <c r="G1205">
        <v>3</v>
      </c>
      <c r="H1205" s="502">
        <v>51000</v>
      </c>
      <c r="I1205" s="415">
        <v>190428.46490000002</v>
      </c>
      <c r="J1205" s="415">
        <v>241315</v>
      </c>
      <c r="K1205" s="415">
        <v>212659.7</v>
      </c>
      <c r="L1205" s="415">
        <v>120685.08</v>
      </c>
      <c r="M1205" s="415">
        <v>139882.78</v>
      </c>
      <c r="N1205" s="415">
        <v>132725.81</v>
      </c>
      <c r="O1205" s="415">
        <v>234745.92</v>
      </c>
      <c r="P1205" s="415">
        <v>207659.12</v>
      </c>
      <c r="Q1205" s="481">
        <f t="shared" si="64"/>
        <v>50886.535099999979</v>
      </c>
    </row>
    <row r="1206" spans="1:17" outlineLevel="2" x14ac:dyDescent="0.3">
      <c r="A1206" s="366" t="str">
        <f>IFERROR(VLOOKUP(RIGHT(E1206,3)+0,[1]SchLocTable!$A$2:$B$47,2,FALSE)," ")</f>
        <v>Central HS</v>
      </c>
      <c r="B1206" s="366" t="str">
        <f>VLOOKUP(VALUE(D1206),$D$3:F$106,3,FALSE)</f>
        <v>Bilingual Education</v>
      </c>
      <c r="C1206" t="s">
        <v>314</v>
      </c>
      <c r="D1206">
        <v>810</v>
      </c>
      <c r="E1206" t="s">
        <v>557</v>
      </c>
      <c r="F1206" t="s">
        <v>321</v>
      </c>
      <c r="G1206" t="s">
        <v>319</v>
      </c>
      <c r="H1206" s="502">
        <v>52917</v>
      </c>
      <c r="I1206" s="415">
        <v>32400</v>
      </c>
      <c r="J1206" s="415">
        <v>77218.259999999995</v>
      </c>
      <c r="K1206" s="415">
        <v>64961.14</v>
      </c>
      <c r="L1206" s="415">
        <v>11684.82</v>
      </c>
      <c r="M1206" s="415">
        <v>21846.3</v>
      </c>
      <c r="N1206" s="415">
        <v>35949.96</v>
      </c>
      <c r="O1206" s="415">
        <v>76239.64</v>
      </c>
      <c r="P1206" s="415">
        <v>64581.87</v>
      </c>
      <c r="Q1206" s="481">
        <f t="shared" si="64"/>
        <v>44818.259999999995</v>
      </c>
    </row>
    <row r="1207" spans="1:17" outlineLevel="2" x14ac:dyDescent="0.3">
      <c r="A1207" s="366" t="str">
        <f>IFERROR(VLOOKUP(RIGHT(E1207,3)+0,[1]SchLocTable!$A$2:$B$47,2,FALSE)," ")</f>
        <v>Central HS</v>
      </c>
      <c r="B1207" s="366" t="str">
        <f>VLOOKUP(VALUE(D1207),$D$3:F$106,3,FALSE)</f>
        <v>Bilingual Education</v>
      </c>
      <c r="C1207" t="s">
        <v>314</v>
      </c>
      <c r="D1207">
        <v>810</v>
      </c>
      <c r="E1207" t="s">
        <v>557</v>
      </c>
      <c r="F1207" t="s">
        <v>320</v>
      </c>
      <c r="G1207" t="s">
        <v>319</v>
      </c>
      <c r="H1207" s="502">
        <v>52360</v>
      </c>
      <c r="I1207" s="415">
        <v>2761.2127410500002</v>
      </c>
      <c r="J1207" s="415">
        <v>3120</v>
      </c>
      <c r="K1207" s="415">
        <v>2893.55</v>
      </c>
      <c r="L1207" s="415">
        <v>1701.53</v>
      </c>
      <c r="M1207" s="415">
        <v>1932.91</v>
      </c>
      <c r="N1207" s="415">
        <v>1757.43</v>
      </c>
      <c r="O1207" s="415">
        <v>3139.9</v>
      </c>
      <c r="P1207" s="415">
        <v>2753.23</v>
      </c>
      <c r="Q1207" s="481">
        <f t="shared" si="64"/>
        <v>358.7872589499998</v>
      </c>
    </row>
    <row r="1208" spans="1:17" outlineLevel="2" x14ac:dyDescent="0.3">
      <c r="A1208" s="366" t="str">
        <f>IFERROR(VLOOKUP(RIGHT(E1208,3)+0,[1]SchLocTable!$A$2:$B$47,2,FALSE)," ")</f>
        <v>Harding HS</v>
      </c>
      <c r="B1208" s="366" t="str">
        <f>VLOOKUP(VALUE(D1208),$D$3:F$106,3,FALSE)</f>
        <v>Bilingual Education</v>
      </c>
      <c r="C1208" t="s">
        <v>314</v>
      </c>
      <c r="D1208">
        <v>810</v>
      </c>
      <c r="E1208" t="s">
        <v>558</v>
      </c>
      <c r="F1208" t="s">
        <v>316</v>
      </c>
      <c r="G1208">
        <v>5</v>
      </c>
      <c r="H1208" s="502">
        <v>51000</v>
      </c>
      <c r="I1208" s="415">
        <v>11172.560909999998</v>
      </c>
      <c r="J1208" s="415">
        <v>438493.64</v>
      </c>
      <c r="K1208" s="415">
        <v>516633.78</v>
      </c>
      <c r="L1208" s="415">
        <v>474479.99</v>
      </c>
      <c r="M1208" s="415">
        <v>586116.80000000005</v>
      </c>
      <c r="N1208" s="415">
        <v>581408.18999999994</v>
      </c>
      <c r="O1208" s="415">
        <v>636327.1</v>
      </c>
      <c r="P1208" s="415">
        <v>626287.39</v>
      </c>
      <c r="Q1208" s="481">
        <f t="shared" si="64"/>
        <v>427321.07909000001</v>
      </c>
    </row>
    <row r="1209" spans="1:17" outlineLevel="2" x14ac:dyDescent="0.3">
      <c r="A1209" s="366" t="str">
        <f>IFERROR(VLOOKUP(RIGHT(E1209,3)+0,[1]SchLocTable!$A$2:$B$47,2,FALSE)," ")</f>
        <v>Harding HS</v>
      </c>
      <c r="B1209" s="366" t="str">
        <f>VLOOKUP(VALUE(D1209),$D$3:F$106,3,FALSE)</f>
        <v>Bilingual Education</v>
      </c>
      <c r="C1209" t="s">
        <v>314</v>
      </c>
      <c r="D1209">
        <v>810</v>
      </c>
      <c r="E1209" t="s">
        <v>558</v>
      </c>
      <c r="F1209" t="s">
        <v>321</v>
      </c>
      <c r="G1209" t="s">
        <v>319</v>
      </c>
      <c r="H1209" s="502">
        <v>52917</v>
      </c>
      <c r="I1209" s="415">
        <v>0</v>
      </c>
      <c r="J1209" s="415">
        <v>65539.740000000005</v>
      </c>
      <c r="K1209" s="415">
        <v>59642.52</v>
      </c>
      <c r="L1209" s="415">
        <v>87012.45</v>
      </c>
      <c r="M1209" s="415">
        <v>113991.15</v>
      </c>
      <c r="N1209" s="415">
        <v>109047.52</v>
      </c>
      <c r="O1209" s="415">
        <v>106879.18</v>
      </c>
      <c r="P1209" s="415">
        <v>100159.63</v>
      </c>
      <c r="Q1209" s="481">
        <f t="shared" si="64"/>
        <v>65539.740000000005</v>
      </c>
    </row>
    <row r="1210" spans="1:17" outlineLevel="2" x14ac:dyDescent="0.3">
      <c r="A1210" s="366" t="str">
        <f>IFERROR(VLOOKUP(RIGHT(E1210,3)+0,[1]SchLocTable!$A$2:$B$47,2,FALSE)," ")</f>
        <v>Harding HS</v>
      </c>
      <c r="B1210" s="366" t="str">
        <f>VLOOKUP(VALUE(D1210),$D$3:F$106,3,FALSE)</f>
        <v>Bilingual Education</v>
      </c>
      <c r="C1210" t="s">
        <v>314</v>
      </c>
      <c r="D1210">
        <v>810</v>
      </c>
      <c r="E1210" t="s">
        <v>558</v>
      </c>
      <c r="F1210" t="s">
        <v>318</v>
      </c>
      <c r="G1210" t="s">
        <v>319</v>
      </c>
      <c r="H1210" s="502">
        <v>51140</v>
      </c>
      <c r="I1210" s="415">
        <v>3300</v>
      </c>
      <c r="J1210" s="415">
        <v>0</v>
      </c>
      <c r="K1210" s="415">
        <v>4400</v>
      </c>
      <c r="L1210" s="415">
        <v>7700</v>
      </c>
      <c r="M1210" s="415">
        <v>5500</v>
      </c>
      <c r="N1210" s="415">
        <v>5300</v>
      </c>
      <c r="O1210" s="415">
        <v>4900</v>
      </c>
      <c r="P1210" s="415">
        <v>4900</v>
      </c>
      <c r="Q1210" s="481">
        <f t="shared" si="64"/>
        <v>-3300</v>
      </c>
    </row>
    <row r="1211" spans="1:17" outlineLevel="2" x14ac:dyDescent="0.3">
      <c r="A1211" s="366" t="str">
        <f>IFERROR(VLOOKUP(RIGHT(E1211,3)+0,[1]SchLocTable!$A$2:$B$47,2,FALSE)," ")</f>
        <v>Harding HS</v>
      </c>
      <c r="B1211" s="366" t="str">
        <f>VLOOKUP(VALUE(D1211),$D$3:F$106,3,FALSE)</f>
        <v>Bilingual Education</v>
      </c>
      <c r="C1211" t="s">
        <v>314</v>
      </c>
      <c r="D1211">
        <v>810</v>
      </c>
      <c r="E1211" t="s">
        <v>558</v>
      </c>
      <c r="F1211" t="s">
        <v>320</v>
      </c>
      <c r="G1211" t="s">
        <v>319</v>
      </c>
      <c r="H1211" s="502">
        <v>52360</v>
      </c>
      <c r="I1211" s="415">
        <v>162.00213319499997</v>
      </c>
      <c r="J1211" s="415">
        <v>6317.18</v>
      </c>
      <c r="K1211" s="415">
        <v>7285.83</v>
      </c>
      <c r="L1211" s="415">
        <v>6577.03</v>
      </c>
      <c r="M1211" s="415">
        <v>8102.7</v>
      </c>
      <c r="N1211" s="415">
        <v>8082.53</v>
      </c>
      <c r="O1211" s="415">
        <v>8892.8700000000008</v>
      </c>
      <c r="P1211" s="415">
        <v>8779.02</v>
      </c>
      <c r="Q1211" s="481">
        <f t="shared" si="64"/>
        <v>6155.1778668050001</v>
      </c>
    </row>
    <row r="1212" spans="1:17" outlineLevel="2" x14ac:dyDescent="0.3">
      <c r="A1212" s="366" t="str">
        <f>IFERROR(VLOOKUP(RIGHT(E1212,3)+0,[1]SchLocTable!$A$2:$B$47,2,FALSE)," ")</f>
        <v>Harding HS</v>
      </c>
      <c r="B1212" s="366" t="str">
        <f>VLOOKUP(VALUE(D1212),$D$3:F$106,3,FALSE)</f>
        <v>Bilingual Education</v>
      </c>
      <c r="C1212" t="s">
        <v>314</v>
      </c>
      <c r="D1212">
        <v>810</v>
      </c>
      <c r="E1212" t="s">
        <v>558</v>
      </c>
      <c r="F1212" t="s">
        <v>329</v>
      </c>
      <c r="G1212" t="s">
        <v>319</v>
      </c>
      <c r="H1212" s="502">
        <v>51154</v>
      </c>
      <c r="I1212" s="415">
        <v>0</v>
      </c>
      <c r="J1212" s="415">
        <v>0</v>
      </c>
      <c r="K1212" s="415">
        <v>0</v>
      </c>
      <c r="L1212" s="415">
        <v>10075</v>
      </c>
      <c r="M1212" s="415">
        <v>0</v>
      </c>
      <c r="N1212" s="415">
        <v>0</v>
      </c>
      <c r="O1212" s="415">
        <v>0</v>
      </c>
      <c r="P1212" s="415">
        <v>0</v>
      </c>
      <c r="Q1212" s="481">
        <f t="shared" si="64"/>
        <v>0</v>
      </c>
    </row>
    <row r="1213" spans="1:17" outlineLevel="2" x14ac:dyDescent="0.3">
      <c r="A1213" s="366" t="str">
        <f>IFERROR(VLOOKUP(RIGHT(E1213,3)+0,[1]SchLocTable!$A$2:$B$47,2,FALSE)," ")</f>
        <v xml:space="preserve"> </v>
      </c>
      <c r="B1213" s="366" t="str">
        <f>VLOOKUP(VALUE(D1213),$D$3:F$106,3,FALSE)</f>
        <v>Bilingual Education</v>
      </c>
      <c r="C1213" t="s">
        <v>314</v>
      </c>
      <c r="D1213">
        <v>810</v>
      </c>
      <c r="E1213" t="s">
        <v>559</v>
      </c>
      <c r="F1213" t="s">
        <v>316</v>
      </c>
      <c r="G1213" t="s">
        <v>319</v>
      </c>
      <c r="H1213" s="502">
        <v>51000</v>
      </c>
      <c r="I1213" s="415">
        <v>0</v>
      </c>
      <c r="J1213" s="415">
        <v>95393</v>
      </c>
      <c r="K1213" s="415">
        <v>93293.98</v>
      </c>
      <c r="L1213" s="415">
        <v>0</v>
      </c>
      <c r="M1213" s="415">
        <v>0</v>
      </c>
      <c r="N1213" s="415">
        <v>0</v>
      </c>
      <c r="O1213" s="415">
        <v>0</v>
      </c>
      <c r="P1213" s="415">
        <v>0</v>
      </c>
      <c r="Q1213" s="481">
        <f t="shared" si="64"/>
        <v>95393</v>
      </c>
    </row>
    <row r="1214" spans="1:17" outlineLevel="2" x14ac:dyDescent="0.3">
      <c r="A1214" s="366" t="str">
        <f>IFERROR(VLOOKUP(RIGHT(E1214,3)+0,[1]SchLocTable!$A$2:$B$47,2,FALSE)," ")</f>
        <v xml:space="preserve"> </v>
      </c>
      <c r="B1214" s="366" t="str">
        <f>VLOOKUP(VALUE(D1214),$D$3:F$106,3,FALSE)</f>
        <v>Bilingual Education</v>
      </c>
      <c r="C1214" t="s">
        <v>314</v>
      </c>
      <c r="D1214">
        <v>810</v>
      </c>
      <c r="E1214" t="s">
        <v>559</v>
      </c>
      <c r="F1214" t="s">
        <v>321</v>
      </c>
      <c r="G1214" t="s">
        <v>319</v>
      </c>
      <c r="H1214" s="502">
        <v>52917</v>
      </c>
      <c r="I1214" s="415">
        <v>0</v>
      </c>
      <c r="J1214" s="415">
        <v>16070</v>
      </c>
      <c r="K1214" s="415">
        <v>11844</v>
      </c>
      <c r="L1214" s="415">
        <v>0</v>
      </c>
      <c r="M1214" s="415">
        <v>0</v>
      </c>
      <c r="N1214" s="415">
        <v>0</v>
      </c>
      <c r="O1214" s="415">
        <v>0</v>
      </c>
      <c r="P1214" s="415">
        <v>0</v>
      </c>
      <c r="Q1214" s="481">
        <f t="shared" si="64"/>
        <v>16070</v>
      </c>
    </row>
    <row r="1215" spans="1:17" outlineLevel="2" x14ac:dyDescent="0.3">
      <c r="A1215" s="366" t="str">
        <f>IFERROR(VLOOKUP(RIGHT(E1215,3)+0,[1]SchLocTable!$A$2:$B$47,2,FALSE)," ")</f>
        <v xml:space="preserve"> </v>
      </c>
      <c r="B1215" s="366" t="str">
        <f>VLOOKUP(VALUE(D1215),$D$3:F$106,3,FALSE)</f>
        <v>Bilingual Education</v>
      </c>
      <c r="C1215" t="s">
        <v>314</v>
      </c>
      <c r="D1215">
        <v>810</v>
      </c>
      <c r="E1215" t="s">
        <v>559</v>
      </c>
      <c r="F1215" t="s">
        <v>318</v>
      </c>
      <c r="G1215" t="s">
        <v>319</v>
      </c>
      <c r="H1215" s="502">
        <v>51140</v>
      </c>
      <c r="I1215" s="415">
        <v>0</v>
      </c>
      <c r="J1215" s="415">
        <v>0</v>
      </c>
      <c r="K1215" s="415">
        <v>900</v>
      </c>
      <c r="L1215" s="415">
        <v>0</v>
      </c>
      <c r="M1215" s="415">
        <v>0</v>
      </c>
      <c r="N1215" s="415">
        <v>0</v>
      </c>
      <c r="O1215" s="415">
        <v>0</v>
      </c>
      <c r="P1215" s="415">
        <v>0</v>
      </c>
      <c r="Q1215" s="481">
        <f t="shared" ref="Q1215:Q1278" si="65">J1215-I1215</f>
        <v>0</v>
      </c>
    </row>
    <row r="1216" spans="1:17" outlineLevel="2" x14ac:dyDescent="0.3">
      <c r="A1216" s="366" t="str">
        <f>IFERROR(VLOOKUP(RIGHT(E1216,3)+0,[1]SchLocTable!$A$2:$B$47,2,FALSE)," ")</f>
        <v xml:space="preserve"> </v>
      </c>
      <c r="B1216" s="366" t="str">
        <f>VLOOKUP(VALUE(D1216),$D$3:F$106,3,FALSE)</f>
        <v>Bilingual Education</v>
      </c>
      <c r="C1216" t="s">
        <v>314</v>
      </c>
      <c r="D1216">
        <v>810</v>
      </c>
      <c r="E1216" t="s">
        <v>559</v>
      </c>
      <c r="F1216" t="s">
        <v>320</v>
      </c>
      <c r="G1216" t="s">
        <v>319</v>
      </c>
      <c r="H1216" s="502">
        <v>52360</v>
      </c>
      <c r="I1216" s="415">
        <v>0</v>
      </c>
      <c r="J1216" s="415">
        <v>1326</v>
      </c>
      <c r="K1216" s="415">
        <v>1298.02</v>
      </c>
      <c r="L1216" s="415">
        <v>0</v>
      </c>
      <c r="M1216" s="415">
        <v>0</v>
      </c>
      <c r="N1216" s="415">
        <v>0</v>
      </c>
      <c r="O1216" s="415">
        <v>0</v>
      </c>
      <c r="P1216" s="415">
        <v>0</v>
      </c>
      <c r="Q1216" s="481">
        <f t="shared" si="65"/>
        <v>1326</v>
      </c>
    </row>
    <row r="1217" spans="1:17" outlineLevel="2" x14ac:dyDescent="0.3">
      <c r="A1217" s="366" t="str">
        <f>IFERROR(VLOOKUP(RIGHT(E1217,3)+0,[1]SchLocTable!$A$2:$B$47,2,FALSE)," ")</f>
        <v xml:space="preserve"> </v>
      </c>
      <c r="B1217" s="366" t="str">
        <f>VLOOKUP(VALUE(D1217),$D$3:F$106,3,FALSE)</f>
        <v>Bilingual Education</v>
      </c>
      <c r="C1217" t="s">
        <v>314</v>
      </c>
      <c r="D1217">
        <v>810</v>
      </c>
      <c r="E1217" t="s">
        <v>559</v>
      </c>
      <c r="F1217" t="s">
        <v>560</v>
      </c>
      <c r="G1217" t="s">
        <v>319</v>
      </c>
      <c r="H1217" s="502">
        <v>51404</v>
      </c>
      <c r="I1217" s="415">
        <v>0</v>
      </c>
      <c r="J1217" s="415">
        <v>0</v>
      </c>
      <c r="K1217" s="415">
        <v>225</v>
      </c>
      <c r="L1217" s="415">
        <v>0</v>
      </c>
      <c r="M1217" s="415">
        <v>0</v>
      </c>
      <c r="N1217" s="415">
        <v>0</v>
      </c>
      <c r="O1217" s="415">
        <v>0</v>
      </c>
      <c r="P1217" s="415">
        <v>0</v>
      </c>
      <c r="Q1217" s="481">
        <f t="shared" si="65"/>
        <v>0</v>
      </c>
    </row>
    <row r="1218" spans="1:17" outlineLevel="2" x14ac:dyDescent="0.3">
      <c r="A1218" s="366" t="str">
        <f>IFERROR(VLOOKUP(RIGHT(E1218,3)+0,[1]SchLocTable!$A$2:$B$47,2,FALSE)," ")</f>
        <v xml:space="preserve"> </v>
      </c>
      <c r="B1218" s="366" t="str">
        <f>VLOOKUP(VALUE(D1218),$D$3:F$106,3,FALSE)</f>
        <v>Bilingual Aides</v>
      </c>
      <c r="C1218" t="s">
        <v>314</v>
      </c>
      <c r="D1218">
        <v>811</v>
      </c>
      <c r="E1218" t="s">
        <v>561</v>
      </c>
      <c r="F1218" t="s">
        <v>318</v>
      </c>
      <c r="G1218" t="s">
        <v>319</v>
      </c>
      <c r="H1218" s="502">
        <v>51140</v>
      </c>
      <c r="I1218" s="415">
        <v>0</v>
      </c>
      <c r="J1218" s="415">
        <v>0</v>
      </c>
      <c r="K1218" s="415">
        <v>0</v>
      </c>
      <c r="L1218" s="415">
        <v>2590</v>
      </c>
      <c r="M1218" s="415">
        <v>0</v>
      </c>
      <c r="N1218" s="415">
        <v>0</v>
      </c>
      <c r="O1218" s="415">
        <v>0</v>
      </c>
      <c r="P1218" s="415">
        <v>0</v>
      </c>
      <c r="Q1218" s="481">
        <f t="shared" si="65"/>
        <v>0</v>
      </c>
    </row>
    <row r="1219" spans="1:17" outlineLevel="2" x14ac:dyDescent="0.3">
      <c r="A1219" s="366" t="str">
        <f>IFERROR(VLOOKUP(RIGHT(E1219,3)+0,[1]SchLocTable!$A$2:$B$47,2,FALSE)," ")</f>
        <v xml:space="preserve"> </v>
      </c>
      <c r="B1219" s="366" t="str">
        <f>VLOOKUP(VALUE(D1219),$D$3:F$106,3,FALSE)</f>
        <v>Bilingual Aides</v>
      </c>
      <c r="C1219" t="s">
        <v>314</v>
      </c>
      <c r="D1219">
        <v>811</v>
      </c>
      <c r="E1219" t="s">
        <v>561</v>
      </c>
      <c r="F1219" t="s">
        <v>320</v>
      </c>
      <c r="G1219" t="s">
        <v>319</v>
      </c>
      <c r="H1219" s="502">
        <v>52360</v>
      </c>
      <c r="I1219" s="415">
        <v>0</v>
      </c>
      <c r="J1219" s="415">
        <v>0</v>
      </c>
      <c r="K1219" s="415">
        <v>0</v>
      </c>
      <c r="L1219" s="415">
        <v>37.549999999999997</v>
      </c>
      <c r="M1219" s="415">
        <v>0</v>
      </c>
      <c r="N1219" s="415">
        <v>0</v>
      </c>
      <c r="O1219" s="415">
        <v>0</v>
      </c>
      <c r="P1219" s="415">
        <v>0</v>
      </c>
      <c r="Q1219" s="481">
        <f t="shared" si="65"/>
        <v>0</v>
      </c>
    </row>
    <row r="1220" spans="1:17" outlineLevel="2" x14ac:dyDescent="0.3">
      <c r="A1220" s="366" t="str">
        <f>IFERROR(VLOOKUP(RIGHT(E1220,3)+0,[1]SchLocTable!$A$2:$B$47,2,FALSE)," ")</f>
        <v xml:space="preserve"> </v>
      </c>
      <c r="B1220" s="366" t="str">
        <f>VLOOKUP(VALUE(D1220),$D$3:F$106,3,FALSE)</f>
        <v>Bilingual Aides</v>
      </c>
      <c r="C1220" t="s">
        <v>314</v>
      </c>
      <c r="D1220">
        <v>811</v>
      </c>
      <c r="E1220" t="s">
        <v>561</v>
      </c>
      <c r="F1220" t="s">
        <v>392</v>
      </c>
      <c r="G1220" t="s">
        <v>319</v>
      </c>
      <c r="H1220" s="502">
        <v>52504</v>
      </c>
      <c r="I1220" s="415">
        <v>0</v>
      </c>
      <c r="J1220" s="415">
        <v>0</v>
      </c>
      <c r="K1220" s="415">
        <v>0</v>
      </c>
      <c r="L1220" s="415">
        <v>528.11</v>
      </c>
      <c r="M1220" s="415">
        <v>0</v>
      </c>
      <c r="N1220" s="415">
        <v>0</v>
      </c>
      <c r="O1220" s="415">
        <v>0</v>
      </c>
      <c r="P1220" s="415">
        <v>0</v>
      </c>
      <c r="Q1220" s="481">
        <f t="shared" si="65"/>
        <v>0</v>
      </c>
    </row>
    <row r="1221" spans="1:17" outlineLevel="2" x14ac:dyDescent="0.3">
      <c r="A1221" s="366" t="str">
        <f>IFERROR(VLOOKUP(RIGHT(E1221,3)+0,[1]SchLocTable!$A$2:$B$47,2,FALSE)," ")</f>
        <v>Columbus</v>
      </c>
      <c r="B1221" s="366" t="str">
        <f>VLOOKUP(VALUE(D1221),$D$3:F$106,3,FALSE)</f>
        <v>Bilingual Aides</v>
      </c>
      <c r="C1221" t="s">
        <v>314</v>
      </c>
      <c r="D1221">
        <v>811</v>
      </c>
      <c r="E1221" t="s">
        <v>562</v>
      </c>
      <c r="F1221" t="s">
        <v>318</v>
      </c>
      <c r="G1221" t="s">
        <v>319</v>
      </c>
      <c r="H1221" s="502">
        <v>51140</v>
      </c>
      <c r="I1221" s="415">
        <v>0</v>
      </c>
      <c r="J1221" s="415">
        <v>0</v>
      </c>
      <c r="K1221" s="415">
        <v>0</v>
      </c>
      <c r="L1221" s="415">
        <v>1800</v>
      </c>
      <c r="M1221" s="415">
        <v>0</v>
      </c>
      <c r="N1221" s="415">
        <v>0</v>
      </c>
      <c r="O1221" s="415">
        <v>0</v>
      </c>
      <c r="P1221" s="415">
        <v>0</v>
      </c>
      <c r="Q1221" s="481">
        <f t="shared" si="65"/>
        <v>0</v>
      </c>
    </row>
    <row r="1222" spans="1:17" outlineLevel="2" x14ac:dyDescent="0.3">
      <c r="A1222" s="366" t="str">
        <f>IFERROR(VLOOKUP(RIGHT(E1222,3)+0,[1]SchLocTable!$A$2:$B$47,2,FALSE)," ")</f>
        <v>Columbus</v>
      </c>
      <c r="B1222" s="366" t="str">
        <f>VLOOKUP(VALUE(D1222),$D$3:F$106,3,FALSE)</f>
        <v>Bilingual Aides</v>
      </c>
      <c r="C1222" t="s">
        <v>314</v>
      </c>
      <c r="D1222">
        <v>811</v>
      </c>
      <c r="E1222" t="s">
        <v>562</v>
      </c>
      <c r="F1222" t="s">
        <v>320</v>
      </c>
      <c r="G1222" t="s">
        <v>319</v>
      </c>
      <c r="H1222" s="502">
        <v>52360</v>
      </c>
      <c r="I1222" s="415">
        <v>0</v>
      </c>
      <c r="J1222" s="415">
        <v>0</v>
      </c>
      <c r="K1222" s="415">
        <v>0</v>
      </c>
      <c r="L1222" s="415">
        <v>26.1</v>
      </c>
      <c r="M1222" s="415">
        <v>0</v>
      </c>
      <c r="N1222" s="415">
        <v>0</v>
      </c>
      <c r="O1222" s="415">
        <v>0</v>
      </c>
      <c r="P1222" s="415">
        <v>0</v>
      </c>
      <c r="Q1222" s="481">
        <f t="shared" si="65"/>
        <v>0</v>
      </c>
    </row>
    <row r="1223" spans="1:17" outlineLevel="2" x14ac:dyDescent="0.3">
      <c r="A1223" s="366" t="str">
        <f>IFERROR(VLOOKUP(RIGHT(E1223,3)+0,[1]SchLocTable!$A$2:$B$47,2,FALSE)," ")</f>
        <v>Columbus</v>
      </c>
      <c r="B1223" s="366" t="str">
        <f>VLOOKUP(VALUE(D1223),$D$3:F$106,3,FALSE)</f>
        <v>Bilingual Aides</v>
      </c>
      <c r="C1223" t="s">
        <v>314</v>
      </c>
      <c r="D1223">
        <v>811</v>
      </c>
      <c r="E1223" t="s">
        <v>562</v>
      </c>
      <c r="F1223" t="s">
        <v>392</v>
      </c>
      <c r="G1223" t="s">
        <v>319</v>
      </c>
      <c r="H1223" s="502">
        <v>52504</v>
      </c>
      <c r="I1223" s="415">
        <v>0</v>
      </c>
      <c r="J1223" s="415">
        <v>0</v>
      </c>
      <c r="K1223" s="415">
        <v>0</v>
      </c>
      <c r="L1223" s="415">
        <v>367.02</v>
      </c>
      <c r="M1223" s="415">
        <v>0</v>
      </c>
      <c r="N1223" s="415">
        <v>0</v>
      </c>
      <c r="O1223" s="415">
        <v>0</v>
      </c>
      <c r="P1223" s="415">
        <v>0</v>
      </c>
      <c r="Q1223" s="481">
        <f t="shared" si="65"/>
        <v>0</v>
      </c>
    </row>
    <row r="1224" spans="1:17" outlineLevel="2" x14ac:dyDescent="0.3">
      <c r="A1224" s="366" t="str">
        <f>IFERROR(VLOOKUP(RIGHT(E1224,3)+0,[1]SchLocTable!$A$2:$B$47,2,FALSE)," ")</f>
        <v>Batalla</v>
      </c>
      <c r="B1224" s="366" t="str">
        <f>VLOOKUP(VALUE(D1224),$D$3:F$106,3,FALSE)</f>
        <v>Bilingual Aides</v>
      </c>
      <c r="C1224" t="s">
        <v>314</v>
      </c>
      <c r="D1224">
        <v>811</v>
      </c>
      <c r="E1224" t="s">
        <v>563</v>
      </c>
      <c r="F1224" t="s">
        <v>318</v>
      </c>
      <c r="G1224" t="s">
        <v>319</v>
      </c>
      <c r="H1224" s="502">
        <v>51140</v>
      </c>
      <c r="I1224" s="415">
        <v>0</v>
      </c>
      <c r="J1224" s="415">
        <v>0</v>
      </c>
      <c r="K1224" s="415">
        <v>0</v>
      </c>
      <c r="L1224" s="415">
        <v>3600</v>
      </c>
      <c r="M1224" s="415">
        <v>0</v>
      </c>
      <c r="N1224" s="415">
        <v>0</v>
      </c>
      <c r="O1224" s="415">
        <v>0</v>
      </c>
      <c r="P1224" s="415">
        <v>0</v>
      </c>
      <c r="Q1224" s="481">
        <f t="shared" si="65"/>
        <v>0</v>
      </c>
    </row>
    <row r="1225" spans="1:17" outlineLevel="2" x14ac:dyDescent="0.3">
      <c r="A1225" s="366" t="str">
        <f>IFERROR(VLOOKUP(RIGHT(E1225,3)+0,[1]SchLocTable!$A$2:$B$47,2,FALSE)," ")</f>
        <v>Batalla</v>
      </c>
      <c r="B1225" s="366" t="str">
        <f>VLOOKUP(VALUE(D1225),$D$3:F$106,3,FALSE)</f>
        <v>Bilingual Aides</v>
      </c>
      <c r="C1225" t="s">
        <v>314</v>
      </c>
      <c r="D1225">
        <v>811</v>
      </c>
      <c r="E1225" t="s">
        <v>563</v>
      </c>
      <c r="F1225" t="s">
        <v>320</v>
      </c>
      <c r="G1225" t="s">
        <v>319</v>
      </c>
      <c r="H1225" s="502">
        <v>52360</v>
      </c>
      <c r="I1225" s="415">
        <v>0</v>
      </c>
      <c r="J1225" s="415">
        <v>0</v>
      </c>
      <c r="K1225" s="415">
        <v>0</v>
      </c>
      <c r="L1225" s="415">
        <v>51.3</v>
      </c>
      <c r="M1225" s="415">
        <v>0</v>
      </c>
      <c r="N1225" s="415">
        <v>0</v>
      </c>
      <c r="O1225" s="415">
        <v>0</v>
      </c>
      <c r="P1225" s="415">
        <v>0</v>
      </c>
      <c r="Q1225" s="481">
        <f t="shared" si="65"/>
        <v>0</v>
      </c>
    </row>
    <row r="1226" spans="1:17" outlineLevel="2" x14ac:dyDescent="0.3">
      <c r="A1226" s="366" t="str">
        <f>IFERROR(VLOOKUP(RIGHT(E1226,3)+0,[1]SchLocTable!$A$2:$B$47,2,FALSE)," ")</f>
        <v>Batalla</v>
      </c>
      <c r="B1226" s="366" t="str">
        <f>VLOOKUP(VALUE(D1226),$D$3:F$106,3,FALSE)</f>
        <v>Bilingual Aides</v>
      </c>
      <c r="C1226" t="s">
        <v>314</v>
      </c>
      <c r="D1226">
        <v>811</v>
      </c>
      <c r="E1226" t="s">
        <v>563</v>
      </c>
      <c r="F1226" t="s">
        <v>392</v>
      </c>
      <c r="G1226" t="s">
        <v>319</v>
      </c>
      <c r="H1226" s="502">
        <v>52504</v>
      </c>
      <c r="I1226" s="415">
        <v>0</v>
      </c>
      <c r="J1226" s="415">
        <v>0</v>
      </c>
      <c r="K1226" s="415">
        <v>0</v>
      </c>
      <c r="L1226" s="415">
        <v>734.04</v>
      </c>
      <c r="M1226" s="415">
        <v>0</v>
      </c>
      <c r="N1226" s="415">
        <v>0</v>
      </c>
      <c r="O1226" s="415">
        <v>0</v>
      </c>
      <c r="P1226" s="415">
        <v>0</v>
      </c>
      <c r="Q1226" s="481">
        <f t="shared" si="65"/>
        <v>0</v>
      </c>
    </row>
    <row r="1227" spans="1:17" outlineLevel="2" x14ac:dyDescent="0.3">
      <c r="A1227" s="366" t="str">
        <f>IFERROR(VLOOKUP(RIGHT(E1227,3)+0,[1]SchLocTable!$A$2:$B$47,2,FALSE)," ")</f>
        <v>Roosevelt</v>
      </c>
      <c r="B1227" s="366" t="str">
        <f>VLOOKUP(VALUE(D1227),$D$3:F$106,3,FALSE)</f>
        <v>Bilingual Aides</v>
      </c>
      <c r="C1227" t="s">
        <v>314</v>
      </c>
      <c r="D1227">
        <v>811</v>
      </c>
      <c r="E1227" t="s">
        <v>564</v>
      </c>
      <c r="F1227" t="s">
        <v>318</v>
      </c>
      <c r="G1227" t="s">
        <v>319</v>
      </c>
      <c r="H1227" s="502">
        <v>51140</v>
      </c>
      <c r="I1227" s="415">
        <v>0</v>
      </c>
      <c r="J1227" s="415">
        <v>0</v>
      </c>
      <c r="K1227" s="415">
        <v>0</v>
      </c>
      <c r="L1227" s="415">
        <v>1330</v>
      </c>
      <c r="M1227" s="415">
        <v>0</v>
      </c>
      <c r="N1227" s="415">
        <v>0</v>
      </c>
      <c r="O1227" s="415">
        <v>0</v>
      </c>
      <c r="P1227" s="415">
        <v>0</v>
      </c>
      <c r="Q1227" s="481">
        <f t="shared" si="65"/>
        <v>0</v>
      </c>
    </row>
    <row r="1228" spans="1:17" outlineLevel="2" x14ac:dyDescent="0.3">
      <c r="A1228" s="366" t="str">
        <f>IFERROR(VLOOKUP(RIGHT(E1228,3)+0,[1]SchLocTable!$A$2:$B$47,2,FALSE)," ")</f>
        <v>Roosevelt</v>
      </c>
      <c r="B1228" s="366" t="str">
        <f>VLOOKUP(VALUE(D1228),$D$3:F$106,3,FALSE)</f>
        <v>Bilingual Aides</v>
      </c>
      <c r="C1228" t="s">
        <v>314</v>
      </c>
      <c r="D1228">
        <v>811</v>
      </c>
      <c r="E1228" t="s">
        <v>564</v>
      </c>
      <c r="F1228" t="s">
        <v>320</v>
      </c>
      <c r="G1228" t="s">
        <v>319</v>
      </c>
      <c r="H1228" s="502">
        <v>52360</v>
      </c>
      <c r="I1228" s="415">
        <v>0</v>
      </c>
      <c r="J1228" s="415">
        <v>0</v>
      </c>
      <c r="K1228" s="415">
        <v>0</v>
      </c>
      <c r="L1228" s="415">
        <v>18.649999999999999</v>
      </c>
      <c r="M1228" s="415">
        <v>0</v>
      </c>
      <c r="N1228" s="415">
        <v>0</v>
      </c>
      <c r="O1228" s="415">
        <v>0</v>
      </c>
      <c r="P1228" s="415">
        <v>0</v>
      </c>
      <c r="Q1228" s="481">
        <f t="shared" si="65"/>
        <v>0</v>
      </c>
    </row>
    <row r="1229" spans="1:17" outlineLevel="2" x14ac:dyDescent="0.3">
      <c r="A1229" s="366" t="str">
        <f>IFERROR(VLOOKUP(RIGHT(E1229,3)+0,[1]SchLocTable!$A$2:$B$47,2,FALSE)," ")</f>
        <v>Roosevelt</v>
      </c>
      <c r="B1229" s="366" t="str">
        <f>VLOOKUP(VALUE(D1229),$D$3:F$106,3,FALSE)</f>
        <v>Bilingual Aides</v>
      </c>
      <c r="C1229" t="s">
        <v>314</v>
      </c>
      <c r="D1229">
        <v>811</v>
      </c>
      <c r="E1229" t="s">
        <v>564</v>
      </c>
      <c r="F1229" t="s">
        <v>392</v>
      </c>
      <c r="G1229" t="s">
        <v>319</v>
      </c>
      <c r="H1229" s="502">
        <v>52504</v>
      </c>
      <c r="I1229" s="415">
        <v>0</v>
      </c>
      <c r="J1229" s="415">
        <v>0</v>
      </c>
      <c r="K1229" s="415">
        <v>0</v>
      </c>
      <c r="L1229" s="415">
        <v>271.19</v>
      </c>
      <c r="M1229" s="415">
        <v>0</v>
      </c>
      <c r="N1229" s="415">
        <v>0</v>
      </c>
      <c r="O1229" s="415">
        <v>0</v>
      </c>
      <c r="P1229" s="415">
        <v>0</v>
      </c>
      <c r="Q1229" s="481">
        <f t="shared" si="65"/>
        <v>0</v>
      </c>
    </row>
    <row r="1230" spans="1:17" outlineLevel="2" x14ac:dyDescent="0.3">
      <c r="A1230" s="366" t="str">
        <f>IFERROR(VLOOKUP(RIGHT(E1230,3)+0,[1]SchLocTable!$A$2:$B$47,2,FALSE)," ")</f>
        <v>Curiale</v>
      </c>
      <c r="B1230" s="366" t="str">
        <f>VLOOKUP(VALUE(D1230),$D$3:F$106,3,FALSE)</f>
        <v>Bilingual Aides</v>
      </c>
      <c r="C1230" t="s">
        <v>314</v>
      </c>
      <c r="D1230">
        <v>811</v>
      </c>
      <c r="E1230" t="s">
        <v>565</v>
      </c>
      <c r="F1230" t="s">
        <v>318</v>
      </c>
      <c r="G1230" t="s">
        <v>319</v>
      </c>
      <c r="H1230" s="502">
        <v>51140</v>
      </c>
      <c r="I1230" s="415">
        <v>0</v>
      </c>
      <c r="J1230" s="415">
        <v>0</v>
      </c>
      <c r="K1230" s="415">
        <v>0</v>
      </c>
      <c r="L1230" s="415">
        <v>1800</v>
      </c>
      <c r="M1230" s="415">
        <v>0</v>
      </c>
      <c r="N1230" s="415">
        <v>0</v>
      </c>
      <c r="O1230" s="415">
        <v>0</v>
      </c>
      <c r="P1230" s="415">
        <v>0</v>
      </c>
      <c r="Q1230" s="481">
        <f t="shared" si="65"/>
        <v>0</v>
      </c>
    </row>
    <row r="1231" spans="1:17" outlineLevel="2" x14ac:dyDescent="0.3">
      <c r="A1231" s="366" t="str">
        <f>IFERROR(VLOOKUP(RIGHT(E1231,3)+0,[1]SchLocTable!$A$2:$B$47,2,FALSE)," ")</f>
        <v>Curiale</v>
      </c>
      <c r="B1231" s="366" t="str">
        <f>VLOOKUP(VALUE(D1231),$D$3:F$106,3,FALSE)</f>
        <v>Bilingual Aides</v>
      </c>
      <c r="C1231" t="s">
        <v>314</v>
      </c>
      <c r="D1231">
        <v>811</v>
      </c>
      <c r="E1231" t="s">
        <v>565</v>
      </c>
      <c r="F1231" t="s">
        <v>320</v>
      </c>
      <c r="G1231" t="s">
        <v>319</v>
      </c>
      <c r="H1231" s="502">
        <v>52360</v>
      </c>
      <c r="I1231" s="415">
        <v>0</v>
      </c>
      <c r="J1231" s="415">
        <v>0</v>
      </c>
      <c r="K1231" s="415">
        <v>0</v>
      </c>
      <c r="L1231" s="415">
        <v>26.1</v>
      </c>
      <c r="M1231" s="415">
        <v>0</v>
      </c>
      <c r="N1231" s="415">
        <v>0</v>
      </c>
      <c r="O1231" s="415">
        <v>0</v>
      </c>
      <c r="P1231" s="415">
        <v>0</v>
      </c>
      <c r="Q1231" s="481">
        <f t="shared" si="65"/>
        <v>0</v>
      </c>
    </row>
    <row r="1232" spans="1:17" outlineLevel="2" x14ac:dyDescent="0.3">
      <c r="A1232" s="366" t="str">
        <f>IFERROR(VLOOKUP(RIGHT(E1232,3)+0,[1]SchLocTable!$A$2:$B$47,2,FALSE)," ")</f>
        <v>Curiale</v>
      </c>
      <c r="B1232" s="366" t="str">
        <f>VLOOKUP(VALUE(D1232),$D$3:F$106,3,FALSE)</f>
        <v>Bilingual Aides</v>
      </c>
      <c r="C1232" t="s">
        <v>314</v>
      </c>
      <c r="D1232">
        <v>811</v>
      </c>
      <c r="E1232" t="s">
        <v>565</v>
      </c>
      <c r="F1232" t="s">
        <v>392</v>
      </c>
      <c r="G1232" t="s">
        <v>319</v>
      </c>
      <c r="H1232" s="502">
        <v>52504</v>
      </c>
      <c r="I1232" s="415">
        <v>0</v>
      </c>
      <c r="J1232" s="415">
        <v>0</v>
      </c>
      <c r="K1232" s="415">
        <v>0</v>
      </c>
      <c r="L1232" s="415">
        <v>367.02</v>
      </c>
      <c r="M1232" s="415">
        <v>0</v>
      </c>
      <c r="N1232" s="415">
        <v>0</v>
      </c>
      <c r="O1232" s="415">
        <v>0</v>
      </c>
      <c r="P1232" s="415">
        <v>0</v>
      </c>
      <c r="Q1232" s="481">
        <f t="shared" si="65"/>
        <v>0</v>
      </c>
    </row>
    <row r="1233" spans="1:17" outlineLevel="2" x14ac:dyDescent="0.3">
      <c r="A1233" s="366" t="str">
        <f>IFERROR(VLOOKUP(RIGHT(E1233,3)+0,[1]SchLocTable!$A$2:$B$47,2,FALSE)," ")</f>
        <v>Physical Science HS</v>
      </c>
      <c r="B1233" s="366" t="str">
        <f>VLOOKUP(VALUE(D1233),$D$3:F$106,3,FALSE)</f>
        <v>World Languages</v>
      </c>
      <c r="C1233" t="s">
        <v>314</v>
      </c>
      <c r="D1233">
        <v>812</v>
      </c>
      <c r="E1233" t="s">
        <v>566</v>
      </c>
      <c r="F1233" t="s">
        <v>316</v>
      </c>
      <c r="G1233">
        <v>1</v>
      </c>
      <c r="H1233" s="502">
        <v>51000</v>
      </c>
      <c r="I1233" s="415">
        <v>55242.609449999996</v>
      </c>
      <c r="J1233" s="415">
        <v>0</v>
      </c>
      <c r="K1233" s="415">
        <v>53366.55</v>
      </c>
      <c r="L1233" s="415">
        <v>100497.02</v>
      </c>
      <c r="M1233" s="415">
        <v>84011.9</v>
      </c>
      <c r="N1233" s="415">
        <v>112387.88</v>
      </c>
      <c r="O1233" s="415">
        <v>90106.92</v>
      </c>
      <c r="P1233" s="415">
        <v>91593.98</v>
      </c>
      <c r="Q1233" s="481">
        <f t="shared" si="65"/>
        <v>-55242.609449999996</v>
      </c>
    </row>
    <row r="1234" spans="1:17" outlineLevel="2" x14ac:dyDescent="0.3">
      <c r="A1234" s="366" t="str">
        <f>IFERROR(VLOOKUP(RIGHT(E1234,3)+0,[1]SchLocTable!$A$2:$B$47,2,FALSE)," ")</f>
        <v>Physical Science HS</v>
      </c>
      <c r="B1234" s="366" t="str">
        <f>VLOOKUP(VALUE(D1234),$D$3:F$106,3,FALSE)</f>
        <v>World Languages</v>
      </c>
      <c r="C1234" t="s">
        <v>314</v>
      </c>
      <c r="D1234">
        <v>812</v>
      </c>
      <c r="E1234" t="s">
        <v>566</v>
      </c>
      <c r="F1234" t="s">
        <v>321</v>
      </c>
      <c r="G1234" t="s">
        <v>319</v>
      </c>
      <c r="H1234" s="502">
        <v>52917</v>
      </c>
      <c r="I1234" s="415">
        <v>0</v>
      </c>
      <c r="J1234" s="415">
        <v>0</v>
      </c>
      <c r="K1234" s="415">
        <v>4512</v>
      </c>
      <c r="L1234" s="415">
        <v>11684.82</v>
      </c>
      <c r="M1234" s="415">
        <v>10956.75</v>
      </c>
      <c r="N1234" s="415">
        <v>10232.879999999999</v>
      </c>
      <c r="O1234" s="415">
        <v>9817.68</v>
      </c>
      <c r="P1234" s="415">
        <v>9245.67</v>
      </c>
      <c r="Q1234" s="481">
        <f t="shared" si="65"/>
        <v>0</v>
      </c>
    </row>
    <row r="1235" spans="1:17" outlineLevel="2" x14ac:dyDescent="0.3">
      <c r="A1235" s="366" t="str">
        <f>IFERROR(VLOOKUP(RIGHT(E1235,3)+0,[1]SchLocTable!$A$2:$B$47,2,FALSE)," ")</f>
        <v>Physical Science HS</v>
      </c>
      <c r="B1235" s="366" t="str">
        <f>VLOOKUP(VALUE(D1235),$D$3:F$106,3,FALSE)</f>
        <v>World Languages</v>
      </c>
      <c r="C1235" t="s">
        <v>314</v>
      </c>
      <c r="D1235">
        <v>812</v>
      </c>
      <c r="E1235" t="s">
        <v>566</v>
      </c>
      <c r="F1235" t="s">
        <v>318</v>
      </c>
      <c r="G1235" t="s">
        <v>319</v>
      </c>
      <c r="H1235" s="502">
        <v>51140</v>
      </c>
      <c r="I1235" s="415">
        <v>0</v>
      </c>
      <c r="J1235" s="415">
        <v>0</v>
      </c>
      <c r="K1235" s="415">
        <v>900</v>
      </c>
      <c r="L1235" s="415">
        <v>900</v>
      </c>
      <c r="M1235" s="415">
        <v>900</v>
      </c>
      <c r="N1235" s="415">
        <v>900</v>
      </c>
      <c r="O1235" s="415">
        <v>900</v>
      </c>
      <c r="P1235" s="415">
        <v>900</v>
      </c>
      <c r="Q1235" s="481">
        <f t="shared" si="65"/>
        <v>0</v>
      </c>
    </row>
    <row r="1236" spans="1:17" outlineLevel="2" x14ac:dyDescent="0.3">
      <c r="A1236" s="366" t="str">
        <f>IFERROR(VLOOKUP(RIGHT(E1236,3)+0,[1]SchLocTable!$A$2:$B$47,2,FALSE)," ")</f>
        <v>Physical Science HS</v>
      </c>
      <c r="B1236" s="366" t="str">
        <f>VLOOKUP(VALUE(D1236),$D$3:F$106,3,FALSE)</f>
        <v>World Languages</v>
      </c>
      <c r="C1236" t="s">
        <v>314</v>
      </c>
      <c r="D1236">
        <v>812</v>
      </c>
      <c r="E1236" t="s">
        <v>566</v>
      </c>
      <c r="F1236" t="s">
        <v>320</v>
      </c>
      <c r="G1236" t="s">
        <v>319</v>
      </c>
      <c r="H1236" s="502">
        <v>52360</v>
      </c>
      <c r="I1236" s="415">
        <v>801.01783702499995</v>
      </c>
      <c r="J1236" s="415">
        <v>0</v>
      </c>
      <c r="K1236" s="415">
        <v>761.81</v>
      </c>
      <c r="L1236" s="415">
        <v>1404.45</v>
      </c>
      <c r="M1236" s="415">
        <v>1387.17</v>
      </c>
      <c r="N1236" s="415">
        <v>1387.54</v>
      </c>
      <c r="O1236" s="415">
        <v>1369.31</v>
      </c>
      <c r="P1236" s="415">
        <v>1350.04</v>
      </c>
      <c r="Q1236" s="481">
        <f t="shared" si="65"/>
        <v>-801.01783702499995</v>
      </c>
    </row>
    <row r="1237" spans="1:17" outlineLevel="2" x14ac:dyDescent="0.3">
      <c r="A1237" s="366" t="str">
        <f>IFERROR(VLOOKUP(RIGHT(E1237,3)+0,[1]SchLocTable!$A$2:$B$47,2,FALSE)," ")</f>
        <v>Physical Science HS</v>
      </c>
      <c r="B1237" s="366" t="str">
        <f>VLOOKUP(VALUE(D1237),$D$3:F$106,3,FALSE)</f>
        <v>World Languages</v>
      </c>
      <c r="C1237" t="s">
        <v>314</v>
      </c>
      <c r="D1237">
        <v>812</v>
      </c>
      <c r="E1237" t="s">
        <v>566</v>
      </c>
      <c r="F1237" t="s">
        <v>324</v>
      </c>
      <c r="G1237" t="s">
        <v>319</v>
      </c>
      <c r="H1237" s="502">
        <v>52385</v>
      </c>
      <c r="I1237" s="415">
        <v>0</v>
      </c>
      <c r="J1237" s="415">
        <v>0</v>
      </c>
      <c r="K1237" s="415">
        <v>651</v>
      </c>
      <c r="L1237" s="415">
        <v>0</v>
      </c>
      <c r="M1237" s="415">
        <v>0</v>
      </c>
      <c r="N1237" s="415">
        <v>0</v>
      </c>
      <c r="O1237" s="415">
        <v>0</v>
      </c>
      <c r="P1237" s="415">
        <v>0</v>
      </c>
      <c r="Q1237" s="481">
        <f t="shared" si="65"/>
        <v>0</v>
      </c>
    </row>
    <row r="1238" spans="1:17" outlineLevel="2" x14ac:dyDescent="0.3">
      <c r="A1238" s="366" t="str">
        <f>IFERROR(VLOOKUP(RIGHT(E1238,3)+0,[1]SchLocTable!$A$2:$B$47,2,FALSE)," ")</f>
        <v>Batalla</v>
      </c>
      <c r="B1238" s="366" t="str">
        <f>VLOOKUP(VALUE(D1238),$D$3:F$106,3,FALSE)</f>
        <v>World Languages</v>
      </c>
      <c r="C1238" t="s">
        <v>314</v>
      </c>
      <c r="D1238">
        <v>812</v>
      </c>
      <c r="E1238" t="s">
        <v>567</v>
      </c>
      <c r="F1238" t="s">
        <v>316</v>
      </c>
      <c r="G1238">
        <v>4</v>
      </c>
      <c r="H1238" s="502">
        <v>51000</v>
      </c>
      <c r="I1238" s="415">
        <v>296221.24205999996</v>
      </c>
      <c r="J1238" s="415">
        <v>95393</v>
      </c>
      <c r="K1238" s="415">
        <v>93293.98</v>
      </c>
      <c r="L1238" s="415">
        <v>69327.960000000006</v>
      </c>
      <c r="M1238" s="415">
        <v>87163.79</v>
      </c>
      <c r="N1238" s="415">
        <v>115650.3</v>
      </c>
      <c r="O1238" s="415">
        <v>60342.879999999997</v>
      </c>
      <c r="P1238" s="415">
        <v>59392.06</v>
      </c>
      <c r="Q1238" s="481">
        <f t="shared" si="65"/>
        <v>-200828.24205999996</v>
      </c>
    </row>
    <row r="1239" spans="1:17" outlineLevel="2" x14ac:dyDescent="0.3">
      <c r="A1239" s="366" t="str">
        <f>IFERROR(VLOOKUP(RIGHT(E1239,3)+0,[1]SchLocTable!$A$2:$B$47,2,FALSE)," ")</f>
        <v>Batalla</v>
      </c>
      <c r="B1239" s="366" t="str">
        <f>VLOOKUP(VALUE(D1239),$D$3:F$106,3,FALSE)</f>
        <v>World Languages</v>
      </c>
      <c r="C1239" t="s">
        <v>314</v>
      </c>
      <c r="D1239">
        <v>812</v>
      </c>
      <c r="E1239" t="s">
        <v>567</v>
      </c>
      <c r="F1239" t="s">
        <v>360</v>
      </c>
      <c r="G1239" t="s">
        <v>319</v>
      </c>
      <c r="H1239" s="502">
        <v>52920</v>
      </c>
      <c r="I1239" s="415">
        <v>666.68</v>
      </c>
      <c r="J1239" s="415">
        <v>0</v>
      </c>
      <c r="K1239" s="415">
        <v>0</v>
      </c>
      <c r="L1239" s="415">
        <v>0</v>
      </c>
      <c r="M1239" s="415">
        <v>0</v>
      </c>
      <c r="N1239" s="415">
        <v>0</v>
      </c>
      <c r="O1239" s="415">
        <v>0</v>
      </c>
      <c r="P1239" s="415">
        <v>0</v>
      </c>
      <c r="Q1239" s="481">
        <f t="shared" si="65"/>
        <v>-666.68</v>
      </c>
    </row>
    <row r="1240" spans="1:17" outlineLevel="2" x14ac:dyDescent="0.3">
      <c r="A1240" s="366" t="str">
        <f>IFERROR(VLOOKUP(RIGHT(E1240,3)+0,[1]SchLocTable!$A$2:$B$47,2,FALSE)," ")</f>
        <v>Batalla</v>
      </c>
      <c r="B1240" s="366" t="str">
        <f>VLOOKUP(VALUE(D1240),$D$3:F$106,3,FALSE)</f>
        <v>World Languages</v>
      </c>
      <c r="C1240" t="s">
        <v>314</v>
      </c>
      <c r="D1240">
        <v>812</v>
      </c>
      <c r="E1240" t="s">
        <v>567</v>
      </c>
      <c r="F1240" t="s">
        <v>321</v>
      </c>
      <c r="G1240" t="s">
        <v>319</v>
      </c>
      <c r="H1240" s="502">
        <v>52917</v>
      </c>
      <c r="I1240" s="415">
        <v>63600.623999999996</v>
      </c>
      <c r="J1240" s="415">
        <v>16070</v>
      </c>
      <c r="K1240" s="415">
        <v>11844</v>
      </c>
      <c r="L1240" s="415">
        <v>11684.82</v>
      </c>
      <c r="M1240" s="415">
        <v>15655.5</v>
      </c>
      <c r="N1240" s="415">
        <v>10232.879999999999</v>
      </c>
      <c r="O1240" s="415">
        <v>9817.68</v>
      </c>
      <c r="P1240" s="415">
        <v>9245.67</v>
      </c>
      <c r="Q1240" s="481">
        <f t="shared" si="65"/>
        <v>-47530.623999999996</v>
      </c>
    </row>
    <row r="1241" spans="1:17" outlineLevel="2" x14ac:dyDescent="0.3">
      <c r="A1241" s="366" t="str">
        <f>IFERROR(VLOOKUP(RIGHT(E1241,3)+0,[1]SchLocTable!$A$2:$B$47,2,FALSE)," ")</f>
        <v>Batalla</v>
      </c>
      <c r="B1241" s="366" t="str">
        <f>VLOOKUP(VALUE(D1241),$D$3:F$106,3,FALSE)</f>
        <v>World Languages</v>
      </c>
      <c r="C1241" t="s">
        <v>314</v>
      </c>
      <c r="D1241">
        <v>812</v>
      </c>
      <c r="E1241" t="s">
        <v>567</v>
      </c>
      <c r="F1241" t="s">
        <v>320</v>
      </c>
      <c r="G1241" t="s">
        <v>319</v>
      </c>
      <c r="H1241" s="502">
        <v>52360</v>
      </c>
      <c r="I1241" s="415">
        <v>4295.2080098700008</v>
      </c>
      <c r="J1241" s="415">
        <v>1313</v>
      </c>
      <c r="K1241" s="415">
        <v>1302.2</v>
      </c>
      <c r="L1241" s="415">
        <v>956.85</v>
      </c>
      <c r="M1241" s="415">
        <v>1200.8</v>
      </c>
      <c r="N1241" s="415">
        <v>1636.97</v>
      </c>
      <c r="O1241" s="415">
        <v>837.68</v>
      </c>
      <c r="P1241" s="415">
        <v>826.55</v>
      </c>
      <c r="Q1241" s="481">
        <f t="shared" si="65"/>
        <v>-2982.2080098700008</v>
      </c>
    </row>
    <row r="1242" spans="1:17" outlineLevel="2" x14ac:dyDescent="0.3">
      <c r="A1242" s="366" t="str">
        <f>IFERROR(VLOOKUP(RIGHT(E1242,3)+0,[1]SchLocTable!$A$2:$B$47,2,FALSE)," ")</f>
        <v>Batalla</v>
      </c>
      <c r="B1242" s="366" t="str">
        <f>VLOOKUP(VALUE(D1242),$D$3:F$106,3,FALSE)</f>
        <v>World Languages</v>
      </c>
      <c r="C1242" t="s">
        <v>314</v>
      </c>
      <c r="D1242">
        <v>812</v>
      </c>
      <c r="E1242" t="s">
        <v>567</v>
      </c>
      <c r="F1242" t="s">
        <v>324</v>
      </c>
      <c r="G1242" t="s">
        <v>319</v>
      </c>
      <c r="H1242" s="502">
        <v>52385</v>
      </c>
      <c r="I1242" s="415">
        <v>0</v>
      </c>
      <c r="J1242" s="415">
        <v>0</v>
      </c>
      <c r="K1242" s="415">
        <v>0</v>
      </c>
      <c r="L1242" s="415">
        <v>0</v>
      </c>
      <c r="M1242" s="415">
        <v>0</v>
      </c>
      <c r="N1242" s="415">
        <v>691.3</v>
      </c>
      <c r="O1242" s="415">
        <v>0</v>
      </c>
      <c r="P1242" s="415">
        <v>0</v>
      </c>
      <c r="Q1242" s="481">
        <f t="shared" si="65"/>
        <v>0</v>
      </c>
    </row>
    <row r="1243" spans="1:17" outlineLevel="2" x14ac:dyDescent="0.3">
      <c r="A1243" s="366" t="str">
        <f>IFERROR(VLOOKUP(RIGHT(E1243,3)+0,[1]SchLocTable!$A$2:$B$47,2,FALSE)," ")</f>
        <v>Info Tech HS</v>
      </c>
      <c r="B1243" s="366" t="str">
        <f>VLOOKUP(VALUE(D1243),$D$3:F$106,3,FALSE)</f>
        <v>World Languages</v>
      </c>
      <c r="C1243" t="s">
        <v>314</v>
      </c>
      <c r="D1243">
        <v>812</v>
      </c>
      <c r="E1243" t="s">
        <v>568</v>
      </c>
      <c r="F1243" t="s">
        <v>316</v>
      </c>
      <c r="G1243">
        <v>1</v>
      </c>
      <c r="H1243" s="502">
        <v>51000</v>
      </c>
      <c r="I1243" s="415">
        <v>110428.46490000001</v>
      </c>
      <c r="J1243" s="415">
        <v>105070</v>
      </c>
      <c r="K1243" s="415">
        <v>94155.1</v>
      </c>
      <c r="L1243" s="415">
        <v>88897.12</v>
      </c>
      <c r="M1243" s="415">
        <v>61668.32</v>
      </c>
      <c r="N1243" s="415">
        <v>149933.94</v>
      </c>
      <c r="O1243" s="415">
        <v>118364</v>
      </c>
      <c r="P1243" s="415">
        <v>117107.2</v>
      </c>
      <c r="Q1243" s="481">
        <f t="shared" si="65"/>
        <v>-5358.4649000000063</v>
      </c>
    </row>
    <row r="1244" spans="1:17" outlineLevel="2" x14ac:dyDescent="0.3">
      <c r="A1244" s="366" t="str">
        <f>IFERROR(VLOOKUP(RIGHT(E1244,3)+0,[1]SchLocTable!$A$2:$B$47,2,FALSE)," ")</f>
        <v>Info Tech HS</v>
      </c>
      <c r="B1244" s="366" t="str">
        <f>VLOOKUP(VALUE(D1244),$D$3:F$106,3,FALSE)</f>
        <v>World Languages</v>
      </c>
      <c r="C1244" t="s">
        <v>314</v>
      </c>
      <c r="D1244">
        <v>812</v>
      </c>
      <c r="E1244" t="s">
        <v>568</v>
      </c>
      <c r="F1244" t="s">
        <v>321</v>
      </c>
      <c r="G1244" t="s">
        <v>319</v>
      </c>
      <c r="H1244" s="502">
        <v>52917</v>
      </c>
      <c r="I1244" s="415">
        <v>15644.663999999999</v>
      </c>
      <c r="J1244" s="415">
        <v>13037.22</v>
      </c>
      <c r="K1244" s="415">
        <v>11844</v>
      </c>
      <c r="L1244" s="415">
        <v>11684.82</v>
      </c>
      <c r="M1244" s="415">
        <v>18490.52</v>
      </c>
      <c r="N1244" s="415">
        <v>24562.23</v>
      </c>
      <c r="O1244" s="415">
        <v>25906.02</v>
      </c>
      <c r="P1244" s="415">
        <v>20741.07</v>
      </c>
      <c r="Q1244" s="481">
        <f t="shared" si="65"/>
        <v>-2607.4439999999995</v>
      </c>
    </row>
    <row r="1245" spans="1:17" outlineLevel="2" x14ac:dyDescent="0.3">
      <c r="A1245" s="366" t="str">
        <f>IFERROR(VLOOKUP(RIGHT(E1245,3)+0,[1]SchLocTable!$A$2:$B$47,2,FALSE)," ")</f>
        <v>Info Tech HS</v>
      </c>
      <c r="B1245" s="366" t="str">
        <f>VLOOKUP(VALUE(D1245),$D$3:F$106,3,FALSE)</f>
        <v>World Languages</v>
      </c>
      <c r="C1245" t="s">
        <v>314</v>
      </c>
      <c r="D1245">
        <v>812</v>
      </c>
      <c r="E1245" t="s">
        <v>568</v>
      </c>
      <c r="F1245" t="s">
        <v>320</v>
      </c>
      <c r="G1245" t="s">
        <v>319</v>
      </c>
      <c r="H1245" s="502">
        <v>52360</v>
      </c>
      <c r="I1245" s="415">
        <v>1601.2127410500002</v>
      </c>
      <c r="J1245" s="415">
        <v>1453</v>
      </c>
      <c r="K1245" s="415">
        <v>1314.68</v>
      </c>
      <c r="L1245" s="415">
        <v>1240.6099999999999</v>
      </c>
      <c r="M1245" s="415">
        <v>1214.8599999999999</v>
      </c>
      <c r="N1245" s="415">
        <v>2225.83</v>
      </c>
      <c r="O1245" s="415">
        <v>1953.55</v>
      </c>
      <c r="P1245" s="415">
        <v>1916.69</v>
      </c>
      <c r="Q1245" s="481">
        <f t="shared" si="65"/>
        <v>-148.2127410500002</v>
      </c>
    </row>
    <row r="1246" spans="1:17" outlineLevel="2" x14ac:dyDescent="0.3">
      <c r="A1246" s="366" t="str">
        <f>IFERROR(VLOOKUP(RIGHT(E1246,3)+0,[1]SchLocTable!$A$2:$B$47,2,FALSE)," ")</f>
        <v>BMA HS</v>
      </c>
      <c r="B1246" s="366" t="str">
        <f>VLOOKUP(VALUE(D1246),$D$3:F$106,3,FALSE)</f>
        <v>World Languages</v>
      </c>
      <c r="C1246" t="s">
        <v>314</v>
      </c>
      <c r="D1246">
        <v>812</v>
      </c>
      <c r="E1246" t="s">
        <v>569</v>
      </c>
      <c r="F1246" t="s">
        <v>316</v>
      </c>
      <c r="G1246" t="s">
        <v>319</v>
      </c>
      <c r="H1246" s="502">
        <v>51000</v>
      </c>
      <c r="I1246" s="415">
        <v>80000</v>
      </c>
      <c r="J1246" s="415">
        <v>0</v>
      </c>
      <c r="K1246" s="415">
        <v>45500</v>
      </c>
      <c r="L1246" s="415">
        <v>46250</v>
      </c>
      <c r="M1246" s="415">
        <v>124397.44</v>
      </c>
      <c r="N1246" s="415">
        <v>120007.1</v>
      </c>
      <c r="O1246" s="415">
        <v>75149.100000000006</v>
      </c>
      <c r="P1246" s="415">
        <v>17065.060000000001</v>
      </c>
      <c r="Q1246" s="481">
        <f t="shared" si="65"/>
        <v>-80000</v>
      </c>
    </row>
    <row r="1247" spans="1:17" outlineLevel="2" x14ac:dyDescent="0.3">
      <c r="A1247" s="366" t="str">
        <f>IFERROR(VLOOKUP(RIGHT(E1247,3)+0,[1]SchLocTable!$A$2:$B$47,2,FALSE)," ")</f>
        <v>BMA HS</v>
      </c>
      <c r="B1247" s="366" t="str">
        <f>VLOOKUP(VALUE(D1247),$D$3:F$106,3,FALSE)</f>
        <v>World Languages</v>
      </c>
      <c r="C1247" t="s">
        <v>314</v>
      </c>
      <c r="D1247">
        <v>812</v>
      </c>
      <c r="E1247" t="s">
        <v>569</v>
      </c>
      <c r="F1247" t="s">
        <v>321</v>
      </c>
      <c r="G1247" t="s">
        <v>319</v>
      </c>
      <c r="H1247" s="502">
        <v>52917</v>
      </c>
      <c r="I1247" s="415">
        <v>32400</v>
      </c>
      <c r="J1247" s="415">
        <v>0</v>
      </c>
      <c r="K1247" s="415">
        <v>12450.24</v>
      </c>
      <c r="L1247" s="415">
        <v>11410.98</v>
      </c>
      <c r="M1247" s="415">
        <v>8348</v>
      </c>
      <c r="N1247" s="415">
        <v>0</v>
      </c>
      <c r="O1247" s="415">
        <v>0</v>
      </c>
      <c r="P1247" s="415">
        <v>0</v>
      </c>
      <c r="Q1247" s="481">
        <f t="shared" si="65"/>
        <v>-32400</v>
      </c>
    </row>
    <row r="1248" spans="1:17" outlineLevel="2" x14ac:dyDescent="0.3">
      <c r="A1248" s="366" t="str">
        <f>IFERROR(VLOOKUP(RIGHT(E1248,3)+0,[1]SchLocTable!$A$2:$B$47,2,FALSE)," ")</f>
        <v>BMA HS</v>
      </c>
      <c r="B1248" s="366" t="str">
        <f>VLOOKUP(VALUE(D1248),$D$3:F$106,3,FALSE)</f>
        <v>World Languages</v>
      </c>
      <c r="C1248" t="s">
        <v>314</v>
      </c>
      <c r="D1248">
        <v>812</v>
      </c>
      <c r="E1248" t="s">
        <v>569</v>
      </c>
      <c r="F1248" t="s">
        <v>320</v>
      </c>
      <c r="G1248" t="s">
        <v>319</v>
      </c>
      <c r="H1248" s="502">
        <v>52360</v>
      </c>
      <c r="I1248" s="415">
        <v>1160</v>
      </c>
      <c r="J1248" s="415">
        <v>0</v>
      </c>
      <c r="K1248" s="415">
        <v>606.72</v>
      </c>
      <c r="L1248" s="415">
        <v>623.83000000000004</v>
      </c>
      <c r="M1248" s="415">
        <v>1770.12</v>
      </c>
      <c r="N1248" s="415">
        <v>1740.11</v>
      </c>
      <c r="O1248" s="415">
        <v>1089.6600000000001</v>
      </c>
      <c r="P1248" s="415">
        <v>1072.5</v>
      </c>
      <c r="Q1248" s="481">
        <f t="shared" si="65"/>
        <v>-1160</v>
      </c>
    </row>
    <row r="1249" spans="1:17" outlineLevel="2" x14ac:dyDescent="0.3">
      <c r="A1249" s="366" t="str">
        <f>IFERROR(VLOOKUP(RIGHT(E1249,3)+0,[1]SchLocTable!$A$2:$B$47,2,FALSE)," ")</f>
        <v>BMA HS</v>
      </c>
      <c r="B1249" s="366" t="str">
        <f>VLOOKUP(VALUE(D1249),$D$3:F$106,3,FALSE)</f>
        <v>World Languages</v>
      </c>
      <c r="C1249" t="s">
        <v>314</v>
      </c>
      <c r="D1249">
        <v>812</v>
      </c>
      <c r="E1249" t="s">
        <v>569</v>
      </c>
      <c r="F1249" t="s">
        <v>324</v>
      </c>
      <c r="G1249" t="s">
        <v>319</v>
      </c>
      <c r="H1249" s="502">
        <v>52385</v>
      </c>
      <c r="I1249" s="415">
        <v>0</v>
      </c>
      <c r="J1249" s="415">
        <v>0</v>
      </c>
      <c r="K1249" s="415">
        <v>2594.2399999999998</v>
      </c>
      <c r="L1249" s="415">
        <v>2667.45</v>
      </c>
      <c r="M1249" s="415">
        <v>7568.8</v>
      </c>
      <c r="N1249" s="415">
        <v>2445.9</v>
      </c>
      <c r="O1249" s="415">
        <v>0</v>
      </c>
      <c r="P1249" s="415">
        <v>0</v>
      </c>
      <c r="Q1249" s="481">
        <f t="shared" si="65"/>
        <v>0</v>
      </c>
    </row>
    <row r="1250" spans="1:17" outlineLevel="2" x14ac:dyDescent="0.3">
      <c r="A1250" s="366" t="str">
        <f>IFERROR(VLOOKUP(RIGHT(E1250,3)+0,[1]SchLocTable!$A$2:$B$47,2,FALSE)," ")</f>
        <v>BMA HS</v>
      </c>
      <c r="B1250" s="366" t="str">
        <f>VLOOKUP(VALUE(D1250),$D$3:F$106,3,FALSE)</f>
        <v>World Languages</v>
      </c>
      <c r="C1250" t="s">
        <v>314</v>
      </c>
      <c r="D1250">
        <v>812</v>
      </c>
      <c r="E1250" t="s">
        <v>569</v>
      </c>
      <c r="F1250" t="s">
        <v>533</v>
      </c>
      <c r="G1250" t="s">
        <v>319</v>
      </c>
      <c r="H1250" s="502">
        <v>52397</v>
      </c>
      <c r="I1250" s="415">
        <v>0</v>
      </c>
      <c r="J1250" s="415">
        <v>0</v>
      </c>
      <c r="K1250" s="415">
        <v>0</v>
      </c>
      <c r="L1250" s="415">
        <v>921</v>
      </c>
      <c r="M1250" s="415">
        <v>0</v>
      </c>
      <c r="N1250" s="415">
        <v>0</v>
      </c>
      <c r="O1250" s="415">
        <v>0</v>
      </c>
      <c r="P1250" s="415">
        <v>0</v>
      </c>
      <c r="Q1250" s="481">
        <f t="shared" si="65"/>
        <v>0</v>
      </c>
    </row>
    <row r="1251" spans="1:17" outlineLevel="2" x14ac:dyDescent="0.3">
      <c r="A1251" s="366" t="str">
        <f>IFERROR(VLOOKUP(RIGHT(E1251,3)+0,[1]SchLocTable!$A$2:$B$47,2,FALSE)," ")</f>
        <v>Zoo Science HS</v>
      </c>
      <c r="B1251" s="366" t="str">
        <f>VLOOKUP(VALUE(D1251),$D$3:F$106,3,FALSE)</f>
        <v>World Languages</v>
      </c>
      <c r="C1251" t="s">
        <v>314</v>
      </c>
      <c r="D1251">
        <v>812</v>
      </c>
      <c r="E1251" t="s">
        <v>570</v>
      </c>
      <c r="F1251" t="s">
        <v>316</v>
      </c>
      <c r="G1251">
        <v>2</v>
      </c>
      <c r="H1251" s="502">
        <v>51000</v>
      </c>
      <c r="I1251" s="415">
        <v>204793.61395999999</v>
      </c>
      <c r="J1251" s="415">
        <v>186433</v>
      </c>
      <c r="K1251" s="415">
        <v>178657.96</v>
      </c>
      <c r="L1251" s="415">
        <v>162550.93</v>
      </c>
      <c r="M1251" s="415">
        <v>134236.12</v>
      </c>
      <c r="N1251" s="415">
        <v>97987.92</v>
      </c>
      <c r="O1251" s="415">
        <v>66032.02</v>
      </c>
      <c r="P1251" s="415">
        <v>72819.12</v>
      </c>
      <c r="Q1251" s="481">
        <f t="shared" si="65"/>
        <v>-18360.613959999988</v>
      </c>
    </row>
    <row r="1252" spans="1:17" outlineLevel="2" x14ac:dyDescent="0.3">
      <c r="A1252" s="366" t="str">
        <f>IFERROR(VLOOKUP(RIGHT(E1252,3)+0,[1]SchLocTable!$A$2:$B$47,2,FALSE)," ")</f>
        <v>Zoo Science HS</v>
      </c>
      <c r="B1252" s="366" t="str">
        <f>VLOOKUP(VALUE(D1252),$D$3:F$106,3,FALSE)</f>
        <v>World Languages</v>
      </c>
      <c r="C1252" t="s">
        <v>314</v>
      </c>
      <c r="D1252">
        <v>812</v>
      </c>
      <c r="E1252" t="s">
        <v>570</v>
      </c>
      <c r="F1252" t="s">
        <v>321</v>
      </c>
      <c r="G1252" t="s">
        <v>319</v>
      </c>
      <c r="H1252" s="502">
        <v>52917</v>
      </c>
      <c r="I1252" s="415">
        <v>83436.191999999981</v>
      </c>
      <c r="J1252" s="415">
        <v>69530.16</v>
      </c>
      <c r="K1252" s="415">
        <v>62993.279999999999</v>
      </c>
      <c r="L1252" s="415">
        <v>61930.47</v>
      </c>
      <c r="M1252" s="415">
        <v>627.78</v>
      </c>
      <c r="N1252" s="415">
        <v>479.64</v>
      </c>
      <c r="O1252" s="415">
        <v>423.99</v>
      </c>
      <c r="P1252" s="415">
        <v>448.14</v>
      </c>
      <c r="Q1252" s="481">
        <f t="shared" si="65"/>
        <v>-13906.031999999977</v>
      </c>
    </row>
    <row r="1253" spans="1:17" outlineLevel="2" x14ac:dyDescent="0.3">
      <c r="A1253" s="366" t="str">
        <f>IFERROR(VLOOKUP(RIGHT(E1253,3)+0,[1]SchLocTable!$A$2:$B$47,2,FALSE)," ")</f>
        <v>Zoo Science HS</v>
      </c>
      <c r="B1253" s="366" t="str">
        <f>VLOOKUP(VALUE(D1253),$D$3:F$106,3,FALSE)</f>
        <v>World Languages</v>
      </c>
      <c r="C1253" t="s">
        <v>314</v>
      </c>
      <c r="D1253">
        <v>812</v>
      </c>
      <c r="E1253" t="s">
        <v>570</v>
      </c>
      <c r="F1253" t="s">
        <v>320</v>
      </c>
      <c r="G1253" t="s">
        <v>319</v>
      </c>
      <c r="H1253" s="502">
        <v>52360</v>
      </c>
      <c r="I1253" s="415">
        <v>2969.5074024200003</v>
      </c>
      <c r="J1253" s="415">
        <v>2325</v>
      </c>
      <c r="K1253" s="415">
        <v>2308.84</v>
      </c>
      <c r="L1253" s="415">
        <v>2099.02</v>
      </c>
      <c r="M1253" s="415">
        <v>2205.8200000000002</v>
      </c>
      <c r="N1253" s="415">
        <v>1203.83</v>
      </c>
      <c r="O1253" s="415">
        <v>1115.8800000000001</v>
      </c>
      <c r="P1253" s="415">
        <v>1098.6500000000001</v>
      </c>
      <c r="Q1253" s="481">
        <f t="shared" si="65"/>
        <v>-644.50740242000029</v>
      </c>
    </row>
    <row r="1254" spans="1:17" outlineLevel="2" x14ac:dyDescent="0.3">
      <c r="A1254" s="366" t="str">
        <f>IFERROR(VLOOKUP(RIGHT(E1254,3)+0,[1]SchLocTable!$A$2:$B$47,2,FALSE)," ")</f>
        <v>Multicultural Magnet</v>
      </c>
      <c r="B1254" s="366" t="str">
        <f>VLOOKUP(VALUE(D1254),$D$3:F$106,3,FALSE)</f>
        <v>World Languages</v>
      </c>
      <c r="C1254" t="s">
        <v>314</v>
      </c>
      <c r="D1254">
        <v>812</v>
      </c>
      <c r="E1254" t="s">
        <v>571</v>
      </c>
      <c r="F1254" t="s">
        <v>316</v>
      </c>
      <c r="G1254">
        <v>1</v>
      </c>
      <c r="H1254" s="502">
        <v>51000</v>
      </c>
      <c r="I1254" s="415">
        <v>88218.711880000003</v>
      </c>
      <c r="J1254" s="415">
        <v>83938</v>
      </c>
      <c r="K1254" s="415">
        <v>77801.88</v>
      </c>
      <c r="L1254" s="415">
        <v>72752.94</v>
      </c>
      <c r="M1254" s="415">
        <v>68473.08</v>
      </c>
      <c r="N1254" s="415">
        <v>64194</v>
      </c>
      <c r="O1254" s="415">
        <v>59913.88</v>
      </c>
      <c r="P1254" s="415">
        <v>58970.080000000002</v>
      </c>
      <c r="Q1254" s="481">
        <f t="shared" si="65"/>
        <v>-4280.7118800000026</v>
      </c>
    </row>
    <row r="1255" spans="1:17" outlineLevel="2" x14ac:dyDescent="0.3">
      <c r="A1255" s="366" t="str">
        <f>IFERROR(VLOOKUP(RIGHT(E1255,3)+0,[1]SchLocTable!$A$2:$B$47,2,FALSE)," ")</f>
        <v>Multicultural Magnet</v>
      </c>
      <c r="B1255" s="366" t="str">
        <f>VLOOKUP(VALUE(D1255),$D$3:F$106,3,FALSE)</f>
        <v>World Languages</v>
      </c>
      <c r="C1255" t="s">
        <v>314</v>
      </c>
      <c r="D1255">
        <v>812</v>
      </c>
      <c r="E1255" t="s">
        <v>571</v>
      </c>
      <c r="F1255" t="s">
        <v>320</v>
      </c>
      <c r="G1255" t="s">
        <v>319</v>
      </c>
      <c r="H1255" s="502">
        <v>52360</v>
      </c>
      <c r="I1255" s="415">
        <v>1279.1713222600001</v>
      </c>
      <c r="J1255" s="415">
        <v>1217</v>
      </c>
      <c r="K1255" s="415">
        <v>1128.1300000000001</v>
      </c>
      <c r="L1255" s="415">
        <v>1054.94</v>
      </c>
      <c r="M1255" s="415">
        <v>992.83</v>
      </c>
      <c r="N1255" s="415">
        <v>930.81</v>
      </c>
      <c r="O1255" s="415">
        <v>868.75</v>
      </c>
      <c r="P1255" s="415">
        <v>855.06</v>
      </c>
      <c r="Q1255" s="481">
        <f t="shared" si="65"/>
        <v>-62.171322260000125</v>
      </c>
    </row>
    <row r="1256" spans="1:17" outlineLevel="2" x14ac:dyDescent="0.3">
      <c r="A1256" s="366" t="str">
        <f>IFERROR(VLOOKUP(RIGHT(E1256,3)+0,[1]SchLocTable!$A$2:$B$47,2,FALSE)," ")</f>
        <v>Bassick HS</v>
      </c>
      <c r="B1256" s="366" t="str">
        <f>VLOOKUP(VALUE(D1256),$D$3:F$106,3,FALSE)</f>
        <v>World Languages</v>
      </c>
      <c r="C1256" t="s">
        <v>314</v>
      </c>
      <c r="D1256">
        <v>812</v>
      </c>
      <c r="E1256" t="s">
        <v>572</v>
      </c>
      <c r="F1256" t="s">
        <v>316</v>
      </c>
      <c r="G1256">
        <v>1</v>
      </c>
      <c r="H1256" s="502">
        <v>51000</v>
      </c>
      <c r="I1256" s="415">
        <v>200190.27600000001</v>
      </c>
      <c r="J1256" s="415">
        <v>190476</v>
      </c>
      <c r="K1256" s="415">
        <v>205535.21</v>
      </c>
      <c r="L1256" s="415">
        <v>127605.9</v>
      </c>
      <c r="M1256" s="415">
        <v>153339.85999999999</v>
      </c>
      <c r="N1256" s="415">
        <v>159554.97</v>
      </c>
      <c r="O1256" s="415">
        <v>152236.24</v>
      </c>
      <c r="P1256" s="415">
        <v>199366.96</v>
      </c>
      <c r="Q1256" s="481">
        <f t="shared" si="65"/>
        <v>-9714.2760000000126</v>
      </c>
    </row>
    <row r="1257" spans="1:17" outlineLevel="2" x14ac:dyDescent="0.3">
      <c r="A1257" s="366" t="str">
        <f>IFERROR(VLOOKUP(RIGHT(E1257,3)+0,[1]SchLocTable!$A$2:$B$47,2,FALSE)," ")</f>
        <v>Bassick HS</v>
      </c>
      <c r="B1257" s="366" t="str">
        <f>VLOOKUP(VALUE(D1257),$D$3:F$106,3,FALSE)</f>
        <v>World Languages</v>
      </c>
      <c r="C1257" t="s">
        <v>314</v>
      </c>
      <c r="D1257">
        <v>812</v>
      </c>
      <c r="E1257" t="s">
        <v>572</v>
      </c>
      <c r="F1257" t="s">
        <v>321</v>
      </c>
      <c r="G1257" t="s">
        <v>319</v>
      </c>
      <c r="H1257" s="502">
        <v>52917</v>
      </c>
      <c r="I1257" s="415">
        <v>15644.663999999999</v>
      </c>
      <c r="J1257" s="415">
        <v>13037.22</v>
      </c>
      <c r="K1257" s="415">
        <v>33541.599999999999</v>
      </c>
      <c r="L1257" s="415">
        <v>11636.52</v>
      </c>
      <c r="M1257" s="415">
        <v>10956.75</v>
      </c>
      <c r="N1257" s="415">
        <v>10232.879999999999</v>
      </c>
      <c r="O1257" s="415">
        <v>9817.68</v>
      </c>
      <c r="P1257" s="415">
        <v>9693.81</v>
      </c>
      <c r="Q1257" s="481">
        <f t="shared" si="65"/>
        <v>-2607.4439999999995</v>
      </c>
    </row>
    <row r="1258" spans="1:17" outlineLevel="2" x14ac:dyDescent="0.3">
      <c r="A1258" s="366" t="str">
        <f>IFERROR(VLOOKUP(RIGHT(E1258,3)+0,[1]SchLocTable!$A$2:$B$47,2,FALSE)," ")</f>
        <v>Bassick HS</v>
      </c>
      <c r="B1258" s="366" t="str">
        <f>VLOOKUP(VALUE(D1258),$D$3:F$106,3,FALSE)</f>
        <v>World Languages</v>
      </c>
      <c r="C1258" t="s">
        <v>314</v>
      </c>
      <c r="D1258">
        <v>812</v>
      </c>
      <c r="E1258" t="s">
        <v>572</v>
      </c>
      <c r="F1258" t="s">
        <v>318</v>
      </c>
      <c r="G1258" t="s">
        <v>319</v>
      </c>
      <c r="H1258" s="502">
        <v>51140</v>
      </c>
      <c r="I1258" s="415">
        <v>1100</v>
      </c>
      <c r="J1258" s="415">
        <v>0</v>
      </c>
      <c r="K1258" s="415">
        <v>1100</v>
      </c>
      <c r="L1258" s="415">
        <v>0</v>
      </c>
      <c r="M1258" s="415">
        <v>900</v>
      </c>
      <c r="N1258" s="415">
        <v>900</v>
      </c>
      <c r="O1258" s="415">
        <v>900</v>
      </c>
      <c r="P1258" s="415">
        <v>900</v>
      </c>
      <c r="Q1258" s="481">
        <f t="shared" si="65"/>
        <v>-1100</v>
      </c>
    </row>
    <row r="1259" spans="1:17" outlineLevel="2" x14ac:dyDescent="0.3">
      <c r="A1259" s="366" t="str">
        <f>IFERROR(VLOOKUP(RIGHT(E1259,3)+0,[1]SchLocTable!$A$2:$B$47,2,FALSE)," ")</f>
        <v>Bassick HS</v>
      </c>
      <c r="B1259" s="366" t="str">
        <f>VLOOKUP(VALUE(D1259),$D$3:F$106,3,FALSE)</f>
        <v>World Languages</v>
      </c>
      <c r="C1259" t="s">
        <v>314</v>
      </c>
      <c r="D1259">
        <v>812</v>
      </c>
      <c r="E1259" t="s">
        <v>572</v>
      </c>
      <c r="F1259" t="s">
        <v>320</v>
      </c>
      <c r="G1259" t="s">
        <v>319</v>
      </c>
      <c r="H1259" s="502">
        <v>52360</v>
      </c>
      <c r="I1259" s="415">
        <v>2902.7590020000002</v>
      </c>
      <c r="J1259" s="415">
        <v>2753.71</v>
      </c>
      <c r="K1259" s="415">
        <v>2852.79</v>
      </c>
      <c r="L1259" s="415">
        <v>1802.14</v>
      </c>
      <c r="M1259" s="415">
        <v>2406.98</v>
      </c>
      <c r="N1259" s="415">
        <v>2286.6799999999998</v>
      </c>
      <c r="O1259" s="415">
        <v>2183.1999999999998</v>
      </c>
      <c r="P1259" s="415">
        <v>2868.54</v>
      </c>
      <c r="Q1259" s="481">
        <f t="shared" si="65"/>
        <v>-149.0490020000002</v>
      </c>
    </row>
    <row r="1260" spans="1:17" outlineLevel="2" x14ac:dyDescent="0.3">
      <c r="A1260" s="366" t="str">
        <f>IFERROR(VLOOKUP(RIGHT(E1260,3)+0,[1]SchLocTable!$A$2:$B$47,2,FALSE)," ")</f>
        <v>Bassick HS</v>
      </c>
      <c r="B1260" s="366" t="str">
        <f>VLOOKUP(VALUE(D1260),$D$3:F$106,3,FALSE)</f>
        <v>World Languages</v>
      </c>
      <c r="C1260" t="s">
        <v>314</v>
      </c>
      <c r="D1260">
        <v>812</v>
      </c>
      <c r="E1260" t="s">
        <v>572</v>
      </c>
      <c r="F1260" t="s">
        <v>324</v>
      </c>
      <c r="G1260" t="s">
        <v>319</v>
      </c>
      <c r="H1260" s="502">
        <v>52385</v>
      </c>
      <c r="I1260" s="415">
        <v>0</v>
      </c>
      <c r="J1260" s="415">
        <v>0</v>
      </c>
      <c r="K1260" s="415">
        <v>0</v>
      </c>
      <c r="L1260" s="415">
        <v>366.72</v>
      </c>
      <c r="M1260" s="415">
        <v>0</v>
      </c>
      <c r="N1260" s="415">
        <v>0</v>
      </c>
      <c r="O1260" s="415">
        <v>0</v>
      </c>
      <c r="P1260" s="415">
        <v>0</v>
      </c>
      <c r="Q1260" s="481">
        <f t="shared" si="65"/>
        <v>0</v>
      </c>
    </row>
    <row r="1261" spans="1:17" outlineLevel="2" x14ac:dyDescent="0.3">
      <c r="A1261" s="366" t="str">
        <f>IFERROR(VLOOKUP(RIGHT(E1261,3)+0,[1]SchLocTable!$A$2:$B$47,2,FALSE)," ")</f>
        <v>Central HS</v>
      </c>
      <c r="B1261" s="366" t="str">
        <f>VLOOKUP(VALUE(D1261),$D$3:F$106,3,FALSE)</f>
        <v>World Languages</v>
      </c>
      <c r="C1261" t="s">
        <v>314</v>
      </c>
      <c r="D1261">
        <v>812</v>
      </c>
      <c r="E1261" t="s">
        <v>573</v>
      </c>
      <c r="F1261" t="s">
        <v>316</v>
      </c>
      <c r="G1261">
        <v>4</v>
      </c>
      <c r="H1261" s="502">
        <v>51000</v>
      </c>
      <c r="I1261" s="415">
        <v>352646.98021000001</v>
      </c>
      <c r="J1261" s="415">
        <v>333840.03999999998</v>
      </c>
      <c r="K1261" s="415">
        <v>325974.99</v>
      </c>
      <c r="L1261" s="415">
        <v>337816.64</v>
      </c>
      <c r="M1261" s="415">
        <v>343071.05</v>
      </c>
      <c r="N1261" s="415">
        <v>465991.47</v>
      </c>
      <c r="O1261" s="415">
        <v>433411.41</v>
      </c>
      <c r="P1261" s="415">
        <v>398896.52</v>
      </c>
      <c r="Q1261" s="481">
        <f t="shared" si="65"/>
        <v>-18806.94021000003</v>
      </c>
    </row>
    <row r="1262" spans="1:17" outlineLevel="2" x14ac:dyDescent="0.3">
      <c r="A1262" s="366" t="str">
        <f>IFERROR(VLOOKUP(RIGHT(E1262,3)+0,[1]SchLocTable!$A$2:$B$47,2,FALSE)," ")</f>
        <v>Central HS</v>
      </c>
      <c r="B1262" s="366" t="str">
        <f>VLOOKUP(VALUE(D1262),$D$3:F$106,3,FALSE)</f>
        <v>World Languages</v>
      </c>
      <c r="C1262" t="s">
        <v>314</v>
      </c>
      <c r="D1262">
        <v>812</v>
      </c>
      <c r="E1262" t="s">
        <v>573</v>
      </c>
      <c r="F1262" t="s">
        <v>321</v>
      </c>
      <c r="G1262" t="s">
        <v>319</v>
      </c>
      <c r="H1262" s="502">
        <v>52917</v>
      </c>
      <c r="I1262" s="415">
        <v>115264.548</v>
      </c>
      <c r="J1262" s="415">
        <v>96053.79</v>
      </c>
      <c r="K1262" s="415">
        <v>79345.98</v>
      </c>
      <c r="L1262" s="415">
        <v>74368.14</v>
      </c>
      <c r="M1262" s="415">
        <v>88170.02</v>
      </c>
      <c r="N1262" s="415">
        <v>131014.96</v>
      </c>
      <c r="O1262" s="415">
        <v>123063.54</v>
      </c>
      <c r="P1262" s="415">
        <v>70967.100000000006</v>
      </c>
      <c r="Q1262" s="481">
        <f t="shared" si="65"/>
        <v>-19210.758000000002</v>
      </c>
    </row>
    <row r="1263" spans="1:17" outlineLevel="2" x14ac:dyDescent="0.3">
      <c r="A1263" s="366" t="str">
        <f>IFERROR(VLOOKUP(RIGHT(E1263,3)+0,[1]SchLocTable!$A$2:$B$47,2,FALSE)," ")</f>
        <v>Central HS</v>
      </c>
      <c r="B1263" s="366" t="str">
        <f>VLOOKUP(VALUE(D1263),$D$3:F$106,3,FALSE)</f>
        <v>World Languages</v>
      </c>
      <c r="C1263" t="s">
        <v>314</v>
      </c>
      <c r="D1263">
        <v>812</v>
      </c>
      <c r="E1263" t="s">
        <v>573</v>
      </c>
      <c r="F1263" t="s">
        <v>318</v>
      </c>
      <c r="G1263" t="s">
        <v>319</v>
      </c>
      <c r="H1263" s="502">
        <v>51140</v>
      </c>
      <c r="I1263" s="415">
        <v>2200</v>
      </c>
      <c r="J1263" s="415">
        <v>0</v>
      </c>
      <c r="K1263" s="415">
        <v>2200</v>
      </c>
      <c r="L1263" s="415">
        <v>3100</v>
      </c>
      <c r="M1263" s="415">
        <v>2200</v>
      </c>
      <c r="N1263" s="415">
        <v>1300</v>
      </c>
      <c r="O1263" s="415">
        <v>1300</v>
      </c>
      <c r="P1263" s="415">
        <v>1300</v>
      </c>
      <c r="Q1263" s="481">
        <f t="shared" si="65"/>
        <v>-2200</v>
      </c>
    </row>
    <row r="1264" spans="1:17" outlineLevel="2" x14ac:dyDescent="0.3">
      <c r="A1264" s="366" t="str">
        <f>IFERROR(VLOOKUP(RIGHT(E1264,3)+0,[1]SchLocTable!$A$2:$B$47,2,FALSE)," ")</f>
        <v>Central HS</v>
      </c>
      <c r="B1264" s="366" t="str">
        <f>VLOOKUP(VALUE(D1264),$D$3:F$106,3,FALSE)</f>
        <v>World Languages</v>
      </c>
      <c r="C1264" t="s">
        <v>314</v>
      </c>
      <c r="D1264">
        <v>812</v>
      </c>
      <c r="E1264" t="s">
        <v>573</v>
      </c>
      <c r="F1264" t="s">
        <v>320</v>
      </c>
      <c r="G1264" t="s">
        <v>319</v>
      </c>
      <c r="H1264" s="502">
        <v>52360</v>
      </c>
      <c r="I1264" s="415">
        <v>5113.3812130450005</v>
      </c>
      <c r="J1264" s="415">
        <v>3076</v>
      </c>
      <c r="K1264" s="415">
        <v>3032.56</v>
      </c>
      <c r="L1264" s="415">
        <v>3394.85</v>
      </c>
      <c r="M1264" s="415">
        <v>3302.61</v>
      </c>
      <c r="N1264" s="415">
        <v>4926.28</v>
      </c>
      <c r="O1264" s="415">
        <v>4520.34</v>
      </c>
      <c r="P1264" s="415">
        <v>4295.8999999999996</v>
      </c>
      <c r="Q1264" s="481">
        <f t="shared" si="65"/>
        <v>-2037.3812130450005</v>
      </c>
    </row>
    <row r="1265" spans="1:17" outlineLevel="2" x14ac:dyDescent="0.3">
      <c r="A1265" s="366" t="str">
        <f>IFERROR(VLOOKUP(RIGHT(E1265,3)+0,[1]SchLocTable!$A$2:$B$47,2,FALSE)," ")</f>
        <v>Central HS</v>
      </c>
      <c r="B1265" s="366" t="str">
        <f>VLOOKUP(VALUE(D1265),$D$3:F$106,3,FALSE)</f>
        <v>World Languages</v>
      </c>
      <c r="C1265" t="s">
        <v>314</v>
      </c>
      <c r="D1265">
        <v>812</v>
      </c>
      <c r="E1265" t="s">
        <v>573</v>
      </c>
      <c r="F1265" t="s">
        <v>329</v>
      </c>
      <c r="G1265" t="s">
        <v>319</v>
      </c>
      <c r="H1265" s="502">
        <v>51154</v>
      </c>
      <c r="I1265" s="415">
        <v>0</v>
      </c>
      <c r="J1265" s="415">
        <v>0</v>
      </c>
      <c r="K1265" s="415">
        <v>0</v>
      </c>
      <c r="L1265" s="415">
        <v>7150</v>
      </c>
      <c r="M1265" s="415">
        <v>0</v>
      </c>
      <c r="N1265" s="415">
        <v>0</v>
      </c>
      <c r="O1265" s="415">
        <v>0</v>
      </c>
      <c r="P1265" s="415">
        <v>0</v>
      </c>
      <c r="Q1265" s="481">
        <f t="shared" si="65"/>
        <v>0</v>
      </c>
    </row>
    <row r="1266" spans="1:17" outlineLevel="2" x14ac:dyDescent="0.3">
      <c r="A1266" s="366" t="str">
        <f>IFERROR(VLOOKUP(RIGHT(E1266,3)+0,[1]SchLocTable!$A$2:$B$47,2,FALSE)," ")</f>
        <v>Harding HS</v>
      </c>
      <c r="B1266" s="366" t="str">
        <f>VLOOKUP(VALUE(D1266),$D$3:F$106,3,FALSE)</f>
        <v>World Languages</v>
      </c>
      <c r="C1266" t="s">
        <v>314</v>
      </c>
      <c r="D1266">
        <v>812</v>
      </c>
      <c r="E1266" t="s">
        <v>574</v>
      </c>
      <c r="F1266" t="s">
        <v>316</v>
      </c>
      <c r="G1266">
        <v>4</v>
      </c>
      <c r="H1266" s="502">
        <v>51000</v>
      </c>
      <c r="I1266" s="415">
        <v>318359.40096</v>
      </c>
      <c r="J1266" s="415">
        <v>168874</v>
      </c>
      <c r="K1266" s="415">
        <v>186176.08</v>
      </c>
      <c r="L1266" s="415">
        <v>220967.67999999999</v>
      </c>
      <c r="M1266" s="415">
        <v>297416.63</v>
      </c>
      <c r="N1266" s="415">
        <v>248140.6</v>
      </c>
      <c r="O1266" s="415">
        <v>287622.03999999998</v>
      </c>
      <c r="P1266" s="415">
        <v>270710.15999999997</v>
      </c>
      <c r="Q1266" s="481">
        <f t="shared" si="65"/>
        <v>-149485.40096</v>
      </c>
    </row>
    <row r="1267" spans="1:17" outlineLevel="2" x14ac:dyDescent="0.3">
      <c r="A1267" s="366" t="str">
        <f>IFERROR(VLOOKUP(RIGHT(E1267,3)+0,[1]SchLocTable!$A$2:$B$47,2,FALSE)," ")</f>
        <v>Harding HS</v>
      </c>
      <c r="B1267" s="366" t="str">
        <f>VLOOKUP(VALUE(D1267),$D$3:F$106,3,FALSE)</f>
        <v>World Languages</v>
      </c>
      <c r="C1267" t="s">
        <v>314</v>
      </c>
      <c r="D1267">
        <v>812</v>
      </c>
      <c r="E1267" t="s">
        <v>574</v>
      </c>
      <c r="F1267" t="s">
        <v>321</v>
      </c>
      <c r="G1267" t="s">
        <v>319</v>
      </c>
      <c r="H1267" s="502">
        <v>52917</v>
      </c>
      <c r="I1267" s="415">
        <v>109931.58</v>
      </c>
      <c r="J1267" s="415">
        <v>60472</v>
      </c>
      <c r="K1267" s="415">
        <v>40669.879999999997</v>
      </c>
      <c r="L1267" s="415">
        <v>46291.77</v>
      </c>
      <c r="M1267" s="415">
        <v>43813.75</v>
      </c>
      <c r="N1267" s="415">
        <v>79717.39</v>
      </c>
      <c r="O1267" s="415">
        <v>76239.64</v>
      </c>
      <c r="P1267" s="415">
        <v>81545.460000000006</v>
      </c>
      <c r="Q1267" s="481">
        <f t="shared" si="65"/>
        <v>-49459.58</v>
      </c>
    </row>
    <row r="1268" spans="1:17" outlineLevel="2" x14ac:dyDescent="0.3">
      <c r="A1268" s="366" t="str">
        <f>IFERROR(VLOOKUP(RIGHT(E1268,3)+0,[1]SchLocTable!$A$2:$B$47,2,FALSE)," ")</f>
        <v>Harding HS</v>
      </c>
      <c r="B1268" s="366" t="str">
        <f>VLOOKUP(VALUE(D1268),$D$3:F$106,3,FALSE)</f>
        <v>World Languages</v>
      </c>
      <c r="C1268" t="s">
        <v>314</v>
      </c>
      <c r="D1268">
        <v>812</v>
      </c>
      <c r="E1268" t="s">
        <v>574</v>
      </c>
      <c r="F1268" t="s">
        <v>318</v>
      </c>
      <c r="G1268" t="s">
        <v>319</v>
      </c>
      <c r="H1268" s="502">
        <v>51140</v>
      </c>
      <c r="I1268" s="415">
        <v>900</v>
      </c>
      <c r="J1268" s="415">
        <v>0</v>
      </c>
      <c r="K1268" s="415">
        <v>900</v>
      </c>
      <c r="L1268" s="415">
        <v>0</v>
      </c>
      <c r="M1268" s="415">
        <v>0</v>
      </c>
      <c r="N1268" s="415">
        <v>0</v>
      </c>
      <c r="O1268" s="415">
        <v>0</v>
      </c>
      <c r="P1268" s="415">
        <v>0</v>
      </c>
      <c r="Q1268" s="481">
        <f t="shared" si="65"/>
        <v>-900</v>
      </c>
    </row>
    <row r="1269" spans="1:17" outlineLevel="2" x14ac:dyDescent="0.3">
      <c r="A1269" s="366" t="str">
        <f>IFERROR(VLOOKUP(RIGHT(E1269,3)+0,[1]SchLocTable!$A$2:$B$47,2,FALSE)," ")</f>
        <v>Harding HS</v>
      </c>
      <c r="B1269" s="366" t="str">
        <f>VLOOKUP(VALUE(D1269),$D$3:F$106,3,FALSE)</f>
        <v>World Languages</v>
      </c>
      <c r="C1269" t="s">
        <v>314</v>
      </c>
      <c r="D1269">
        <v>812</v>
      </c>
      <c r="E1269" t="s">
        <v>574</v>
      </c>
      <c r="F1269" t="s">
        <v>320</v>
      </c>
      <c r="G1269" t="s">
        <v>319</v>
      </c>
      <c r="H1269" s="502">
        <v>52360</v>
      </c>
      <c r="I1269" s="415">
        <v>4616.2113139200001</v>
      </c>
      <c r="J1269" s="415">
        <v>2196</v>
      </c>
      <c r="K1269" s="415">
        <v>2538.9299999999998</v>
      </c>
      <c r="L1269" s="415">
        <v>3012.32</v>
      </c>
      <c r="M1269" s="415">
        <v>4136.6000000000004</v>
      </c>
      <c r="N1269" s="415">
        <v>3289.03</v>
      </c>
      <c r="O1269" s="415">
        <v>3880.5</v>
      </c>
      <c r="P1269" s="415">
        <v>3619.24</v>
      </c>
      <c r="Q1269" s="481">
        <f t="shared" si="65"/>
        <v>-2420.2113139200001</v>
      </c>
    </row>
    <row r="1270" spans="1:17" outlineLevel="2" x14ac:dyDescent="0.3">
      <c r="A1270" s="366" t="str">
        <f>IFERROR(VLOOKUP(RIGHT(E1270,3)+0,[1]SchLocTable!$A$2:$B$47,2,FALSE)," ")</f>
        <v>Harding HS</v>
      </c>
      <c r="B1270" s="366" t="str">
        <f>VLOOKUP(VALUE(D1270),$D$3:F$106,3,FALSE)</f>
        <v>World Languages</v>
      </c>
      <c r="C1270" t="s">
        <v>314</v>
      </c>
      <c r="D1270">
        <v>812</v>
      </c>
      <c r="E1270" t="s">
        <v>574</v>
      </c>
      <c r="F1270" t="s">
        <v>324</v>
      </c>
      <c r="G1270" t="s">
        <v>319</v>
      </c>
      <c r="H1270" s="502">
        <v>52385</v>
      </c>
      <c r="I1270" s="415">
        <v>0</v>
      </c>
      <c r="J1270" s="415">
        <v>0</v>
      </c>
      <c r="K1270" s="415">
        <v>2371.5</v>
      </c>
      <c r="L1270" s="415">
        <v>0</v>
      </c>
      <c r="M1270" s="415">
        <v>1980.66</v>
      </c>
      <c r="N1270" s="415">
        <v>400.04</v>
      </c>
      <c r="O1270" s="415">
        <v>0</v>
      </c>
      <c r="P1270" s="415">
        <v>1865.98</v>
      </c>
      <c r="Q1270" s="481">
        <f t="shared" si="65"/>
        <v>0</v>
      </c>
    </row>
    <row r="1271" spans="1:17" outlineLevel="2" x14ac:dyDescent="0.3">
      <c r="A1271" s="366" t="str">
        <f>IFERROR(VLOOKUP(RIGHT(E1271,3)+0,[1]SchLocTable!$A$2:$B$47,2,FALSE)," ")</f>
        <v>Barnum</v>
      </c>
      <c r="B1271" s="366" t="str">
        <f>VLOOKUP(VALUE(D1271),$D$3:F$106,3,FALSE)</f>
        <v>Visual Arts</v>
      </c>
      <c r="C1271" t="s">
        <v>314</v>
      </c>
      <c r="D1271">
        <v>813</v>
      </c>
      <c r="E1271" t="s">
        <v>575</v>
      </c>
      <c r="F1271" t="s">
        <v>316</v>
      </c>
      <c r="G1271">
        <v>2</v>
      </c>
      <c r="H1271" s="502">
        <v>51000</v>
      </c>
      <c r="I1271" s="415">
        <v>135186.91394</v>
      </c>
      <c r="J1271" s="415">
        <v>77802</v>
      </c>
      <c r="K1271" s="415">
        <v>72888.350000000006</v>
      </c>
      <c r="L1271" s="415">
        <v>68473.08</v>
      </c>
      <c r="M1271" s="415">
        <v>64194</v>
      </c>
      <c r="N1271" s="415">
        <v>0</v>
      </c>
      <c r="O1271" s="415">
        <v>48170.98</v>
      </c>
      <c r="P1271" s="415">
        <v>47412.04</v>
      </c>
      <c r="Q1271" s="481">
        <f t="shared" si="65"/>
        <v>-57384.913939999999</v>
      </c>
    </row>
    <row r="1272" spans="1:17" outlineLevel="2" x14ac:dyDescent="0.3">
      <c r="A1272" s="366" t="str">
        <f>IFERROR(VLOOKUP(RIGHT(E1272,3)+0,[1]SchLocTable!$A$2:$B$47,2,FALSE)," ")</f>
        <v>Barnum</v>
      </c>
      <c r="B1272" s="366" t="str">
        <f>VLOOKUP(VALUE(D1272),$D$3:F$106,3,FALSE)</f>
        <v>Visual Arts</v>
      </c>
      <c r="C1272" t="s">
        <v>314</v>
      </c>
      <c r="D1272">
        <v>813</v>
      </c>
      <c r="E1272" t="s">
        <v>575</v>
      </c>
      <c r="F1272" t="s">
        <v>321</v>
      </c>
      <c r="G1272" t="s">
        <v>319</v>
      </c>
      <c r="H1272" s="502">
        <v>52917</v>
      </c>
      <c r="I1272" s="415">
        <v>15555.96</v>
      </c>
      <c r="J1272" s="415">
        <v>12963.3</v>
      </c>
      <c r="K1272" s="415">
        <v>11747.4</v>
      </c>
      <c r="L1272" s="415">
        <v>11550</v>
      </c>
      <c r="M1272" s="415">
        <v>5185.5</v>
      </c>
      <c r="N1272" s="415">
        <v>0</v>
      </c>
      <c r="O1272" s="415">
        <v>9817.68</v>
      </c>
      <c r="P1272" s="415">
        <v>9292.7099999999991</v>
      </c>
      <c r="Q1272" s="481">
        <f t="shared" si="65"/>
        <v>-2592.66</v>
      </c>
    </row>
    <row r="1273" spans="1:17" outlineLevel="2" x14ac:dyDescent="0.3">
      <c r="A1273" s="366" t="str">
        <f>IFERROR(VLOOKUP(RIGHT(E1273,3)+0,[1]SchLocTable!$A$2:$B$47,2,FALSE)," ")</f>
        <v>Barnum</v>
      </c>
      <c r="B1273" s="366" t="str">
        <f>VLOOKUP(VALUE(D1273),$D$3:F$106,3,FALSE)</f>
        <v>Visual Arts</v>
      </c>
      <c r="C1273" t="s">
        <v>314</v>
      </c>
      <c r="D1273">
        <v>813</v>
      </c>
      <c r="E1273" t="s">
        <v>575</v>
      </c>
      <c r="F1273" t="s">
        <v>320</v>
      </c>
      <c r="G1273" t="s">
        <v>319</v>
      </c>
      <c r="H1273" s="502">
        <v>52360</v>
      </c>
      <c r="I1273" s="415">
        <v>1960.2102521299998</v>
      </c>
      <c r="J1273" s="415">
        <v>1058</v>
      </c>
      <c r="K1273" s="415">
        <v>1006.58</v>
      </c>
      <c r="L1273" s="415">
        <v>944.81</v>
      </c>
      <c r="M1273" s="415">
        <v>909.86</v>
      </c>
      <c r="N1273" s="415">
        <v>0</v>
      </c>
      <c r="O1273" s="415">
        <v>661.19</v>
      </c>
      <c r="P1273" s="415">
        <v>652.77</v>
      </c>
      <c r="Q1273" s="481">
        <f t="shared" si="65"/>
        <v>-902.21025212999984</v>
      </c>
    </row>
    <row r="1274" spans="1:17" outlineLevel="2" x14ac:dyDescent="0.3">
      <c r="A1274" s="366" t="str">
        <f>IFERROR(VLOOKUP(RIGHT(E1274,3)+0,[1]SchLocTable!$A$2:$B$47,2,FALSE)," ")</f>
        <v>Beardsley</v>
      </c>
      <c r="B1274" s="366" t="str">
        <f>VLOOKUP(VALUE(D1274),$D$3:F$106,3,FALSE)</f>
        <v>Visual Arts</v>
      </c>
      <c r="C1274" t="s">
        <v>314</v>
      </c>
      <c r="D1274">
        <v>813</v>
      </c>
      <c r="E1274" t="s">
        <v>576</v>
      </c>
      <c r="F1274" t="s">
        <v>316</v>
      </c>
      <c r="G1274">
        <v>1</v>
      </c>
      <c r="H1274" s="502">
        <v>51000</v>
      </c>
      <c r="I1274" s="415">
        <v>150452.70995999998</v>
      </c>
      <c r="J1274" s="415">
        <v>0</v>
      </c>
      <c r="K1274" s="415">
        <v>0</v>
      </c>
      <c r="L1274" s="415">
        <v>0</v>
      </c>
      <c r="M1274" s="415">
        <v>79852.259999999995</v>
      </c>
      <c r="N1274" s="415">
        <v>80272.240000000005</v>
      </c>
      <c r="O1274" s="415">
        <v>77032.02</v>
      </c>
      <c r="P1274" s="415">
        <v>75819.12</v>
      </c>
      <c r="Q1274" s="481">
        <f t="shared" si="65"/>
        <v>-150452.70995999998</v>
      </c>
    </row>
    <row r="1275" spans="1:17" outlineLevel="1" x14ac:dyDescent="0.3">
      <c r="A1275" s="366" t="str">
        <f>IFERROR(VLOOKUP(RIGHT(E1275,3)+0,[1]SchLocTable!$A$2:$B$47,2,FALSE)," ")</f>
        <v>Beardsley</v>
      </c>
      <c r="B1275" s="366" t="str">
        <f>VLOOKUP(VALUE(D1275),$D$3:F$106,3,FALSE)</f>
        <v>Visual Arts</v>
      </c>
      <c r="C1275" t="s">
        <v>314</v>
      </c>
      <c r="D1275">
        <v>813</v>
      </c>
      <c r="E1275" t="s">
        <v>576</v>
      </c>
      <c r="F1275" t="s">
        <v>321</v>
      </c>
      <c r="G1275" t="s">
        <v>319</v>
      </c>
      <c r="H1275" s="502">
        <v>52917</v>
      </c>
      <c r="I1275" s="415">
        <v>0</v>
      </c>
      <c r="J1275" s="415">
        <v>0</v>
      </c>
      <c r="K1275" s="415">
        <v>0</v>
      </c>
      <c r="L1275" s="415">
        <v>0</v>
      </c>
      <c r="M1275" s="415">
        <v>30713.4</v>
      </c>
      <c r="N1275" s="415">
        <v>28785.02</v>
      </c>
      <c r="O1275" s="415">
        <v>23581.07</v>
      </c>
      <c r="P1275" s="415">
        <v>22186.29</v>
      </c>
      <c r="Q1275" s="481">
        <f t="shared" si="65"/>
        <v>0</v>
      </c>
    </row>
    <row r="1276" spans="1:17" outlineLevel="2" x14ac:dyDescent="0.3">
      <c r="A1276" s="366" t="str">
        <f>IFERROR(VLOOKUP(RIGHT(E1276,3)+0,[1]SchLocTable!$A$2:$B$47,2,FALSE)," ")</f>
        <v>Beardsley</v>
      </c>
      <c r="B1276" s="366" t="str">
        <f>VLOOKUP(VALUE(D1276),$D$3:F$106,3,FALSE)</f>
        <v>Visual Arts</v>
      </c>
      <c r="C1276" t="s">
        <v>314</v>
      </c>
      <c r="D1276">
        <v>813</v>
      </c>
      <c r="E1276" t="s">
        <v>576</v>
      </c>
      <c r="F1276" t="s">
        <v>320</v>
      </c>
      <c r="G1276" t="s">
        <v>319</v>
      </c>
      <c r="H1276" s="502">
        <v>52360</v>
      </c>
      <c r="I1276" s="415">
        <v>2181.5642944199999</v>
      </c>
      <c r="J1276" s="415">
        <v>0</v>
      </c>
      <c r="K1276" s="415">
        <v>0</v>
      </c>
      <c r="L1276" s="415">
        <v>0</v>
      </c>
      <c r="M1276" s="415">
        <v>1033.8399999999999</v>
      </c>
      <c r="N1276" s="415">
        <v>1064.17</v>
      </c>
      <c r="O1276" s="415">
        <v>1040.22</v>
      </c>
      <c r="P1276" s="415">
        <v>1015.88</v>
      </c>
      <c r="Q1276" s="481">
        <f t="shared" si="65"/>
        <v>-2181.5642944199999</v>
      </c>
    </row>
    <row r="1277" spans="1:17" outlineLevel="2" x14ac:dyDescent="0.3">
      <c r="A1277" s="366" t="str">
        <f>IFERROR(VLOOKUP(RIGHT(E1277,3)+0,[1]SchLocTable!$A$2:$B$47,2,FALSE)," ")</f>
        <v>Beardsley</v>
      </c>
      <c r="B1277" s="366" t="str">
        <f>VLOOKUP(VALUE(D1277),$D$3:F$106,3,FALSE)</f>
        <v>Visual Arts</v>
      </c>
      <c r="C1277" t="s">
        <v>314</v>
      </c>
      <c r="D1277">
        <v>813</v>
      </c>
      <c r="E1277" t="s">
        <v>576</v>
      </c>
      <c r="F1277" t="s">
        <v>324</v>
      </c>
      <c r="G1277" t="s">
        <v>319</v>
      </c>
      <c r="H1277" s="502">
        <v>52385</v>
      </c>
      <c r="I1277" s="415">
        <v>0</v>
      </c>
      <c r="J1277" s="415">
        <v>0</v>
      </c>
      <c r="K1277" s="415">
        <v>0</v>
      </c>
      <c r="L1277" s="415">
        <v>0</v>
      </c>
      <c r="M1277" s="415">
        <v>0</v>
      </c>
      <c r="N1277" s="415">
        <v>0</v>
      </c>
      <c r="O1277" s="415">
        <v>0</v>
      </c>
      <c r="P1277" s="415">
        <v>0</v>
      </c>
      <c r="Q1277" s="481">
        <f t="shared" si="65"/>
        <v>0</v>
      </c>
    </row>
    <row r="1278" spans="1:17" outlineLevel="2" x14ac:dyDescent="0.3">
      <c r="A1278" s="366" t="str">
        <f>IFERROR(VLOOKUP(RIGHT(E1278,3)+0,[1]SchLocTable!$A$2:$B$47,2,FALSE)," ")</f>
        <v>Black Rock</v>
      </c>
      <c r="B1278" s="366" t="str">
        <f>VLOOKUP(VALUE(D1278),$D$3:F$106,3,FALSE)</f>
        <v>Visual Arts</v>
      </c>
      <c r="C1278" t="s">
        <v>314</v>
      </c>
      <c r="D1278">
        <v>813</v>
      </c>
      <c r="E1278" t="s">
        <v>577</v>
      </c>
      <c r="F1278" t="s">
        <v>316</v>
      </c>
      <c r="G1278">
        <v>1</v>
      </c>
      <c r="H1278" s="502">
        <v>51000</v>
      </c>
      <c r="I1278" s="415">
        <v>81769.775880000001</v>
      </c>
      <c r="J1278" s="415">
        <v>77802</v>
      </c>
      <c r="K1278" s="415">
        <v>73480.94</v>
      </c>
      <c r="L1278" s="415">
        <v>68473.08</v>
      </c>
      <c r="M1278" s="415">
        <v>63338.94</v>
      </c>
      <c r="N1278" s="415">
        <v>60485.74</v>
      </c>
      <c r="O1278" s="415">
        <v>0</v>
      </c>
      <c r="P1278" s="415">
        <v>38372.699999999997</v>
      </c>
      <c r="Q1278" s="481">
        <f t="shared" si="65"/>
        <v>-3967.7758800000011</v>
      </c>
    </row>
    <row r="1279" spans="1:17" outlineLevel="2" x14ac:dyDescent="0.3">
      <c r="A1279" s="366" t="str">
        <f>IFERROR(VLOOKUP(RIGHT(E1279,3)+0,[1]SchLocTable!$A$2:$B$47,2,FALSE)," ")</f>
        <v>Black Rock</v>
      </c>
      <c r="B1279" s="366" t="str">
        <f>VLOOKUP(VALUE(D1279),$D$3:F$106,3,FALSE)</f>
        <v>Visual Arts</v>
      </c>
      <c r="C1279" t="s">
        <v>314</v>
      </c>
      <c r="D1279">
        <v>813</v>
      </c>
      <c r="E1279" t="s">
        <v>577</v>
      </c>
      <c r="F1279" t="s">
        <v>320</v>
      </c>
      <c r="G1279" t="s">
        <v>319</v>
      </c>
      <c r="H1279" s="502">
        <v>52360</v>
      </c>
      <c r="I1279" s="415">
        <v>1185.66175026</v>
      </c>
      <c r="J1279" s="415">
        <v>1128</v>
      </c>
      <c r="K1279" s="415">
        <v>1065.48</v>
      </c>
      <c r="L1279" s="415">
        <v>992.86</v>
      </c>
      <c r="M1279" s="415">
        <v>918.41</v>
      </c>
      <c r="N1279" s="415">
        <v>877.04</v>
      </c>
      <c r="O1279" s="415">
        <v>0</v>
      </c>
      <c r="P1279" s="415">
        <v>526.66</v>
      </c>
      <c r="Q1279" s="481">
        <f t="shared" ref="Q1279:Q1342" si="66">J1279-I1279</f>
        <v>-57.661750259999963</v>
      </c>
    </row>
    <row r="1280" spans="1:17" outlineLevel="2" x14ac:dyDescent="0.3">
      <c r="A1280" s="366" t="str">
        <f>IFERROR(VLOOKUP(RIGHT(E1280,3)+0,[1]SchLocTable!$A$2:$B$47,2,FALSE)," ")</f>
        <v>Bryant</v>
      </c>
      <c r="B1280" s="366" t="str">
        <f>VLOOKUP(VALUE(D1280),$D$3:F$106,3,FALSE)</f>
        <v>Visual Arts</v>
      </c>
      <c r="C1280" t="s">
        <v>314</v>
      </c>
      <c r="D1280">
        <v>813</v>
      </c>
      <c r="E1280" t="s">
        <v>578</v>
      </c>
      <c r="F1280" t="s">
        <v>316</v>
      </c>
      <c r="G1280">
        <v>1</v>
      </c>
      <c r="H1280" s="502">
        <v>51000</v>
      </c>
      <c r="I1280" s="415">
        <v>110428.46490000001</v>
      </c>
      <c r="J1280" s="415">
        <v>105070</v>
      </c>
      <c r="K1280" s="415">
        <v>102757.98</v>
      </c>
      <c r="L1280" s="415">
        <v>100497.02</v>
      </c>
      <c r="M1280" s="415">
        <v>99011.9</v>
      </c>
      <c r="N1280" s="415">
        <v>97548.88</v>
      </c>
      <c r="O1280" s="415">
        <v>96106.92</v>
      </c>
      <c r="P1280" s="415">
        <v>94594.08</v>
      </c>
      <c r="Q1280" s="481">
        <f t="shared" si="66"/>
        <v>-5358.4649000000063</v>
      </c>
    </row>
    <row r="1281" spans="1:17" outlineLevel="2" x14ac:dyDescent="0.3">
      <c r="A1281" s="366" t="str">
        <f>IFERROR(VLOOKUP(RIGHT(E1281,3)+0,[1]SchLocTable!$A$2:$B$47,2,FALSE)," ")</f>
        <v>Bryant</v>
      </c>
      <c r="B1281" s="366" t="str">
        <f>VLOOKUP(VALUE(D1281),$D$3:F$106,3,FALSE)</f>
        <v>Visual Arts</v>
      </c>
      <c r="C1281" t="s">
        <v>314</v>
      </c>
      <c r="D1281">
        <v>813</v>
      </c>
      <c r="E1281" t="s">
        <v>578</v>
      </c>
      <c r="F1281" t="s">
        <v>321</v>
      </c>
      <c r="G1281" t="s">
        <v>319</v>
      </c>
      <c r="H1281" s="502">
        <v>52917</v>
      </c>
      <c r="I1281" s="415">
        <v>46330.955999999998</v>
      </c>
      <c r="J1281" s="415">
        <v>38609.129999999997</v>
      </c>
      <c r="K1281" s="415">
        <v>35075.879999999997</v>
      </c>
      <c r="L1281" s="415">
        <v>34606.949999999997</v>
      </c>
      <c r="M1281" s="415">
        <v>32449.200000000001</v>
      </c>
      <c r="N1281" s="415">
        <v>30308.67</v>
      </c>
      <c r="O1281" s="415">
        <v>29077.5</v>
      </c>
      <c r="P1281" s="415">
        <v>27385.05</v>
      </c>
      <c r="Q1281" s="481">
        <f t="shared" si="66"/>
        <v>-7721.8260000000009</v>
      </c>
    </row>
    <row r="1282" spans="1:17" outlineLevel="2" x14ac:dyDescent="0.3">
      <c r="A1282" s="366" t="str">
        <f>IFERROR(VLOOKUP(RIGHT(E1282,3)+0,[1]SchLocTable!$A$2:$B$47,2,FALSE)," ")</f>
        <v>Bryant</v>
      </c>
      <c r="B1282" s="366" t="str">
        <f>VLOOKUP(VALUE(D1282),$D$3:F$106,3,FALSE)</f>
        <v>Visual Arts</v>
      </c>
      <c r="C1282" t="s">
        <v>314</v>
      </c>
      <c r="D1282">
        <v>813</v>
      </c>
      <c r="E1282" t="s">
        <v>578</v>
      </c>
      <c r="F1282" t="s">
        <v>318</v>
      </c>
      <c r="G1282" t="s">
        <v>319</v>
      </c>
      <c r="H1282" s="502">
        <v>51140</v>
      </c>
      <c r="I1282" s="415">
        <v>1200</v>
      </c>
      <c r="J1282" s="415">
        <v>0</v>
      </c>
      <c r="K1282" s="415">
        <v>1200</v>
      </c>
      <c r="L1282" s="415">
        <v>1100</v>
      </c>
      <c r="M1282" s="415">
        <v>1100</v>
      </c>
      <c r="N1282" s="415">
        <v>1100</v>
      </c>
      <c r="O1282" s="415">
        <v>1100</v>
      </c>
      <c r="P1282" s="415">
        <v>1100</v>
      </c>
      <c r="Q1282" s="481">
        <f t="shared" si="66"/>
        <v>-1200</v>
      </c>
    </row>
    <row r="1283" spans="1:17" outlineLevel="2" x14ac:dyDescent="0.3">
      <c r="A1283" s="366" t="str">
        <f>IFERROR(VLOOKUP(RIGHT(E1283,3)+0,[1]SchLocTable!$A$2:$B$47,2,FALSE)," ")</f>
        <v>Bryant</v>
      </c>
      <c r="B1283" s="366" t="str">
        <f>VLOOKUP(VALUE(D1283),$D$3:F$106,3,FALSE)</f>
        <v>Visual Arts</v>
      </c>
      <c r="C1283" t="s">
        <v>314</v>
      </c>
      <c r="D1283">
        <v>813</v>
      </c>
      <c r="E1283" t="s">
        <v>578</v>
      </c>
      <c r="F1283" t="s">
        <v>320</v>
      </c>
      <c r="G1283" t="s">
        <v>319</v>
      </c>
      <c r="H1283" s="502">
        <v>52360</v>
      </c>
      <c r="I1283" s="415">
        <v>1601.2127410500002</v>
      </c>
      <c r="J1283" s="415">
        <v>1332</v>
      </c>
      <c r="K1283" s="415">
        <v>1357.66</v>
      </c>
      <c r="L1283" s="415">
        <v>1329.85</v>
      </c>
      <c r="M1283" s="415">
        <v>1320.88</v>
      </c>
      <c r="N1283" s="415">
        <v>1312.07</v>
      </c>
      <c r="O1283" s="415">
        <v>1299.08</v>
      </c>
      <c r="P1283" s="415">
        <v>1285.03</v>
      </c>
      <c r="Q1283" s="481">
        <f t="shared" si="66"/>
        <v>-269.2127410500002</v>
      </c>
    </row>
    <row r="1284" spans="1:17" outlineLevel="2" x14ac:dyDescent="0.3">
      <c r="A1284" s="366" t="str">
        <f>IFERROR(VLOOKUP(RIGHT(E1284,3)+0,[1]SchLocTable!$A$2:$B$47,2,FALSE)," ")</f>
        <v>Columbus</v>
      </c>
      <c r="B1284" s="366" t="str">
        <f>VLOOKUP(VALUE(D1284),$D$3:F$106,3,FALSE)</f>
        <v>Visual Arts</v>
      </c>
      <c r="C1284" t="s">
        <v>314</v>
      </c>
      <c r="D1284">
        <v>813</v>
      </c>
      <c r="E1284" t="s">
        <v>579</v>
      </c>
      <c r="F1284" t="s">
        <v>316</v>
      </c>
      <c r="G1284">
        <v>1</v>
      </c>
      <c r="H1284" s="502">
        <v>51000</v>
      </c>
      <c r="I1284" s="415">
        <v>58375.714019999992</v>
      </c>
      <c r="J1284" s="415">
        <v>52250</v>
      </c>
      <c r="K1284" s="415">
        <v>0</v>
      </c>
      <c r="L1284" s="415">
        <v>0</v>
      </c>
      <c r="M1284" s="415">
        <v>45000</v>
      </c>
      <c r="N1284" s="415">
        <v>69327.960000000006</v>
      </c>
      <c r="O1284" s="415">
        <v>66331.98</v>
      </c>
      <c r="P1284" s="415">
        <v>65288.08</v>
      </c>
      <c r="Q1284" s="481">
        <f t="shared" si="66"/>
        <v>-6125.7140199999922</v>
      </c>
    </row>
    <row r="1285" spans="1:17" outlineLevel="2" x14ac:dyDescent="0.3">
      <c r="A1285" s="366" t="str">
        <f>IFERROR(VLOOKUP(RIGHT(E1285,3)+0,[1]SchLocTable!$A$2:$B$47,2,FALSE)," ")</f>
        <v>Columbus</v>
      </c>
      <c r="B1285" s="366" t="str">
        <f>VLOOKUP(VALUE(D1285),$D$3:F$106,3,FALSE)</f>
        <v>Visual Arts</v>
      </c>
      <c r="C1285" t="s">
        <v>314</v>
      </c>
      <c r="D1285">
        <v>813</v>
      </c>
      <c r="E1285" t="s">
        <v>579</v>
      </c>
      <c r="F1285" t="s">
        <v>321</v>
      </c>
      <c r="G1285" t="s">
        <v>319</v>
      </c>
      <c r="H1285" s="502">
        <v>52917</v>
      </c>
      <c r="I1285" s="415">
        <v>0</v>
      </c>
      <c r="J1285" s="415">
        <v>0</v>
      </c>
      <c r="K1285" s="415">
        <v>0</v>
      </c>
      <c r="L1285" s="415">
        <v>0</v>
      </c>
      <c r="M1285" s="415">
        <v>3130.5</v>
      </c>
      <c r="N1285" s="415">
        <v>30308.67</v>
      </c>
      <c r="O1285" s="415">
        <v>29077.5</v>
      </c>
      <c r="P1285" s="415">
        <v>27385.05</v>
      </c>
      <c r="Q1285" s="481">
        <f t="shared" si="66"/>
        <v>0</v>
      </c>
    </row>
    <row r="1286" spans="1:17" outlineLevel="2" x14ac:dyDescent="0.3">
      <c r="A1286" s="366" t="str">
        <f>IFERROR(VLOOKUP(RIGHT(E1286,3)+0,[1]SchLocTable!$A$2:$B$47,2,FALSE)," ")</f>
        <v>Columbus</v>
      </c>
      <c r="B1286" s="366" t="str">
        <f>VLOOKUP(VALUE(D1286),$D$3:F$106,3,FALSE)</f>
        <v>Visual Arts</v>
      </c>
      <c r="C1286" t="s">
        <v>314</v>
      </c>
      <c r="D1286">
        <v>813</v>
      </c>
      <c r="E1286" t="s">
        <v>579</v>
      </c>
      <c r="F1286" t="s">
        <v>320</v>
      </c>
      <c r="G1286" t="s">
        <v>319</v>
      </c>
      <c r="H1286" s="502">
        <v>52360</v>
      </c>
      <c r="I1286" s="415">
        <v>846.4478532899999</v>
      </c>
      <c r="J1286" s="415">
        <v>757.63</v>
      </c>
      <c r="K1286" s="415">
        <v>0</v>
      </c>
      <c r="L1286" s="415">
        <v>0</v>
      </c>
      <c r="M1286" s="415">
        <v>639.89</v>
      </c>
      <c r="N1286" s="415">
        <v>886.92</v>
      </c>
      <c r="O1286" s="415">
        <v>851.37</v>
      </c>
      <c r="P1286" s="415">
        <v>844.14</v>
      </c>
      <c r="Q1286" s="481">
        <f t="shared" si="66"/>
        <v>-88.817853289999903</v>
      </c>
    </row>
    <row r="1287" spans="1:17" outlineLevel="2" x14ac:dyDescent="0.3">
      <c r="A1287" s="366" t="str">
        <f>IFERROR(VLOOKUP(RIGHT(E1287,3)+0,[1]SchLocTable!$A$2:$B$47,2,FALSE)," ")</f>
        <v>Columbus</v>
      </c>
      <c r="B1287" s="366" t="str">
        <f>VLOOKUP(VALUE(D1287),$D$3:F$106,3,FALSE)</f>
        <v>Visual Arts</v>
      </c>
      <c r="C1287" t="s">
        <v>314</v>
      </c>
      <c r="D1287">
        <v>813</v>
      </c>
      <c r="E1287" t="s">
        <v>579</v>
      </c>
      <c r="F1287" t="s">
        <v>324</v>
      </c>
      <c r="G1287" t="s">
        <v>319</v>
      </c>
      <c r="H1287" s="502">
        <v>52385</v>
      </c>
      <c r="I1287" s="415">
        <v>0</v>
      </c>
      <c r="J1287" s="415">
        <v>0</v>
      </c>
      <c r="K1287" s="415">
        <v>0</v>
      </c>
      <c r="L1287" s="415">
        <v>0</v>
      </c>
      <c r="M1287" s="415">
        <v>2736.06</v>
      </c>
      <c r="N1287" s="415">
        <v>0</v>
      </c>
      <c r="O1287" s="415">
        <v>0</v>
      </c>
      <c r="P1287" s="415">
        <v>0</v>
      </c>
      <c r="Q1287" s="481">
        <f t="shared" si="66"/>
        <v>0</v>
      </c>
    </row>
    <row r="1288" spans="1:17" outlineLevel="1" x14ac:dyDescent="0.3">
      <c r="A1288" s="366" t="str">
        <f>IFERROR(VLOOKUP(RIGHT(E1288,3)+0,[1]SchLocTable!$A$2:$B$47,2,FALSE)," ")</f>
        <v>Edison</v>
      </c>
      <c r="B1288" s="366" t="str">
        <f>VLOOKUP(VALUE(D1288),$D$3:F$106,3,FALSE)</f>
        <v>Visual Arts</v>
      </c>
      <c r="C1288" t="s">
        <v>314</v>
      </c>
      <c r="D1288">
        <v>813</v>
      </c>
      <c r="E1288" t="s">
        <v>580</v>
      </c>
      <c r="F1288" t="s">
        <v>316</v>
      </c>
      <c r="G1288">
        <v>1</v>
      </c>
      <c r="H1288" s="502">
        <v>51000</v>
      </c>
      <c r="I1288" s="415">
        <v>67234.52996</v>
      </c>
      <c r="J1288" s="415">
        <v>63972</v>
      </c>
      <c r="K1288" s="415">
        <v>60946.080000000002</v>
      </c>
      <c r="L1288" s="415">
        <v>57346.12</v>
      </c>
      <c r="M1288" s="415">
        <v>42279.38</v>
      </c>
      <c r="N1288" s="415">
        <v>0</v>
      </c>
      <c r="O1288" s="415">
        <v>0</v>
      </c>
      <c r="P1288" s="415">
        <v>0</v>
      </c>
      <c r="Q1288" s="481">
        <f t="shared" si="66"/>
        <v>-3262.5299599999998</v>
      </c>
    </row>
    <row r="1289" spans="1:17" outlineLevel="2" x14ac:dyDescent="0.3">
      <c r="A1289" s="366" t="str">
        <f>IFERROR(VLOOKUP(RIGHT(E1289,3)+0,[1]SchLocTable!$A$2:$B$47,2,FALSE)," ")</f>
        <v>Edison</v>
      </c>
      <c r="B1289" s="366" t="str">
        <f>VLOOKUP(VALUE(D1289),$D$3:F$106,3,FALSE)</f>
        <v>Visual Arts</v>
      </c>
      <c r="C1289" t="s">
        <v>314</v>
      </c>
      <c r="D1289">
        <v>813</v>
      </c>
      <c r="E1289" t="s">
        <v>580</v>
      </c>
      <c r="F1289" t="s">
        <v>321</v>
      </c>
      <c r="G1289" t="s">
        <v>319</v>
      </c>
      <c r="H1289" s="502">
        <v>52917</v>
      </c>
      <c r="I1289" s="415">
        <v>15644.663999999999</v>
      </c>
      <c r="J1289" s="415">
        <v>13037.22</v>
      </c>
      <c r="K1289" s="415">
        <v>11844</v>
      </c>
      <c r="L1289" s="415">
        <v>11684.82</v>
      </c>
      <c r="M1289" s="415">
        <v>8348</v>
      </c>
      <c r="N1289" s="415">
        <v>0</v>
      </c>
      <c r="O1289" s="415">
        <v>0</v>
      </c>
      <c r="P1289" s="415">
        <v>0</v>
      </c>
      <c r="Q1289" s="481">
        <f t="shared" si="66"/>
        <v>-2607.4439999999995</v>
      </c>
    </row>
    <row r="1290" spans="1:17" outlineLevel="2" x14ac:dyDescent="0.3">
      <c r="A1290" s="366" t="str">
        <f>IFERROR(VLOOKUP(RIGHT(E1290,3)+0,[1]SchLocTable!$A$2:$B$47,2,FALSE)," ")</f>
        <v>Edison</v>
      </c>
      <c r="B1290" s="366" t="str">
        <f>VLOOKUP(VALUE(D1290),$D$3:F$106,3,FALSE)</f>
        <v>Visual Arts</v>
      </c>
      <c r="C1290" t="s">
        <v>314</v>
      </c>
      <c r="D1290">
        <v>813</v>
      </c>
      <c r="E1290" t="s">
        <v>580</v>
      </c>
      <c r="F1290" t="s">
        <v>320</v>
      </c>
      <c r="G1290" t="s">
        <v>319</v>
      </c>
      <c r="H1290" s="502">
        <v>52360</v>
      </c>
      <c r="I1290" s="415">
        <v>974.90068442000006</v>
      </c>
      <c r="J1290" s="415">
        <v>857</v>
      </c>
      <c r="K1290" s="415">
        <v>834.6</v>
      </c>
      <c r="L1290" s="415">
        <v>783.13</v>
      </c>
      <c r="M1290" s="415">
        <v>579.4</v>
      </c>
      <c r="N1290" s="415">
        <v>0</v>
      </c>
      <c r="O1290" s="415">
        <v>0</v>
      </c>
      <c r="P1290" s="415">
        <v>0</v>
      </c>
      <c r="Q1290" s="481">
        <f t="shared" si="66"/>
        <v>-117.90068442000006</v>
      </c>
    </row>
    <row r="1291" spans="1:17" outlineLevel="2" x14ac:dyDescent="0.3">
      <c r="A1291" s="366" t="str">
        <f>IFERROR(VLOOKUP(RIGHT(E1291,3)+0,[1]SchLocTable!$A$2:$B$47,2,FALSE)," ")</f>
        <v>Physical Science HS</v>
      </c>
      <c r="B1291" s="366" t="str">
        <f>VLOOKUP(VALUE(D1291),$D$3:F$106,3,FALSE)</f>
        <v>Visual Arts</v>
      </c>
      <c r="C1291" t="s">
        <v>314</v>
      </c>
      <c r="D1291">
        <v>813</v>
      </c>
      <c r="E1291" t="s">
        <v>581</v>
      </c>
      <c r="F1291" t="s">
        <v>316</v>
      </c>
      <c r="G1291">
        <v>1</v>
      </c>
      <c r="H1291" s="502">
        <v>51000</v>
      </c>
      <c r="I1291" s="415">
        <v>77228.636099999989</v>
      </c>
      <c r="J1291" s="415">
        <v>73481</v>
      </c>
      <c r="K1291" s="415">
        <v>69157.919999999998</v>
      </c>
      <c r="L1291" s="415">
        <v>64194</v>
      </c>
      <c r="M1291" s="415">
        <v>56913.88</v>
      </c>
      <c r="N1291" s="415">
        <v>53917.9</v>
      </c>
      <c r="O1291" s="415">
        <v>49902.98</v>
      </c>
      <c r="P1291" s="415">
        <v>46069.94</v>
      </c>
      <c r="Q1291" s="481">
        <f t="shared" si="66"/>
        <v>-3747.6360999999888</v>
      </c>
    </row>
    <row r="1292" spans="1:17" outlineLevel="2" x14ac:dyDescent="0.3">
      <c r="A1292" s="366" t="str">
        <f>IFERROR(VLOOKUP(RIGHT(E1292,3)+0,[1]SchLocTable!$A$2:$B$47,2,FALSE)," ")</f>
        <v>Physical Science HS</v>
      </c>
      <c r="B1292" s="366" t="str">
        <f>VLOOKUP(VALUE(D1292),$D$3:F$106,3,FALSE)</f>
        <v>Visual Arts</v>
      </c>
      <c r="C1292" t="s">
        <v>314</v>
      </c>
      <c r="D1292">
        <v>813</v>
      </c>
      <c r="E1292" t="s">
        <v>581</v>
      </c>
      <c r="F1292" t="s">
        <v>321</v>
      </c>
      <c r="G1292" t="s">
        <v>319</v>
      </c>
      <c r="H1292" s="502">
        <v>52917</v>
      </c>
      <c r="I1292" s="415">
        <v>16158.239999999998</v>
      </c>
      <c r="J1292" s="415">
        <v>13465.2</v>
      </c>
      <c r="K1292" s="415">
        <v>12471.6</v>
      </c>
      <c r="L1292" s="415">
        <v>12644.31</v>
      </c>
      <c r="M1292" s="415">
        <v>11812.92</v>
      </c>
      <c r="N1292" s="415">
        <v>25041.87</v>
      </c>
      <c r="O1292" s="415">
        <v>24005.06</v>
      </c>
      <c r="P1292" s="415">
        <v>22634.639999999999</v>
      </c>
      <c r="Q1292" s="481">
        <f t="shared" si="66"/>
        <v>-2693.0399999999972</v>
      </c>
    </row>
    <row r="1293" spans="1:17" outlineLevel="2" x14ac:dyDescent="0.3">
      <c r="A1293" s="366" t="str">
        <f>IFERROR(VLOOKUP(RIGHT(E1293,3)+0,[1]SchLocTable!$A$2:$B$47,2,FALSE)," ")</f>
        <v>Physical Science HS</v>
      </c>
      <c r="B1293" s="366" t="str">
        <f>VLOOKUP(VALUE(D1293),$D$3:F$106,3,FALSE)</f>
        <v>Visual Arts</v>
      </c>
      <c r="C1293" t="s">
        <v>314</v>
      </c>
      <c r="D1293">
        <v>813</v>
      </c>
      <c r="E1293" t="s">
        <v>581</v>
      </c>
      <c r="F1293" t="s">
        <v>320</v>
      </c>
      <c r="G1293" t="s">
        <v>319</v>
      </c>
      <c r="H1293" s="502">
        <v>52360</v>
      </c>
      <c r="I1293" s="415">
        <v>1119.8152234499998</v>
      </c>
      <c r="J1293" s="415">
        <v>993</v>
      </c>
      <c r="K1293" s="415">
        <v>950.56</v>
      </c>
      <c r="L1293" s="415">
        <v>879.96</v>
      </c>
      <c r="M1293" s="415">
        <v>822.41</v>
      </c>
      <c r="N1293" s="415">
        <v>727.9</v>
      </c>
      <c r="O1293" s="415">
        <v>693.62</v>
      </c>
      <c r="P1293" s="415">
        <v>670.78</v>
      </c>
      <c r="Q1293" s="481">
        <f t="shared" si="66"/>
        <v>-126.81522344999985</v>
      </c>
    </row>
    <row r="1294" spans="1:17" outlineLevel="1" x14ac:dyDescent="0.3">
      <c r="A1294" s="366" t="str">
        <f>IFERROR(VLOOKUP(RIGHT(E1294,3)+0,[1]SchLocTable!$A$2:$B$47,2,FALSE)," ")</f>
        <v>Marin</v>
      </c>
      <c r="B1294" s="366" t="str">
        <f>VLOOKUP(VALUE(D1294),$D$3:F$106,3,FALSE)</f>
        <v>Visual Arts</v>
      </c>
      <c r="C1294" t="s">
        <v>314</v>
      </c>
      <c r="D1294">
        <v>813</v>
      </c>
      <c r="E1294" t="s">
        <v>582</v>
      </c>
      <c r="F1294" t="s">
        <v>316</v>
      </c>
      <c r="G1294">
        <v>3</v>
      </c>
      <c r="H1294" s="502">
        <v>51000</v>
      </c>
      <c r="I1294" s="415">
        <v>218755.68953999996</v>
      </c>
      <c r="J1294" s="415">
        <v>52562</v>
      </c>
      <c r="K1294" s="415">
        <v>50327.29</v>
      </c>
      <c r="L1294" s="415">
        <v>149302.76</v>
      </c>
      <c r="M1294" s="415">
        <v>158386.39000000001</v>
      </c>
      <c r="N1294" s="415">
        <v>158363.92000000001</v>
      </c>
      <c r="O1294" s="415">
        <v>142987</v>
      </c>
      <c r="P1294" s="415">
        <v>140735.92000000001</v>
      </c>
      <c r="Q1294" s="481">
        <f t="shared" si="66"/>
        <v>-166193.68953999996</v>
      </c>
    </row>
    <row r="1295" spans="1:17" outlineLevel="2" x14ac:dyDescent="0.3">
      <c r="A1295" s="366" t="str">
        <f>IFERROR(VLOOKUP(RIGHT(E1295,3)+0,[1]SchLocTable!$A$2:$B$47,2,FALSE)," ")</f>
        <v>Marin</v>
      </c>
      <c r="B1295" s="366" t="str">
        <f>VLOOKUP(VALUE(D1295),$D$3:F$106,3,FALSE)</f>
        <v>Visual Arts</v>
      </c>
      <c r="C1295" t="s">
        <v>314</v>
      </c>
      <c r="D1295">
        <v>813</v>
      </c>
      <c r="E1295" t="s">
        <v>582</v>
      </c>
      <c r="F1295" t="s">
        <v>321</v>
      </c>
      <c r="G1295" t="s">
        <v>319</v>
      </c>
      <c r="H1295" s="502">
        <v>52917</v>
      </c>
      <c r="I1295" s="415">
        <v>78730.956000000006</v>
      </c>
      <c r="J1295" s="415">
        <v>0</v>
      </c>
      <c r="K1295" s="415">
        <v>1128</v>
      </c>
      <c r="L1295" s="415">
        <v>11684.82</v>
      </c>
      <c r="M1295" s="415">
        <v>42610.15</v>
      </c>
      <c r="N1295" s="415">
        <v>40112.730000000003</v>
      </c>
      <c r="O1295" s="415">
        <v>19635.36</v>
      </c>
      <c r="P1295" s="415">
        <v>18538.38</v>
      </c>
      <c r="Q1295" s="481">
        <f t="shared" si="66"/>
        <v>-78730.956000000006</v>
      </c>
    </row>
    <row r="1296" spans="1:17" outlineLevel="2" x14ac:dyDescent="0.3">
      <c r="A1296" s="366" t="str">
        <f>IFERROR(VLOOKUP(RIGHT(E1296,3)+0,[1]SchLocTable!$A$2:$B$47,2,FALSE)," ")</f>
        <v>Marin</v>
      </c>
      <c r="B1296" s="366" t="str">
        <f>VLOOKUP(VALUE(D1296),$D$3:F$106,3,FALSE)</f>
        <v>Visual Arts</v>
      </c>
      <c r="C1296" t="s">
        <v>314</v>
      </c>
      <c r="D1296">
        <v>813</v>
      </c>
      <c r="E1296" t="s">
        <v>582</v>
      </c>
      <c r="F1296" t="s">
        <v>318</v>
      </c>
      <c r="G1296" t="s">
        <v>319</v>
      </c>
      <c r="H1296" s="502">
        <v>51140</v>
      </c>
      <c r="I1296" s="415">
        <v>900</v>
      </c>
      <c r="J1296" s="415">
        <v>0</v>
      </c>
      <c r="K1296" s="415">
        <v>0</v>
      </c>
      <c r="L1296" s="415">
        <v>1100</v>
      </c>
      <c r="M1296" s="415">
        <v>900</v>
      </c>
      <c r="N1296" s="415">
        <v>900</v>
      </c>
      <c r="O1296" s="415">
        <v>900</v>
      </c>
      <c r="P1296" s="415">
        <v>900</v>
      </c>
      <c r="Q1296" s="481">
        <f t="shared" si="66"/>
        <v>-900</v>
      </c>
    </row>
    <row r="1297" spans="1:17" outlineLevel="2" x14ac:dyDescent="0.3">
      <c r="A1297" s="366" t="str">
        <f>IFERROR(VLOOKUP(RIGHT(E1297,3)+0,[1]SchLocTable!$A$2:$B$47,2,FALSE)," ")</f>
        <v>Marin</v>
      </c>
      <c r="B1297" s="366" t="str">
        <f>VLOOKUP(VALUE(D1297),$D$3:F$106,3,FALSE)</f>
        <v>Visual Arts</v>
      </c>
      <c r="C1297" t="s">
        <v>314</v>
      </c>
      <c r="D1297">
        <v>813</v>
      </c>
      <c r="E1297" t="s">
        <v>582</v>
      </c>
      <c r="F1297" t="s">
        <v>320</v>
      </c>
      <c r="G1297" t="s">
        <v>319</v>
      </c>
      <c r="H1297" s="502">
        <v>52360</v>
      </c>
      <c r="I1297" s="415">
        <v>3171.9574983299999</v>
      </c>
      <c r="J1297" s="415">
        <v>762</v>
      </c>
      <c r="K1297" s="415">
        <v>724.92</v>
      </c>
      <c r="L1297" s="415">
        <v>2132.4499999999998</v>
      </c>
      <c r="M1297" s="415">
        <v>2154.98</v>
      </c>
      <c r="N1297" s="415">
        <v>2152.13</v>
      </c>
      <c r="O1297" s="415">
        <v>1986.66</v>
      </c>
      <c r="P1297" s="415">
        <v>1984.38</v>
      </c>
      <c r="Q1297" s="481">
        <f t="shared" si="66"/>
        <v>-2409.9574983299999</v>
      </c>
    </row>
    <row r="1298" spans="1:17" outlineLevel="2" x14ac:dyDescent="0.3">
      <c r="A1298" s="366" t="str">
        <f>IFERROR(VLOOKUP(RIGHT(E1298,3)+0,[1]SchLocTable!$A$2:$B$47,2,FALSE)," ")</f>
        <v>Marin</v>
      </c>
      <c r="B1298" s="366" t="str">
        <f>VLOOKUP(VALUE(D1298),$D$3:F$106,3,FALSE)</f>
        <v>Visual Arts</v>
      </c>
      <c r="C1298" t="s">
        <v>314</v>
      </c>
      <c r="D1298">
        <v>813</v>
      </c>
      <c r="E1298" t="s">
        <v>582</v>
      </c>
      <c r="F1298" t="s">
        <v>324</v>
      </c>
      <c r="G1298" t="s">
        <v>319</v>
      </c>
      <c r="H1298" s="502">
        <v>52385</v>
      </c>
      <c r="I1298" s="415">
        <v>0</v>
      </c>
      <c r="J1298" s="415">
        <v>0</v>
      </c>
      <c r="K1298" s="415">
        <v>0</v>
      </c>
      <c r="L1298" s="415">
        <v>682</v>
      </c>
      <c r="M1298" s="415">
        <v>0</v>
      </c>
      <c r="N1298" s="415">
        <v>0</v>
      </c>
      <c r="O1298" s="415">
        <v>0</v>
      </c>
      <c r="P1298" s="415">
        <v>0</v>
      </c>
      <c r="Q1298" s="481">
        <f t="shared" si="66"/>
        <v>0</v>
      </c>
    </row>
    <row r="1299" spans="1:17" outlineLevel="2" x14ac:dyDescent="0.3">
      <c r="A1299" s="366" t="str">
        <f>IFERROR(VLOOKUP(RIGHT(E1299,3)+0,[1]SchLocTable!$A$2:$B$47,2,FALSE)," ")</f>
        <v>Hall</v>
      </c>
      <c r="B1299" s="366" t="str">
        <f>VLOOKUP(VALUE(D1299),$D$3:F$106,3,FALSE)</f>
        <v>Visual Arts</v>
      </c>
      <c r="C1299" t="s">
        <v>314</v>
      </c>
      <c r="D1299">
        <v>813</v>
      </c>
      <c r="E1299" t="s">
        <v>583</v>
      </c>
      <c r="F1299" t="s">
        <v>316</v>
      </c>
      <c r="G1299">
        <v>1</v>
      </c>
      <c r="H1299" s="502">
        <v>51000</v>
      </c>
      <c r="I1299" s="415">
        <v>110428.49642999998</v>
      </c>
      <c r="J1299" s="415">
        <v>105070</v>
      </c>
      <c r="K1299" s="415">
        <v>70184.929999999993</v>
      </c>
      <c r="L1299" s="415">
        <v>100497.02</v>
      </c>
      <c r="M1299" s="415">
        <v>99011.9</v>
      </c>
      <c r="N1299" s="415">
        <v>84953.35</v>
      </c>
      <c r="O1299" s="415">
        <v>96106.92</v>
      </c>
      <c r="P1299" s="415">
        <v>94593.98</v>
      </c>
      <c r="Q1299" s="481">
        <f t="shared" si="66"/>
        <v>-5358.4964299999847</v>
      </c>
    </row>
    <row r="1300" spans="1:17" outlineLevel="2" x14ac:dyDescent="0.3">
      <c r="A1300" s="366" t="str">
        <f>IFERROR(VLOOKUP(RIGHT(E1300,3)+0,[1]SchLocTable!$A$2:$B$47,2,FALSE)," ")</f>
        <v>Hall</v>
      </c>
      <c r="B1300" s="366" t="str">
        <f>VLOOKUP(VALUE(D1300),$D$3:F$106,3,FALSE)</f>
        <v>Visual Arts</v>
      </c>
      <c r="C1300" t="s">
        <v>314</v>
      </c>
      <c r="D1300">
        <v>813</v>
      </c>
      <c r="E1300" t="s">
        <v>583</v>
      </c>
      <c r="F1300" t="s">
        <v>321</v>
      </c>
      <c r="G1300" t="s">
        <v>319</v>
      </c>
      <c r="H1300" s="502">
        <v>52917</v>
      </c>
      <c r="I1300" s="415">
        <v>16158.239999999998</v>
      </c>
      <c r="J1300" s="415">
        <v>13465.2</v>
      </c>
      <c r="K1300" s="415">
        <v>10528.56</v>
      </c>
      <c r="L1300" s="415">
        <v>12164.67</v>
      </c>
      <c r="M1300" s="415">
        <v>11384.73</v>
      </c>
      <c r="N1300" s="415">
        <v>10712.73</v>
      </c>
      <c r="O1300" s="415">
        <v>10241.67</v>
      </c>
      <c r="P1300" s="415">
        <v>9693.6</v>
      </c>
      <c r="Q1300" s="481">
        <f t="shared" si="66"/>
        <v>-2693.0399999999972</v>
      </c>
    </row>
    <row r="1301" spans="1:17" outlineLevel="2" x14ac:dyDescent="0.3">
      <c r="A1301" s="366" t="str">
        <f>IFERROR(VLOOKUP(RIGHT(E1301,3)+0,[1]SchLocTable!$A$2:$B$47,2,FALSE)," ")</f>
        <v>Hall</v>
      </c>
      <c r="B1301" s="366" t="str">
        <f>VLOOKUP(VALUE(D1301),$D$3:F$106,3,FALSE)</f>
        <v>Visual Arts</v>
      </c>
      <c r="C1301" t="s">
        <v>314</v>
      </c>
      <c r="D1301">
        <v>813</v>
      </c>
      <c r="E1301" t="s">
        <v>583</v>
      </c>
      <c r="F1301" t="s">
        <v>318</v>
      </c>
      <c r="G1301" t="s">
        <v>319</v>
      </c>
      <c r="H1301" s="502">
        <v>51140</v>
      </c>
      <c r="I1301" s="415">
        <v>1100</v>
      </c>
      <c r="J1301" s="415">
        <v>0</v>
      </c>
      <c r="K1301" s="415">
        <v>1100</v>
      </c>
      <c r="L1301" s="415">
        <v>1100</v>
      </c>
      <c r="M1301" s="415">
        <v>900</v>
      </c>
      <c r="N1301" s="415">
        <v>900</v>
      </c>
      <c r="O1301" s="415">
        <v>900</v>
      </c>
      <c r="P1301" s="415">
        <v>900</v>
      </c>
      <c r="Q1301" s="481">
        <f t="shared" si="66"/>
        <v>-1100</v>
      </c>
    </row>
    <row r="1302" spans="1:17" outlineLevel="2" x14ac:dyDescent="0.3">
      <c r="A1302" s="366" t="str">
        <f>IFERROR(VLOOKUP(RIGHT(E1302,3)+0,[1]SchLocTable!$A$2:$B$47,2,FALSE)," ")</f>
        <v>Hall</v>
      </c>
      <c r="B1302" s="366" t="str">
        <f>VLOOKUP(VALUE(D1302),$D$3:F$106,3,FALSE)</f>
        <v>Visual Arts</v>
      </c>
      <c r="C1302" t="s">
        <v>314</v>
      </c>
      <c r="D1302">
        <v>813</v>
      </c>
      <c r="E1302" t="s">
        <v>583</v>
      </c>
      <c r="F1302" t="s">
        <v>320</v>
      </c>
      <c r="G1302" t="s">
        <v>319</v>
      </c>
      <c r="H1302" s="502">
        <v>52360</v>
      </c>
      <c r="I1302" s="415">
        <v>1601.2131982349999</v>
      </c>
      <c r="J1302" s="415">
        <v>1467</v>
      </c>
      <c r="K1302" s="415">
        <v>1117.1400000000001</v>
      </c>
      <c r="L1302" s="415">
        <v>1423.53</v>
      </c>
      <c r="M1302" s="415">
        <v>1403.47</v>
      </c>
      <c r="N1302" s="415">
        <v>1386.32</v>
      </c>
      <c r="O1302" s="415">
        <v>1368.23</v>
      </c>
      <c r="P1302" s="415">
        <v>1349.31</v>
      </c>
      <c r="Q1302" s="481">
        <f t="shared" si="66"/>
        <v>-134.21319823499994</v>
      </c>
    </row>
    <row r="1303" spans="1:17" outlineLevel="2" x14ac:dyDescent="0.3">
      <c r="A1303" s="366" t="str">
        <f>IFERROR(VLOOKUP(RIGHT(E1303,3)+0,[1]SchLocTable!$A$2:$B$47,2,FALSE)," ")</f>
        <v>Hallen</v>
      </c>
      <c r="B1303" s="366" t="str">
        <f>VLOOKUP(VALUE(D1303),$D$3:F$106,3,FALSE)</f>
        <v>Visual Arts</v>
      </c>
      <c r="C1303" t="s">
        <v>314</v>
      </c>
      <c r="D1303">
        <v>813</v>
      </c>
      <c r="E1303" t="s">
        <v>584</v>
      </c>
      <c r="F1303" t="s">
        <v>316</v>
      </c>
      <c r="G1303">
        <v>1</v>
      </c>
      <c r="H1303" s="502">
        <v>51000</v>
      </c>
      <c r="I1303" s="415">
        <v>60721.514489999994</v>
      </c>
      <c r="J1303" s="415">
        <v>55290.36</v>
      </c>
      <c r="K1303" s="415">
        <v>0</v>
      </c>
      <c r="L1303" s="415">
        <v>8435.0400000000009</v>
      </c>
      <c r="M1303" s="415">
        <v>57346.12</v>
      </c>
      <c r="N1303" s="415">
        <v>0</v>
      </c>
      <c r="O1303" s="415">
        <v>59913.88</v>
      </c>
      <c r="P1303" s="415">
        <v>41199.67</v>
      </c>
      <c r="Q1303" s="481">
        <f t="shared" si="66"/>
        <v>-5431.1544899999935</v>
      </c>
    </row>
    <row r="1304" spans="1:17" outlineLevel="2" x14ac:dyDescent="0.3">
      <c r="A1304" s="366" t="str">
        <f>IFERROR(VLOOKUP(RIGHT(E1304,3)+0,[1]SchLocTable!$A$2:$B$47,2,FALSE)," ")</f>
        <v>Hallen</v>
      </c>
      <c r="B1304" s="366" t="str">
        <f>VLOOKUP(VALUE(D1304),$D$3:F$106,3,FALSE)</f>
        <v>Visual Arts</v>
      </c>
      <c r="C1304" t="s">
        <v>314</v>
      </c>
      <c r="D1304">
        <v>813</v>
      </c>
      <c r="E1304" t="s">
        <v>584</v>
      </c>
      <c r="F1304" t="s">
        <v>321</v>
      </c>
      <c r="G1304" t="s">
        <v>319</v>
      </c>
      <c r="H1304" s="502">
        <v>52917</v>
      </c>
      <c r="I1304" s="415">
        <v>0</v>
      </c>
      <c r="J1304" s="415">
        <v>0</v>
      </c>
      <c r="K1304" s="415">
        <v>0</v>
      </c>
      <c r="L1304" s="415">
        <v>4886.22</v>
      </c>
      <c r="M1304" s="415">
        <v>24874.400000000001</v>
      </c>
      <c r="N1304" s="415">
        <v>0</v>
      </c>
      <c r="O1304" s="415">
        <v>16430.8</v>
      </c>
      <c r="P1304" s="415">
        <v>17249.419999999998</v>
      </c>
      <c r="Q1304" s="481">
        <f t="shared" si="66"/>
        <v>0</v>
      </c>
    </row>
    <row r="1305" spans="1:17" outlineLevel="2" x14ac:dyDescent="0.3">
      <c r="A1305" s="366" t="str">
        <f>IFERROR(VLOOKUP(RIGHT(E1305,3)+0,[1]SchLocTable!$A$2:$B$47,2,FALSE)," ")</f>
        <v>Hallen</v>
      </c>
      <c r="B1305" s="366" t="str">
        <f>VLOOKUP(VALUE(D1305),$D$3:F$106,3,FALSE)</f>
        <v>Visual Arts</v>
      </c>
      <c r="C1305" t="s">
        <v>314</v>
      </c>
      <c r="D1305">
        <v>813</v>
      </c>
      <c r="E1305" t="s">
        <v>584</v>
      </c>
      <c r="F1305" t="s">
        <v>320</v>
      </c>
      <c r="G1305" t="s">
        <v>319</v>
      </c>
      <c r="H1305" s="502">
        <v>52360</v>
      </c>
      <c r="I1305" s="415">
        <v>880.461960105</v>
      </c>
      <c r="J1305" s="415">
        <v>727.11</v>
      </c>
      <c r="K1305" s="415">
        <v>0</v>
      </c>
      <c r="L1305" s="415">
        <v>101.98</v>
      </c>
      <c r="M1305" s="415">
        <v>730.71</v>
      </c>
      <c r="N1305" s="415">
        <v>0</v>
      </c>
      <c r="O1305" s="415">
        <v>806.76</v>
      </c>
      <c r="P1305" s="415">
        <v>531.66999999999996</v>
      </c>
      <c r="Q1305" s="481">
        <f t="shared" si="66"/>
        <v>-153.35196010499999</v>
      </c>
    </row>
    <row r="1306" spans="1:17" outlineLevel="2" x14ac:dyDescent="0.3">
      <c r="A1306" s="366" t="str">
        <f>IFERROR(VLOOKUP(RIGHT(E1306,3)+0,[1]SchLocTable!$A$2:$B$47,2,FALSE)," ")</f>
        <v>Hooker</v>
      </c>
      <c r="B1306" s="366" t="str">
        <f>VLOOKUP(VALUE(D1306),$D$3:F$106,3,FALSE)</f>
        <v>Visual Arts</v>
      </c>
      <c r="C1306" t="s">
        <v>314</v>
      </c>
      <c r="D1306">
        <v>813</v>
      </c>
      <c r="E1306" t="s">
        <v>585</v>
      </c>
      <c r="F1306" t="s">
        <v>316</v>
      </c>
      <c r="G1306">
        <v>1</v>
      </c>
      <c r="H1306" s="502">
        <v>51000</v>
      </c>
      <c r="I1306" s="415">
        <v>56157.010979999999</v>
      </c>
      <c r="J1306" s="415">
        <v>50272.25</v>
      </c>
      <c r="K1306" s="415">
        <v>66455.73</v>
      </c>
      <c r="L1306" s="415">
        <v>62658.06</v>
      </c>
      <c r="M1306" s="415">
        <v>99011.9</v>
      </c>
      <c r="N1306" s="415">
        <v>93223</v>
      </c>
      <c r="O1306" s="415">
        <v>88897.12</v>
      </c>
      <c r="P1306" s="415">
        <v>87497.02</v>
      </c>
      <c r="Q1306" s="481">
        <f t="shared" si="66"/>
        <v>-5884.7609799999991</v>
      </c>
    </row>
    <row r="1307" spans="1:17" outlineLevel="2" x14ac:dyDescent="0.3">
      <c r="A1307" s="366" t="str">
        <f>IFERROR(VLOOKUP(RIGHT(E1307,3)+0,[1]SchLocTable!$A$2:$B$47,2,FALSE)," ")</f>
        <v>Hooker</v>
      </c>
      <c r="B1307" s="366" t="str">
        <f>VLOOKUP(VALUE(D1307),$D$3:F$106,3,FALSE)</f>
        <v>Visual Arts</v>
      </c>
      <c r="C1307" t="s">
        <v>314</v>
      </c>
      <c r="D1307">
        <v>813</v>
      </c>
      <c r="E1307" t="s">
        <v>585</v>
      </c>
      <c r="F1307" t="s">
        <v>321</v>
      </c>
      <c r="G1307" t="s">
        <v>319</v>
      </c>
      <c r="H1307" s="502">
        <v>52917</v>
      </c>
      <c r="I1307" s="415">
        <v>15644.663999999999</v>
      </c>
      <c r="J1307" s="415">
        <v>11795.58</v>
      </c>
      <c r="K1307" s="415">
        <v>11844</v>
      </c>
      <c r="L1307" s="415">
        <v>9459.14</v>
      </c>
      <c r="M1307" s="415">
        <v>32249.07</v>
      </c>
      <c r="N1307" s="415">
        <v>30308.67</v>
      </c>
      <c r="O1307" s="415">
        <v>29077.5</v>
      </c>
      <c r="P1307" s="415">
        <v>27385.05</v>
      </c>
      <c r="Q1307" s="481">
        <f t="shared" si="66"/>
        <v>-3849.0839999999989</v>
      </c>
    </row>
    <row r="1308" spans="1:17" outlineLevel="2" x14ac:dyDescent="0.3">
      <c r="A1308" s="366" t="str">
        <f>IFERROR(VLOOKUP(RIGHT(E1308,3)+0,[1]SchLocTable!$A$2:$B$47,2,FALSE)," ")</f>
        <v>Hooker</v>
      </c>
      <c r="B1308" s="366" t="str">
        <f>VLOOKUP(VALUE(D1308),$D$3:F$106,3,FALSE)</f>
        <v>Visual Arts</v>
      </c>
      <c r="C1308" t="s">
        <v>314</v>
      </c>
      <c r="D1308">
        <v>813</v>
      </c>
      <c r="E1308" t="s">
        <v>585</v>
      </c>
      <c r="F1308" t="s">
        <v>318</v>
      </c>
      <c r="G1308" t="s">
        <v>319</v>
      </c>
      <c r="H1308" s="502">
        <v>51140</v>
      </c>
      <c r="I1308" s="415">
        <v>0</v>
      </c>
      <c r="J1308" s="415">
        <v>0</v>
      </c>
      <c r="K1308" s="415">
        <v>0</v>
      </c>
      <c r="L1308" s="415">
        <v>0</v>
      </c>
      <c r="M1308" s="415">
        <v>900</v>
      </c>
      <c r="N1308" s="415">
        <v>900</v>
      </c>
      <c r="O1308" s="415">
        <v>0</v>
      </c>
      <c r="P1308" s="415">
        <v>0</v>
      </c>
      <c r="Q1308" s="481">
        <f t="shared" si="66"/>
        <v>0</v>
      </c>
    </row>
    <row r="1309" spans="1:17" outlineLevel="2" x14ac:dyDescent="0.3">
      <c r="A1309" s="366" t="str">
        <f>IFERROR(VLOOKUP(RIGHT(E1309,3)+0,[1]SchLocTable!$A$2:$B$47,2,FALSE)," ")</f>
        <v>Hooker</v>
      </c>
      <c r="B1309" s="366" t="str">
        <f>VLOOKUP(VALUE(D1309),$D$3:F$106,3,FALSE)</f>
        <v>Visual Arts</v>
      </c>
      <c r="C1309" t="s">
        <v>314</v>
      </c>
      <c r="D1309">
        <v>813</v>
      </c>
      <c r="E1309" t="s">
        <v>585</v>
      </c>
      <c r="F1309" t="s">
        <v>320</v>
      </c>
      <c r="G1309" t="s">
        <v>319</v>
      </c>
      <c r="H1309" s="502">
        <v>52360</v>
      </c>
      <c r="I1309" s="415">
        <v>814.27665921000005</v>
      </c>
      <c r="J1309" s="415">
        <v>726.21</v>
      </c>
      <c r="K1309" s="415">
        <v>913.05</v>
      </c>
      <c r="L1309" s="415">
        <v>869.36</v>
      </c>
      <c r="M1309" s="415">
        <v>1318.49</v>
      </c>
      <c r="N1309" s="415">
        <v>1246.46</v>
      </c>
      <c r="O1309" s="415">
        <v>1178.57</v>
      </c>
      <c r="P1309" s="415">
        <v>1166.17</v>
      </c>
      <c r="Q1309" s="481">
        <f t="shared" si="66"/>
        <v>-88.066659210000012</v>
      </c>
    </row>
    <row r="1310" spans="1:17" outlineLevel="2" x14ac:dyDescent="0.3">
      <c r="A1310" s="366" t="str">
        <f>IFERROR(VLOOKUP(RIGHT(E1310,3)+0,[1]SchLocTable!$A$2:$B$47,2,FALSE)," ")</f>
        <v>Batalla</v>
      </c>
      <c r="B1310" s="366" t="str">
        <f>VLOOKUP(VALUE(D1310),$D$3:F$106,3,FALSE)</f>
        <v>Visual Arts</v>
      </c>
      <c r="C1310" t="s">
        <v>314</v>
      </c>
      <c r="D1310">
        <v>813</v>
      </c>
      <c r="E1310" t="s">
        <v>586</v>
      </c>
      <c r="F1310" t="s">
        <v>316</v>
      </c>
      <c r="G1310">
        <v>2</v>
      </c>
      <c r="H1310" s="502">
        <v>51000</v>
      </c>
      <c r="I1310" s="415">
        <v>177662.99486000001</v>
      </c>
      <c r="J1310" s="415">
        <v>162845</v>
      </c>
      <c r="K1310" s="415">
        <v>158795</v>
      </c>
      <c r="L1310" s="415">
        <v>146840.5</v>
      </c>
      <c r="M1310" s="415">
        <v>140939.24</v>
      </c>
      <c r="N1310" s="415">
        <v>82081.56</v>
      </c>
      <c r="O1310" s="415">
        <v>99353.02</v>
      </c>
      <c r="P1310" s="415">
        <v>81960.08</v>
      </c>
      <c r="Q1310" s="481">
        <f t="shared" si="66"/>
        <v>-14817.994860000006</v>
      </c>
    </row>
    <row r="1311" spans="1:17" outlineLevel="2" x14ac:dyDescent="0.3">
      <c r="A1311" s="366" t="str">
        <f>IFERROR(VLOOKUP(RIGHT(E1311,3)+0,[1]SchLocTable!$A$2:$B$47,2,FALSE)," ")</f>
        <v>Batalla</v>
      </c>
      <c r="B1311" s="366" t="str">
        <f>VLOOKUP(VALUE(D1311),$D$3:F$106,3,FALSE)</f>
        <v>Visual Arts</v>
      </c>
      <c r="C1311" t="s">
        <v>314</v>
      </c>
      <c r="D1311">
        <v>813</v>
      </c>
      <c r="E1311" t="s">
        <v>586</v>
      </c>
      <c r="F1311" t="s">
        <v>321</v>
      </c>
      <c r="G1311" t="s">
        <v>319</v>
      </c>
      <c r="H1311" s="502">
        <v>52917</v>
      </c>
      <c r="I1311" s="415">
        <v>17185.895999999997</v>
      </c>
      <c r="J1311" s="415">
        <v>14321.58</v>
      </c>
      <c r="K1311" s="415">
        <v>13161.96</v>
      </c>
      <c r="L1311" s="415">
        <v>13068.3</v>
      </c>
      <c r="M1311" s="415">
        <v>12236.91</v>
      </c>
      <c r="N1311" s="415">
        <v>15508.16</v>
      </c>
      <c r="O1311" s="415">
        <v>9772.2900000000009</v>
      </c>
      <c r="P1311" s="415">
        <v>1344.42</v>
      </c>
      <c r="Q1311" s="481">
        <f t="shared" si="66"/>
        <v>-2864.3159999999971</v>
      </c>
    </row>
    <row r="1312" spans="1:17" outlineLevel="1" x14ac:dyDescent="0.3">
      <c r="A1312" s="366" t="str">
        <f>IFERROR(VLOOKUP(RIGHT(E1312,3)+0,[1]SchLocTable!$A$2:$B$47,2,FALSE)," ")</f>
        <v>Batalla</v>
      </c>
      <c r="B1312" s="366" t="str">
        <f>VLOOKUP(VALUE(D1312),$D$3:F$106,3,FALSE)</f>
        <v>Visual Arts</v>
      </c>
      <c r="C1312" t="s">
        <v>314</v>
      </c>
      <c r="D1312">
        <v>813</v>
      </c>
      <c r="E1312" t="s">
        <v>586</v>
      </c>
      <c r="F1312" t="s">
        <v>320</v>
      </c>
      <c r="G1312" t="s">
        <v>319</v>
      </c>
      <c r="H1312" s="502">
        <v>52360</v>
      </c>
      <c r="I1312" s="415">
        <v>2576.11342547</v>
      </c>
      <c r="J1312" s="415">
        <v>2286</v>
      </c>
      <c r="K1312" s="415">
        <v>2248.44</v>
      </c>
      <c r="L1312" s="415">
        <v>2077.2600000000002</v>
      </c>
      <c r="M1312" s="415">
        <v>1996.19</v>
      </c>
      <c r="N1312" s="415">
        <v>1129.51</v>
      </c>
      <c r="O1312" s="415">
        <v>1405.06</v>
      </c>
      <c r="P1312" s="415">
        <v>1186.26</v>
      </c>
      <c r="Q1312" s="481">
        <f t="shared" si="66"/>
        <v>-290.11342547000004</v>
      </c>
    </row>
    <row r="1313" spans="1:17" outlineLevel="2" x14ac:dyDescent="0.3">
      <c r="A1313" s="366" t="str">
        <f>IFERROR(VLOOKUP(RIGHT(E1313,3)+0,[1]SchLocTable!$A$2:$B$47,2,FALSE)," ")</f>
        <v>BMA HS</v>
      </c>
      <c r="B1313" s="366" t="str">
        <f>VLOOKUP(VALUE(D1313),$D$3:F$106,3,FALSE)</f>
        <v>Visual Arts</v>
      </c>
      <c r="C1313" t="s">
        <v>314</v>
      </c>
      <c r="D1313">
        <v>813</v>
      </c>
      <c r="E1313" t="s">
        <v>587</v>
      </c>
      <c r="F1313" t="s">
        <v>316</v>
      </c>
      <c r="G1313">
        <v>1</v>
      </c>
      <c r="H1313" s="502">
        <v>51000</v>
      </c>
      <c r="I1313" s="415">
        <v>100258.00096</v>
      </c>
      <c r="J1313" s="415">
        <v>95393</v>
      </c>
      <c r="K1313" s="415">
        <v>93293.98</v>
      </c>
      <c r="L1313" s="415">
        <v>91241.02</v>
      </c>
      <c r="M1313" s="415">
        <v>50535.94</v>
      </c>
      <c r="N1313" s="415">
        <v>48170.98</v>
      </c>
      <c r="O1313" s="415">
        <v>46880.08</v>
      </c>
      <c r="P1313" s="415">
        <v>32679.51</v>
      </c>
      <c r="Q1313" s="481">
        <f t="shared" si="66"/>
        <v>-4865.0009600000049</v>
      </c>
    </row>
    <row r="1314" spans="1:17" outlineLevel="2" x14ac:dyDescent="0.3">
      <c r="A1314" s="366" t="str">
        <f>IFERROR(VLOOKUP(RIGHT(E1314,3)+0,[1]SchLocTable!$A$2:$B$47,2,FALSE)," ")</f>
        <v>BMA HS</v>
      </c>
      <c r="B1314" s="366" t="str">
        <f>VLOOKUP(VALUE(D1314),$D$3:F$106,3,FALSE)</f>
        <v>Visual Arts</v>
      </c>
      <c r="C1314" t="s">
        <v>314</v>
      </c>
      <c r="D1314">
        <v>813</v>
      </c>
      <c r="E1314" t="s">
        <v>587</v>
      </c>
      <c r="F1314" t="s">
        <v>321</v>
      </c>
      <c r="G1314" t="s">
        <v>319</v>
      </c>
      <c r="H1314" s="502">
        <v>52917</v>
      </c>
      <c r="I1314" s="415">
        <v>46330.955999999998</v>
      </c>
      <c r="J1314" s="415">
        <v>38609.129999999997</v>
      </c>
      <c r="K1314" s="415">
        <v>35075.879999999997</v>
      </c>
      <c r="L1314" s="415">
        <v>34606.949999999997</v>
      </c>
      <c r="M1314" s="415">
        <v>10952.55</v>
      </c>
      <c r="N1314" s="415">
        <v>10177.23</v>
      </c>
      <c r="O1314" s="415">
        <v>9817.68</v>
      </c>
      <c r="P1314" s="415">
        <v>12668.43</v>
      </c>
      <c r="Q1314" s="481">
        <f t="shared" si="66"/>
        <v>-7721.8260000000009</v>
      </c>
    </row>
    <row r="1315" spans="1:17" outlineLevel="2" x14ac:dyDescent="0.3">
      <c r="A1315" s="366" t="str">
        <f>IFERROR(VLOOKUP(RIGHT(E1315,3)+0,[1]SchLocTable!$A$2:$B$47,2,FALSE)," ")</f>
        <v>BMA HS</v>
      </c>
      <c r="B1315" s="366" t="str">
        <f>VLOOKUP(VALUE(D1315),$D$3:F$106,3,FALSE)</f>
        <v>Visual Arts</v>
      </c>
      <c r="C1315" t="s">
        <v>314</v>
      </c>
      <c r="D1315">
        <v>813</v>
      </c>
      <c r="E1315" t="s">
        <v>587</v>
      </c>
      <c r="F1315" t="s">
        <v>318</v>
      </c>
      <c r="G1315" t="s">
        <v>319</v>
      </c>
      <c r="H1315" s="502">
        <v>51140</v>
      </c>
      <c r="I1315" s="415">
        <v>1100</v>
      </c>
      <c r="J1315" s="415">
        <v>0</v>
      </c>
      <c r="K1315" s="415">
        <v>1100</v>
      </c>
      <c r="L1315" s="415">
        <v>1100</v>
      </c>
      <c r="M1315" s="415">
        <v>0</v>
      </c>
      <c r="N1315" s="415">
        <v>0</v>
      </c>
      <c r="O1315" s="415">
        <v>0</v>
      </c>
      <c r="P1315" s="415">
        <v>0</v>
      </c>
      <c r="Q1315" s="481">
        <f t="shared" si="66"/>
        <v>-1100</v>
      </c>
    </row>
    <row r="1316" spans="1:17" outlineLevel="2" x14ac:dyDescent="0.3">
      <c r="A1316" s="366" t="str">
        <f>IFERROR(VLOOKUP(RIGHT(E1316,3)+0,[1]SchLocTable!$A$2:$B$47,2,FALSE)," ")</f>
        <v>BMA HS</v>
      </c>
      <c r="B1316" s="366" t="str">
        <f>VLOOKUP(VALUE(D1316),$D$3:F$106,3,FALSE)</f>
        <v>Visual Arts</v>
      </c>
      <c r="C1316" t="s">
        <v>314</v>
      </c>
      <c r="D1316">
        <v>813</v>
      </c>
      <c r="E1316" t="s">
        <v>587</v>
      </c>
      <c r="F1316" t="s">
        <v>320</v>
      </c>
      <c r="G1316" t="s">
        <v>319</v>
      </c>
      <c r="H1316" s="502">
        <v>52360</v>
      </c>
      <c r="I1316" s="415">
        <v>1453.7410139200001</v>
      </c>
      <c r="J1316" s="415">
        <v>1190</v>
      </c>
      <c r="K1316" s="415">
        <v>1219</v>
      </c>
      <c r="L1316" s="415">
        <v>1195.6300000000001</v>
      </c>
      <c r="M1316" s="415">
        <v>671.57</v>
      </c>
      <c r="N1316" s="415">
        <v>658.67</v>
      </c>
      <c r="O1316" s="415">
        <v>642.47</v>
      </c>
      <c r="P1316" s="415">
        <v>426.45</v>
      </c>
      <c r="Q1316" s="481">
        <f t="shared" si="66"/>
        <v>-263.74101392000011</v>
      </c>
    </row>
    <row r="1317" spans="1:17" outlineLevel="2" x14ac:dyDescent="0.3">
      <c r="A1317" s="366" t="str">
        <f>IFERROR(VLOOKUP(RIGHT(E1317,3)+0,[1]SchLocTable!$A$2:$B$47,2,FALSE)," ")</f>
        <v>Park City Magnet</v>
      </c>
      <c r="B1317" s="366" t="str">
        <f>VLOOKUP(VALUE(D1317),$D$3:F$106,3,FALSE)</f>
        <v>Visual Arts</v>
      </c>
      <c r="C1317" t="s">
        <v>314</v>
      </c>
      <c r="D1317">
        <v>813</v>
      </c>
      <c r="E1317" t="s">
        <v>588</v>
      </c>
      <c r="F1317" t="s">
        <v>316</v>
      </c>
      <c r="G1317">
        <v>1</v>
      </c>
      <c r="H1317" s="502">
        <v>51000</v>
      </c>
      <c r="I1317" s="415">
        <v>110428.46490000001</v>
      </c>
      <c r="J1317" s="415">
        <v>105070</v>
      </c>
      <c r="K1317" s="415">
        <v>102757.98</v>
      </c>
      <c r="L1317" s="415">
        <v>93223</v>
      </c>
      <c r="M1317" s="415">
        <v>88897.12</v>
      </c>
      <c r="N1317" s="415">
        <v>83106.92</v>
      </c>
      <c r="O1317" s="415">
        <v>77032.02</v>
      </c>
      <c r="P1317" s="415">
        <v>75819.12</v>
      </c>
      <c r="Q1317" s="481">
        <f t="shared" si="66"/>
        <v>-5358.4649000000063</v>
      </c>
    </row>
    <row r="1318" spans="1:17" outlineLevel="2" x14ac:dyDescent="0.3">
      <c r="A1318" s="366" t="str">
        <f>IFERROR(VLOOKUP(RIGHT(E1318,3)+0,[1]SchLocTable!$A$2:$B$47,2,FALSE)," ")</f>
        <v>Park City Magnet</v>
      </c>
      <c r="B1318" s="366" t="str">
        <f>VLOOKUP(VALUE(D1318),$D$3:F$106,3,FALSE)</f>
        <v>Visual Arts</v>
      </c>
      <c r="C1318" t="s">
        <v>314</v>
      </c>
      <c r="D1318">
        <v>813</v>
      </c>
      <c r="E1318" t="s">
        <v>588</v>
      </c>
      <c r="F1318" t="s">
        <v>321</v>
      </c>
      <c r="G1318" t="s">
        <v>319</v>
      </c>
      <c r="H1318" s="502">
        <v>52917</v>
      </c>
      <c r="I1318" s="415">
        <v>37644.263999999996</v>
      </c>
      <c r="J1318" s="415">
        <v>31370.22</v>
      </c>
      <c r="K1318" s="415">
        <v>28478.1</v>
      </c>
      <c r="L1318" s="415">
        <v>28076.37</v>
      </c>
      <c r="M1318" s="415">
        <v>26335.47</v>
      </c>
      <c r="N1318" s="415">
        <v>24562.23</v>
      </c>
      <c r="O1318" s="415">
        <v>23581.07</v>
      </c>
      <c r="P1318" s="415">
        <v>22186.29</v>
      </c>
      <c r="Q1318" s="481">
        <f t="shared" si="66"/>
        <v>-6274.0439999999944</v>
      </c>
    </row>
    <row r="1319" spans="1:17" outlineLevel="2" x14ac:dyDescent="0.3">
      <c r="A1319" s="366" t="str">
        <f>IFERROR(VLOOKUP(RIGHT(E1319,3)+0,[1]SchLocTable!$A$2:$B$47,2,FALSE)," ")</f>
        <v>Park City Magnet</v>
      </c>
      <c r="B1319" s="366" t="str">
        <f>VLOOKUP(VALUE(D1319),$D$3:F$106,3,FALSE)</f>
        <v>Visual Arts</v>
      </c>
      <c r="C1319" t="s">
        <v>314</v>
      </c>
      <c r="D1319">
        <v>813</v>
      </c>
      <c r="E1319" t="s">
        <v>588</v>
      </c>
      <c r="F1319" t="s">
        <v>318</v>
      </c>
      <c r="G1319" t="s">
        <v>319</v>
      </c>
      <c r="H1319" s="502">
        <v>51140</v>
      </c>
      <c r="I1319" s="415">
        <v>900</v>
      </c>
      <c r="J1319" s="415">
        <v>0</v>
      </c>
      <c r="K1319" s="415">
        <v>900</v>
      </c>
      <c r="L1319" s="415">
        <v>900</v>
      </c>
      <c r="M1319" s="415">
        <v>900</v>
      </c>
      <c r="N1319" s="415">
        <v>0</v>
      </c>
      <c r="O1319" s="415">
        <v>0</v>
      </c>
      <c r="P1319" s="415">
        <v>0</v>
      </c>
      <c r="Q1319" s="481">
        <f t="shared" si="66"/>
        <v>-900</v>
      </c>
    </row>
    <row r="1320" spans="1:17" outlineLevel="2" x14ac:dyDescent="0.3">
      <c r="A1320" s="366" t="str">
        <f>IFERROR(VLOOKUP(RIGHT(E1320,3)+0,[1]SchLocTable!$A$2:$B$47,2,FALSE)," ")</f>
        <v>Park City Magnet</v>
      </c>
      <c r="B1320" s="366" t="str">
        <f>VLOOKUP(VALUE(D1320),$D$3:F$106,3,FALSE)</f>
        <v>Visual Arts</v>
      </c>
      <c r="C1320" t="s">
        <v>314</v>
      </c>
      <c r="D1320">
        <v>813</v>
      </c>
      <c r="E1320" t="s">
        <v>588</v>
      </c>
      <c r="F1320" t="s">
        <v>320</v>
      </c>
      <c r="G1320" t="s">
        <v>319</v>
      </c>
      <c r="H1320" s="502">
        <v>52360</v>
      </c>
      <c r="I1320" s="415">
        <v>1601.2127410500002</v>
      </c>
      <c r="J1320" s="415">
        <v>1366</v>
      </c>
      <c r="K1320" s="415">
        <v>1381.17</v>
      </c>
      <c r="L1320" s="415">
        <v>1248.17</v>
      </c>
      <c r="M1320" s="415">
        <v>1195.67</v>
      </c>
      <c r="N1320" s="415">
        <v>1108.8599999999999</v>
      </c>
      <c r="O1320" s="415">
        <v>1027.17</v>
      </c>
      <c r="P1320" s="415">
        <v>1015.88</v>
      </c>
      <c r="Q1320" s="481">
        <f t="shared" si="66"/>
        <v>-235.2127410500002</v>
      </c>
    </row>
    <row r="1321" spans="1:17" outlineLevel="2" x14ac:dyDescent="0.3">
      <c r="A1321" s="366" t="str">
        <f>IFERROR(VLOOKUP(RIGHT(E1321,3)+0,[1]SchLocTable!$A$2:$B$47,2,FALSE)," ")</f>
        <v>Madison</v>
      </c>
      <c r="B1321" s="366" t="str">
        <f>VLOOKUP(VALUE(D1321),$D$3:F$106,3,FALSE)</f>
        <v>Visual Arts</v>
      </c>
      <c r="C1321" t="s">
        <v>314</v>
      </c>
      <c r="D1321">
        <v>813</v>
      </c>
      <c r="E1321" t="s">
        <v>589</v>
      </c>
      <c r="F1321" t="s">
        <v>316</v>
      </c>
      <c r="G1321">
        <v>1</v>
      </c>
      <c r="H1321" s="502">
        <v>51000</v>
      </c>
      <c r="I1321" s="415">
        <v>100258.00096</v>
      </c>
      <c r="J1321" s="415">
        <v>95393</v>
      </c>
      <c r="K1321" s="415">
        <v>85406.1</v>
      </c>
      <c r="L1321" s="415">
        <v>80557.100000000006</v>
      </c>
      <c r="M1321" s="415">
        <v>75149.100000000006</v>
      </c>
      <c r="N1321" s="415">
        <v>67837.03</v>
      </c>
      <c r="O1321" s="415">
        <v>66331.98</v>
      </c>
      <c r="P1321" s="415">
        <v>65288.08</v>
      </c>
      <c r="Q1321" s="481">
        <f t="shared" si="66"/>
        <v>-4865.0009600000049</v>
      </c>
    </row>
    <row r="1322" spans="1:17" outlineLevel="1" x14ac:dyDescent="0.3">
      <c r="A1322" s="366" t="str">
        <f>IFERROR(VLOOKUP(RIGHT(E1322,3)+0,[1]SchLocTable!$A$2:$B$47,2,FALSE)," ")</f>
        <v>Madison</v>
      </c>
      <c r="B1322" s="366" t="str">
        <f>VLOOKUP(VALUE(D1322),$D$3:F$106,3,FALSE)</f>
        <v>Visual Arts</v>
      </c>
      <c r="C1322" t="s">
        <v>314</v>
      </c>
      <c r="D1322">
        <v>813</v>
      </c>
      <c r="E1322" t="s">
        <v>589</v>
      </c>
      <c r="F1322" t="s">
        <v>321</v>
      </c>
      <c r="G1322" t="s">
        <v>319</v>
      </c>
      <c r="H1322" s="502">
        <v>52917</v>
      </c>
      <c r="I1322" s="415">
        <v>46066.859999999993</v>
      </c>
      <c r="J1322" s="415">
        <v>38389.050000000003</v>
      </c>
      <c r="K1322" s="415">
        <v>34787.339999999997</v>
      </c>
      <c r="L1322" s="415">
        <v>34203.54</v>
      </c>
      <c r="M1322" s="415">
        <v>32449.200000000001</v>
      </c>
      <c r="N1322" s="415">
        <v>30308.67</v>
      </c>
      <c r="O1322" s="415">
        <v>29077.5</v>
      </c>
      <c r="P1322" s="415">
        <v>27385.05</v>
      </c>
      <c r="Q1322" s="481">
        <f t="shared" si="66"/>
        <v>-7677.8099999999904</v>
      </c>
    </row>
    <row r="1323" spans="1:17" outlineLevel="2" x14ac:dyDescent="0.3">
      <c r="A1323" s="366" t="str">
        <f>IFERROR(VLOOKUP(RIGHT(E1323,3)+0,[1]SchLocTable!$A$2:$B$47,2,FALSE)," ")</f>
        <v>Madison</v>
      </c>
      <c r="B1323" s="366" t="str">
        <f>VLOOKUP(VALUE(D1323),$D$3:F$106,3,FALSE)</f>
        <v>Visual Arts</v>
      </c>
      <c r="C1323" t="s">
        <v>314</v>
      </c>
      <c r="D1323">
        <v>813</v>
      </c>
      <c r="E1323" t="s">
        <v>589</v>
      </c>
      <c r="F1323" t="s">
        <v>318</v>
      </c>
      <c r="G1323" t="s">
        <v>319</v>
      </c>
      <c r="H1323" s="502">
        <v>51140</v>
      </c>
      <c r="I1323" s="415">
        <v>900</v>
      </c>
      <c r="J1323" s="415">
        <v>0</v>
      </c>
      <c r="K1323" s="415">
        <v>900</v>
      </c>
      <c r="L1323" s="415">
        <v>900</v>
      </c>
      <c r="M1323" s="415">
        <v>900</v>
      </c>
      <c r="N1323" s="415">
        <v>0</v>
      </c>
      <c r="O1323" s="415">
        <v>0</v>
      </c>
      <c r="P1323" s="415">
        <v>0</v>
      </c>
      <c r="Q1323" s="481">
        <f t="shared" si="66"/>
        <v>-900</v>
      </c>
    </row>
    <row r="1324" spans="1:17" outlineLevel="2" x14ac:dyDescent="0.3">
      <c r="A1324" s="366" t="str">
        <f>IFERROR(VLOOKUP(RIGHT(E1324,3)+0,[1]SchLocTable!$A$2:$B$47,2,FALSE)," ")</f>
        <v>Madison</v>
      </c>
      <c r="B1324" s="366" t="str">
        <f>VLOOKUP(VALUE(D1324),$D$3:F$106,3,FALSE)</f>
        <v>Visual Arts</v>
      </c>
      <c r="C1324" t="s">
        <v>314</v>
      </c>
      <c r="D1324">
        <v>813</v>
      </c>
      <c r="E1324" t="s">
        <v>589</v>
      </c>
      <c r="F1324" t="s">
        <v>320</v>
      </c>
      <c r="G1324" t="s">
        <v>319</v>
      </c>
      <c r="H1324" s="502">
        <v>52360</v>
      </c>
      <c r="I1324" s="415">
        <v>1453.7410139200001</v>
      </c>
      <c r="J1324" s="415">
        <v>1188</v>
      </c>
      <c r="K1324" s="415">
        <v>1102.49</v>
      </c>
      <c r="L1324" s="415">
        <v>1038.8499999999999</v>
      </c>
      <c r="M1324" s="415">
        <v>971.96</v>
      </c>
      <c r="N1324" s="415">
        <v>865.31</v>
      </c>
      <c r="O1324" s="415">
        <v>851.38</v>
      </c>
      <c r="P1324" s="415">
        <v>844.14</v>
      </c>
      <c r="Q1324" s="481">
        <f t="shared" si="66"/>
        <v>-265.74101392000011</v>
      </c>
    </row>
    <row r="1325" spans="1:17" outlineLevel="2" x14ac:dyDescent="0.3">
      <c r="A1325" s="366" t="str">
        <f>IFERROR(VLOOKUP(RIGHT(E1325,3)+0,[1]SchLocTable!$A$2:$B$47,2,FALSE)," ")</f>
        <v>Classical Studies Academy</v>
      </c>
      <c r="B1325" s="366" t="str">
        <f>VLOOKUP(VALUE(D1325),$D$3:F$106,3,FALSE)</f>
        <v>Visual Arts</v>
      </c>
      <c r="C1325" t="s">
        <v>314</v>
      </c>
      <c r="D1325">
        <v>813</v>
      </c>
      <c r="E1325" t="s">
        <v>590</v>
      </c>
      <c r="F1325" t="s">
        <v>316</v>
      </c>
      <c r="G1325" t="s">
        <v>319</v>
      </c>
      <c r="H1325" s="502">
        <v>51000</v>
      </c>
      <c r="I1325" s="415">
        <v>80000</v>
      </c>
      <c r="J1325" s="415">
        <v>0</v>
      </c>
      <c r="K1325" s="415">
        <v>52561.95</v>
      </c>
      <c r="L1325" s="415">
        <v>50197.2</v>
      </c>
      <c r="M1325" s="415">
        <v>0</v>
      </c>
      <c r="N1325" s="415">
        <v>0</v>
      </c>
      <c r="O1325" s="415">
        <v>87254.96</v>
      </c>
      <c r="P1325" s="415">
        <v>85881.12</v>
      </c>
      <c r="Q1325" s="481">
        <f t="shared" si="66"/>
        <v>-80000</v>
      </c>
    </row>
    <row r="1326" spans="1:17" outlineLevel="2" x14ac:dyDescent="0.3">
      <c r="A1326" s="366" t="str">
        <f>IFERROR(VLOOKUP(RIGHT(E1326,3)+0,[1]SchLocTable!$A$2:$B$47,2,FALSE)," ")</f>
        <v>Classical Studies Academy</v>
      </c>
      <c r="B1326" s="366" t="str">
        <f>VLOOKUP(VALUE(D1326),$D$3:F$106,3,FALSE)</f>
        <v>Visual Arts</v>
      </c>
      <c r="C1326" t="s">
        <v>314</v>
      </c>
      <c r="D1326">
        <v>813</v>
      </c>
      <c r="E1326" t="s">
        <v>590</v>
      </c>
      <c r="F1326" t="s">
        <v>320</v>
      </c>
      <c r="G1326" t="s">
        <v>319</v>
      </c>
      <c r="H1326" s="502">
        <v>52360</v>
      </c>
      <c r="I1326" s="415">
        <v>1160</v>
      </c>
      <c r="J1326" s="415">
        <v>0</v>
      </c>
      <c r="K1326" s="415">
        <v>762.15</v>
      </c>
      <c r="L1326" s="415">
        <v>731.49</v>
      </c>
      <c r="M1326" s="415">
        <v>0</v>
      </c>
      <c r="N1326" s="415">
        <v>0</v>
      </c>
      <c r="O1326" s="415">
        <v>1167.82</v>
      </c>
      <c r="P1326" s="415">
        <v>1155.78</v>
      </c>
      <c r="Q1326" s="481">
        <f t="shared" si="66"/>
        <v>-1160</v>
      </c>
    </row>
    <row r="1327" spans="1:17" outlineLevel="2" x14ac:dyDescent="0.3">
      <c r="A1327" s="366" t="str">
        <f>IFERROR(VLOOKUP(RIGHT(E1327,3)+0,[1]SchLocTable!$A$2:$B$47,2,FALSE)," ")</f>
        <v>Classical Studies Academy</v>
      </c>
      <c r="B1327" s="366" t="str">
        <f>VLOOKUP(VALUE(D1327),$D$3:F$106,3,FALSE)</f>
        <v>Visual Arts</v>
      </c>
      <c r="C1327" t="s">
        <v>314</v>
      </c>
      <c r="D1327">
        <v>813</v>
      </c>
      <c r="E1327" t="s">
        <v>590</v>
      </c>
      <c r="F1327" t="s">
        <v>324</v>
      </c>
      <c r="G1327" t="s">
        <v>319</v>
      </c>
      <c r="H1327" s="502">
        <v>52385</v>
      </c>
      <c r="I1327" s="415">
        <v>0</v>
      </c>
      <c r="J1327" s="415">
        <v>0</v>
      </c>
      <c r="K1327" s="415">
        <v>0</v>
      </c>
      <c r="L1327" s="415">
        <v>434</v>
      </c>
      <c r="M1327" s="415">
        <v>0</v>
      </c>
      <c r="N1327" s="415">
        <v>0</v>
      </c>
      <c r="O1327" s="415">
        <v>0</v>
      </c>
      <c r="P1327" s="415">
        <v>0</v>
      </c>
      <c r="Q1327" s="481">
        <f t="shared" si="66"/>
        <v>0</v>
      </c>
    </row>
    <row r="1328" spans="1:17" outlineLevel="2" x14ac:dyDescent="0.3">
      <c r="A1328" s="366" t="str">
        <f>IFERROR(VLOOKUP(RIGHT(E1328,3)+0,[1]SchLocTable!$A$2:$B$47,2,FALSE)," ")</f>
        <v>Classical Studies Academy</v>
      </c>
      <c r="B1328" s="366" t="str">
        <f>VLOOKUP(VALUE(D1328),$D$3:F$106,3,FALSE)</f>
        <v>Visual Arts</v>
      </c>
      <c r="C1328" t="s">
        <v>314</v>
      </c>
      <c r="D1328">
        <v>813</v>
      </c>
      <c r="E1328" t="s">
        <v>590</v>
      </c>
      <c r="F1328" t="s">
        <v>560</v>
      </c>
      <c r="G1328" t="s">
        <v>319</v>
      </c>
      <c r="H1328" s="502">
        <v>51404</v>
      </c>
      <c r="I1328" s="415">
        <v>0</v>
      </c>
      <c r="J1328" s="415">
        <v>0</v>
      </c>
      <c r="K1328" s="415">
        <v>0</v>
      </c>
      <c r="L1328" s="415">
        <v>250</v>
      </c>
      <c r="M1328" s="415">
        <v>0</v>
      </c>
      <c r="N1328" s="415">
        <v>0</v>
      </c>
      <c r="O1328" s="415">
        <v>0</v>
      </c>
      <c r="P1328" s="415">
        <v>0</v>
      </c>
      <c r="Q1328" s="481">
        <f t="shared" si="66"/>
        <v>0</v>
      </c>
    </row>
    <row r="1329" spans="1:17" outlineLevel="2" x14ac:dyDescent="0.3">
      <c r="A1329" s="366" t="str">
        <f>IFERROR(VLOOKUP(RIGHT(E1329,3)+0,[1]SchLocTable!$A$2:$B$47,2,FALSE)," ")</f>
        <v>Tisdale</v>
      </c>
      <c r="B1329" s="366" t="str">
        <f>VLOOKUP(VALUE(D1329),$D$3:F$106,3,FALSE)</f>
        <v>Visual Arts</v>
      </c>
      <c r="C1329" t="s">
        <v>314</v>
      </c>
      <c r="D1329">
        <v>813</v>
      </c>
      <c r="E1329" t="s">
        <v>591</v>
      </c>
      <c r="F1329" t="s">
        <v>316</v>
      </c>
      <c r="G1329">
        <v>2</v>
      </c>
      <c r="H1329" s="502">
        <v>51000</v>
      </c>
      <c r="I1329" s="415">
        <v>220856.92980000001</v>
      </c>
      <c r="J1329" s="415">
        <v>210140</v>
      </c>
      <c r="K1329" s="415">
        <v>205515.96</v>
      </c>
      <c r="L1329" s="415">
        <v>200994.04</v>
      </c>
      <c r="M1329" s="415">
        <v>97947.26</v>
      </c>
      <c r="N1329" s="415">
        <v>143758.94</v>
      </c>
      <c r="O1329" s="415">
        <v>108541.81</v>
      </c>
      <c r="P1329" s="415">
        <v>133638.96</v>
      </c>
      <c r="Q1329" s="481">
        <f t="shared" si="66"/>
        <v>-10716.929800000013</v>
      </c>
    </row>
    <row r="1330" spans="1:17" outlineLevel="1" x14ac:dyDescent="0.3">
      <c r="A1330" s="366" t="str">
        <f>IFERROR(VLOOKUP(RIGHT(E1330,3)+0,[1]SchLocTable!$A$2:$B$47,2,FALSE)," ")</f>
        <v>Tisdale</v>
      </c>
      <c r="B1330" s="366" t="str">
        <f>VLOOKUP(VALUE(D1330),$D$3:F$106,3,FALSE)</f>
        <v>Visual Arts</v>
      </c>
      <c r="C1330" t="s">
        <v>314</v>
      </c>
      <c r="D1330">
        <v>813</v>
      </c>
      <c r="E1330" t="s">
        <v>591</v>
      </c>
      <c r="F1330" t="s">
        <v>321</v>
      </c>
      <c r="G1330" t="s">
        <v>319</v>
      </c>
      <c r="H1330" s="502">
        <v>52917</v>
      </c>
      <c r="I1330" s="415">
        <v>92661.911999999997</v>
      </c>
      <c r="J1330" s="415">
        <v>77218.259999999995</v>
      </c>
      <c r="K1330" s="415">
        <v>70151.759999999995</v>
      </c>
      <c r="L1330" s="415">
        <v>69213.899999999994</v>
      </c>
      <c r="M1330" s="415">
        <v>32449.200000000001</v>
      </c>
      <c r="N1330" s="415">
        <v>40541.550000000003</v>
      </c>
      <c r="O1330" s="415">
        <v>38895.18</v>
      </c>
      <c r="P1330" s="415">
        <v>36630.720000000001</v>
      </c>
      <c r="Q1330" s="481">
        <f t="shared" si="66"/>
        <v>-15443.652000000002</v>
      </c>
    </row>
    <row r="1331" spans="1:17" outlineLevel="2" x14ac:dyDescent="0.3">
      <c r="A1331" s="366" t="str">
        <f>IFERROR(VLOOKUP(RIGHT(E1331,3)+0,[1]SchLocTable!$A$2:$B$47,2,FALSE)," ")</f>
        <v>Tisdale</v>
      </c>
      <c r="B1331" s="366" t="str">
        <f>VLOOKUP(VALUE(D1331),$D$3:F$106,3,FALSE)</f>
        <v>Visual Arts</v>
      </c>
      <c r="C1331" t="s">
        <v>314</v>
      </c>
      <c r="D1331">
        <v>813</v>
      </c>
      <c r="E1331" t="s">
        <v>591</v>
      </c>
      <c r="F1331" t="s">
        <v>318</v>
      </c>
      <c r="G1331" t="s">
        <v>319</v>
      </c>
      <c r="H1331" s="502">
        <v>51140</v>
      </c>
      <c r="I1331" s="415">
        <v>1800</v>
      </c>
      <c r="J1331" s="415">
        <v>0</v>
      </c>
      <c r="K1331" s="415">
        <v>1800</v>
      </c>
      <c r="L1331" s="415">
        <v>1800</v>
      </c>
      <c r="M1331" s="415">
        <v>0</v>
      </c>
      <c r="N1331" s="415">
        <v>0</v>
      </c>
      <c r="O1331" s="415">
        <v>0</v>
      </c>
      <c r="P1331" s="415">
        <v>0</v>
      </c>
      <c r="Q1331" s="481">
        <f t="shared" si="66"/>
        <v>-1800</v>
      </c>
    </row>
    <row r="1332" spans="1:17" outlineLevel="2" x14ac:dyDescent="0.3">
      <c r="A1332" s="366" t="str">
        <f>IFERROR(VLOOKUP(RIGHT(E1332,3)+0,[1]SchLocTable!$A$2:$B$47,2,FALSE)," ")</f>
        <v>Tisdale</v>
      </c>
      <c r="B1332" s="366" t="str">
        <f>VLOOKUP(VALUE(D1332),$D$3:F$106,3,FALSE)</f>
        <v>Visual Arts</v>
      </c>
      <c r="C1332" t="s">
        <v>314</v>
      </c>
      <c r="D1332">
        <v>813</v>
      </c>
      <c r="E1332" t="s">
        <v>591</v>
      </c>
      <c r="F1332" t="s">
        <v>320</v>
      </c>
      <c r="G1332" t="s">
        <v>319</v>
      </c>
      <c r="H1332" s="502">
        <v>52360</v>
      </c>
      <c r="I1332" s="415">
        <v>3202.4254821000004</v>
      </c>
      <c r="J1332" s="415">
        <v>2656</v>
      </c>
      <c r="K1332" s="415">
        <v>2689.24</v>
      </c>
      <c r="L1332" s="415">
        <v>2636.5</v>
      </c>
      <c r="M1332" s="415">
        <v>1272.0899999999999</v>
      </c>
      <c r="N1332" s="415">
        <v>1926.22</v>
      </c>
      <c r="O1332" s="415">
        <v>1821.04</v>
      </c>
      <c r="P1332" s="415">
        <v>1800.61</v>
      </c>
      <c r="Q1332" s="481">
        <f t="shared" si="66"/>
        <v>-546.42548210000041</v>
      </c>
    </row>
    <row r="1333" spans="1:17" outlineLevel="1" x14ac:dyDescent="0.3">
      <c r="A1333" s="366" t="str">
        <f>IFERROR(VLOOKUP(RIGHT(E1333,3)+0,[1]SchLocTable!$A$2:$B$47,2,FALSE)," ")</f>
        <v>Read</v>
      </c>
      <c r="B1333" s="366" t="str">
        <f>VLOOKUP(VALUE(D1333),$D$3:F$106,3,FALSE)</f>
        <v>Visual Arts</v>
      </c>
      <c r="C1333" t="s">
        <v>314</v>
      </c>
      <c r="D1333">
        <v>813</v>
      </c>
      <c r="E1333" t="s">
        <v>592</v>
      </c>
      <c r="F1333" t="s">
        <v>316</v>
      </c>
      <c r="G1333">
        <v>1</v>
      </c>
      <c r="H1333" s="502">
        <v>51000</v>
      </c>
      <c r="I1333" s="415">
        <v>58375.714019999992</v>
      </c>
      <c r="J1333" s="415">
        <v>55543</v>
      </c>
      <c r="K1333" s="415">
        <v>53431.98</v>
      </c>
      <c r="L1333" s="415">
        <v>49884.3</v>
      </c>
      <c r="M1333" s="415">
        <v>89892.92</v>
      </c>
      <c r="N1333" s="415">
        <v>106429.42</v>
      </c>
      <c r="O1333" s="415">
        <v>101961.73</v>
      </c>
      <c r="P1333" s="415">
        <v>85881.12</v>
      </c>
      <c r="Q1333" s="481">
        <f t="shared" si="66"/>
        <v>-2832.7140199999922</v>
      </c>
    </row>
    <row r="1334" spans="1:17" outlineLevel="2" x14ac:dyDescent="0.3">
      <c r="A1334" s="366" t="str">
        <f>IFERROR(VLOOKUP(RIGHT(E1334,3)+0,[1]SchLocTable!$A$2:$B$47,2,FALSE)," ")</f>
        <v>Read</v>
      </c>
      <c r="B1334" s="366" t="str">
        <f>VLOOKUP(VALUE(D1334),$D$3:F$106,3,FALSE)</f>
        <v>Visual Arts</v>
      </c>
      <c r="C1334" t="s">
        <v>314</v>
      </c>
      <c r="D1334">
        <v>813</v>
      </c>
      <c r="E1334" t="s">
        <v>592</v>
      </c>
      <c r="F1334" t="s">
        <v>321</v>
      </c>
      <c r="G1334" t="s">
        <v>319</v>
      </c>
      <c r="H1334" s="502">
        <v>52917</v>
      </c>
      <c r="I1334" s="415">
        <v>0</v>
      </c>
      <c r="J1334" s="415">
        <v>0</v>
      </c>
      <c r="K1334" s="415">
        <v>0</v>
      </c>
      <c r="L1334" s="415">
        <v>0</v>
      </c>
      <c r="M1334" s="415">
        <v>10956.75</v>
      </c>
      <c r="N1334" s="415">
        <v>14594.55</v>
      </c>
      <c r="O1334" s="415">
        <v>12994.81</v>
      </c>
      <c r="P1334" s="415">
        <v>9245.67</v>
      </c>
      <c r="Q1334" s="481">
        <f t="shared" si="66"/>
        <v>0</v>
      </c>
    </row>
    <row r="1335" spans="1:17" outlineLevel="2" x14ac:dyDescent="0.3">
      <c r="A1335" s="366" t="str">
        <f>IFERROR(VLOOKUP(RIGHT(E1335,3)+0,[1]SchLocTable!$A$2:$B$47,2,FALSE)," ")</f>
        <v>Read</v>
      </c>
      <c r="B1335" s="366" t="str">
        <f>VLOOKUP(VALUE(D1335),$D$3:F$106,3,FALSE)</f>
        <v>Visual Arts</v>
      </c>
      <c r="C1335" t="s">
        <v>314</v>
      </c>
      <c r="D1335">
        <v>813</v>
      </c>
      <c r="E1335" t="s">
        <v>592</v>
      </c>
      <c r="F1335" t="s">
        <v>318</v>
      </c>
      <c r="G1335" t="s">
        <v>319</v>
      </c>
      <c r="H1335" s="502">
        <v>51140</v>
      </c>
      <c r="I1335" s="415">
        <v>0</v>
      </c>
      <c r="J1335" s="415">
        <v>0</v>
      </c>
      <c r="K1335" s="415">
        <v>0</v>
      </c>
      <c r="L1335" s="415">
        <v>0</v>
      </c>
      <c r="M1335" s="415">
        <v>2200</v>
      </c>
      <c r="N1335" s="415">
        <v>1100</v>
      </c>
      <c r="O1335" s="415">
        <v>900</v>
      </c>
      <c r="P1335" s="415">
        <v>900</v>
      </c>
      <c r="Q1335" s="481">
        <f t="shared" si="66"/>
        <v>0</v>
      </c>
    </row>
    <row r="1336" spans="1:17" outlineLevel="2" x14ac:dyDescent="0.3">
      <c r="A1336" s="366" t="str">
        <f>IFERROR(VLOOKUP(RIGHT(E1336,3)+0,[1]SchLocTable!$A$2:$B$47,2,FALSE)," ")</f>
        <v>Read</v>
      </c>
      <c r="B1336" s="366" t="str">
        <f>VLOOKUP(VALUE(D1336),$D$3:F$106,3,FALSE)</f>
        <v>Visual Arts</v>
      </c>
      <c r="C1336" t="s">
        <v>314</v>
      </c>
      <c r="D1336">
        <v>813</v>
      </c>
      <c r="E1336" t="s">
        <v>592</v>
      </c>
      <c r="F1336" t="s">
        <v>320</v>
      </c>
      <c r="G1336" t="s">
        <v>319</v>
      </c>
      <c r="H1336" s="502">
        <v>52360</v>
      </c>
      <c r="I1336" s="415">
        <v>846.4478532899999</v>
      </c>
      <c r="J1336" s="415">
        <v>805</v>
      </c>
      <c r="K1336" s="415">
        <v>774.76</v>
      </c>
      <c r="L1336" s="415">
        <v>723.32</v>
      </c>
      <c r="M1336" s="415">
        <v>1347.74</v>
      </c>
      <c r="N1336" s="415">
        <v>1502.14</v>
      </c>
      <c r="O1336" s="415">
        <v>1442.11</v>
      </c>
      <c r="P1336" s="415">
        <v>1223.7</v>
      </c>
      <c r="Q1336" s="481">
        <f t="shared" si="66"/>
        <v>-41.447853289999898</v>
      </c>
    </row>
    <row r="1337" spans="1:17" outlineLevel="2" x14ac:dyDescent="0.3">
      <c r="A1337" s="366" t="str">
        <f>IFERROR(VLOOKUP(RIGHT(E1337,3)+0,[1]SchLocTable!$A$2:$B$47,2,FALSE)," ")</f>
        <v>Read</v>
      </c>
      <c r="B1337" s="366" t="str">
        <f>VLOOKUP(VALUE(D1337),$D$3:F$106,3,FALSE)</f>
        <v>Visual Arts</v>
      </c>
      <c r="C1337" t="s">
        <v>314</v>
      </c>
      <c r="D1337">
        <v>813</v>
      </c>
      <c r="E1337" t="s">
        <v>592</v>
      </c>
      <c r="F1337" t="s">
        <v>324</v>
      </c>
      <c r="G1337" t="s">
        <v>319</v>
      </c>
      <c r="H1337" s="502">
        <v>52385</v>
      </c>
      <c r="I1337" s="415">
        <v>0</v>
      </c>
      <c r="J1337" s="415">
        <v>0</v>
      </c>
      <c r="K1337" s="415">
        <v>0</v>
      </c>
      <c r="L1337" s="415">
        <v>155</v>
      </c>
      <c r="M1337" s="415">
        <v>0</v>
      </c>
      <c r="N1337" s="415">
        <v>0</v>
      </c>
      <c r="O1337" s="415">
        <v>0</v>
      </c>
      <c r="P1337" s="415">
        <v>0</v>
      </c>
      <c r="Q1337" s="481">
        <f t="shared" si="66"/>
        <v>0</v>
      </c>
    </row>
    <row r="1338" spans="1:17" outlineLevel="2" x14ac:dyDescent="0.3">
      <c r="A1338" s="366" t="str">
        <f>IFERROR(VLOOKUP(RIGHT(E1338,3)+0,[1]SchLocTable!$A$2:$B$47,2,FALSE)," ")</f>
        <v>Read</v>
      </c>
      <c r="B1338" s="366" t="str">
        <f>VLOOKUP(VALUE(D1338),$D$3:F$106,3,FALSE)</f>
        <v>Visual Arts</v>
      </c>
      <c r="C1338" t="s">
        <v>314</v>
      </c>
      <c r="D1338">
        <v>813</v>
      </c>
      <c r="E1338" t="s">
        <v>592</v>
      </c>
      <c r="F1338" t="s">
        <v>329</v>
      </c>
      <c r="G1338" t="s">
        <v>319</v>
      </c>
      <c r="H1338" s="502">
        <v>51154</v>
      </c>
      <c r="I1338" s="415">
        <v>0</v>
      </c>
      <c r="J1338" s="415">
        <v>0</v>
      </c>
      <c r="K1338" s="415">
        <v>0</v>
      </c>
      <c r="L1338" s="415">
        <v>0</v>
      </c>
      <c r="M1338" s="415">
        <v>3900</v>
      </c>
      <c r="N1338" s="415">
        <v>0</v>
      </c>
      <c r="O1338" s="415">
        <v>0</v>
      </c>
      <c r="P1338" s="415">
        <v>0</v>
      </c>
      <c r="Q1338" s="481">
        <f t="shared" si="66"/>
        <v>0</v>
      </c>
    </row>
    <row r="1339" spans="1:17" outlineLevel="2" x14ac:dyDescent="0.3">
      <c r="A1339" s="366" t="str">
        <f>IFERROR(VLOOKUP(RIGHT(E1339,3)+0,[1]SchLocTable!$A$2:$B$47,2,FALSE)," ")</f>
        <v>Roosevelt</v>
      </c>
      <c r="B1339" s="366" t="str">
        <f>VLOOKUP(VALUE(D1339),$D$3:F$106,3,FALSE)</f>
        <v>Visual Arts</v>
      </c>
      <c r="C1339" t="s">
        <v>314</v>
      </c>
      <c r="D1339">
        <v>813</v>
      </c>
      <c r="E1339" t="s">
        <v>593</v>
      </c>
      <c r="F1339" t="s">
        <v>316</v>
      </c>
      <c r="G1339">
        <v>2</v>
      </c>
      <c r="H1339" s="502">
        <v>51000</v>
      </c>
      <c r="I1339" s="415">
        <v>160903.68579999998</v>
      </c>
      <c r="J1339" s="415">
        <v>153096</v>
      </c>
      <c r="K1339" s="415">
        <v>142637.82</v>
      </c>
      <c r="L1339" s="415">
        <v>130099.06</v>
      </c>
      <c r="M1339" s="415">
        <v>108285.95</v>
      </c>
      <c r="N1339" s="415">
        <v>110663.8</v>
      </c>
      <c r="O1339" s="415">
        <v>102579.1</v>
      </c>
      <c r="P1339" s="415">
        <v>100962.94</v>
      </c>
      <c r="Q1339" s="481">
        <f t="shared" si="66"/>
        <v>-7807.6857999999775</v>
      </c>
    </row>
    <row r="1340" spans="1:17" outlineLevel="2" x14ac:dyDescent="0.3">
      <c r="A1340" s="366" t="str">
        <f>IFERROR(VLOOKUP(RIGHT(E1340,3)+0,[1]SchLocTable!$A$2:$B$47,2,FALSE)," ")</f>
        <v>Roosevelt</v>
      </c>
      <c r="B1340" s="366" t="str">
        <f>VLOOKUP(VALUE(D1340),$D$3:F$106,3,FALSE)</f>
        <v>Visual Arts</v>
      </c>
      <c r="C1340" t="s">
        <v>314</v>
      </c>
      <c r="D1340">
        <v>813</v>
      </c>
      <c r="E1340" t="s">
        <v>593</v>
      </c>
      <c r="F1340" t="s">
        <v>321</v>
      </c>
      <c r="G1340" t="s">
        <v>319</v>
      </c>
      <c r="H1340" s="502">
        <v>52917</v>
      </c>
      <c r="I1340" s="415">
        <v>61975.619999999995</v>
      </c>
      <c r="J1340" s="415">
        <v>51646.35</v>
      </c>
      <c r="K1340" s="415">
        <v>46919.88</v>
      </c>
      <c r="L1340" s="415">
        <v>46236.12</v>
      </c>
      <c r="M1340" s="415">
        <v>45671.72</v>
      </c>
      <c r="N1340" s="415">
        <v>54759.39</v>
      </c>
      <c r="O1340" s="415">
        <v>52658.57</v>
      </c>
      <c r="P1340" s="415">
        <v>49665.84</v>
      </c>
      <c r="Q1340" s="481">
        <f t="shared" si="66"/>
        <v>-10329.269999999997</v>
      </c>
    </row>
    <row r="1341" spans="1:17" outlineLevel="2" x14ac:dyDescent="0.3">
      <c r="A1341" s="366" t="str">
        <f>IFERROR(VLOOKUP(RIGHT(E1341,3)+0,[1]SchLocTable!$A$2:$B$47,2,FALSE)," ")</f>
        <v>Roosevelt</v>
      </c>
      <c r="B1341" s="366" t="str">
        <f>VLOOKUP(VALUE(D1341),$D$3:F$106,3,FALSE)</f>
        <v>Visual Arts</v>
      </c>
      <c r="C1341" t="s">
        <v>314</v>
      </c>
      <c r="D1341">
        <v>813</v>
      </c>
      <c r="E1341" t="s">
        <v>593</v>
      </c>
      <c r="F1341" t="s">
        <v>320</v>
      </c>
      <c r="G1341" t="s">
        <v>319</v>
      </c>
      <c r="H1341" s="502">
        <v>52360</v>
      </c>
      <c r="I1341" s="415">
        <v>2333.1034441000002</v>
      </c>
      <c r="J1341" s="415">
        <v>1940</v>
      </c>
      <c r="K1341" s="415">
        <v>1867.97</v>
      </c>
      <c r="L1341" s="415">
        <v>1694.88</v>
      </c>
      <c r="M1341" s="415">
        <v>1269.0999999999999</v>
      </c>
      <c r="N1341" s="415">
        <v>1390.38</v>
      </c>
      <c r="O1341" s="415">
        <v>1287.18</v>
      </c>
      <c r="P1341" s="415">
        <v>1277.76</v>
      </c>
      <c r="Q1341" s="481">
        <f t="shared" si="66"/>
        <v>-393.10344410000016</v>
      </c>
    </row>
    <row r="1342" spans="1:17" outlineLevel="2" x14ac:dyDescent="0.3">
      <c r="A1342" s="366" t="str">
        <f>IFERROR(VLOOKUP(RIGHT(E1342,3)+0,[1]SchLocTable!$A$2:$B$47,2,FALSE)," ")</f>
        <v>Bridgeport Learning Center</v>
      </c>
      <c r="B1342" s="366" t="str">
        <f>VLOOKUP(VALUE(D1342),$D$3:F$106,3,FALSE)</f>
        <v>Visual Arts</v>
      </c>
      <c r="C1342" t="s">
        <v>314</v>
      </c>
      <c r="D1342">
        <v>813</v>
      </c>
      <c r="E1342" t="s">
        <v>594</v>
      </c>
      <c r="F1342" t="s">
        <v>316</v>
      </c>
      <c r="G1342" t="s">
        <v>319</v>
      </c>
      <c r="H1342" s="502">
        <v>51000</v>
      </c>
      <c r="I1342" s="415">
        <v>0</v>
      </c>
      <c r="J1342" s="415">
        <v>0</v>
      </c>
      <c r="K1342" s="415">
        <v>0</v>
      </c>
      <c r="L1342" s="415">
        <v>8460</v>
      </c>
      <c r="M1342" s="415">
        <v>0</v>
      </c>
      <c r="N1342" s="415">
        <v>0</v>
      </c>
      <c r="O1342" s="415">
        <v>0</v>
      </c>
      <c r="P1342" s="415">
        <v>0</v>
      </c>
      <c r="Q1342" s="481">
        <f t="shared" si="66"/>
        <v>0</v>
      </c>
    </row>
    <row r="1343" spans="1:17" outlineLevel="2" x14ac:dyDescent="0.3">
      <c r="A1343" s="366" t="str">
        <f>IFERROR(VLOOKUP(RIGHT(E1343,3)+0,[1]SchLocTable!$A$2:$B$47,2,FALSE)," ")</f>
        <v>Bridgeport Learning Center</v>
      </c>
      <c r="B1343" s="366" t="str">
        <f>VLOOKUP(VALUE(D1343),$D$3:F$106,3,FALSE)</f>
        <v>Visual Arts</v>
      </c>
      <c r="C1343" t="s">
        <v>314</v>
      </c>
      <c r="D1343">
        <v>813</v>
      </c>
      <c r="E1343" t="s">
        <v>594</v>
      </c>
      <c r="F1343" t="s">
        <v>321</v>
      </c>
      <c r="G1343" t="s">
        <v>319</v>
      </c>
      <c r="H1343" s="502">
        <v>52917</v>
      </c>
      <c r="I1343" s="415">
        <v>0</v>
      </c>
      <c r="J1343" s="415">
        <v>0</v>
      </c>
      <c r="K1343" s="415">
        <v>0</v>
      </c>
      <c r="L1343" s="415">
        <v>22.84</v>
      </c>
      <c r="M1343" s="415">
        <v>0</v>
      </c>
      <c r="N1343" s="415">
        <v>0</v>
      </c>
      <c r="O1343" s="415">
        <v>0</v>
      </c>
      <c r="P1343" s="415">
        <v>0</v>
      </c>
      <c r="Q1343" s="481">
        <f t="shared" ref="Q1343:Q1406" si="67">J1343-I1343</f>
        <v>0</v>
      </c>
    </row>
    <row r="1344" spans="1:17" outlineLevel="2" x14ac:dyDescent="0.3">
      <c r="A1344" s="366" t="str">
        <f>IFERROR(VLOOKUP(RIGHT(E1344,3)+0,[1]SchLocTable!$A$2:$B$47,2,FALSE)," ")</f>
        <v>Bridgeport Learning Center</v>
      </c>
      <c r="B1344" s="366" t="str">
        <f>VLOOKUP(VALUE(D1344),$D$3:F$106,3,FALSE)</f>
        <v>Visual Arts</v>
      </c>
      <c r="C1344" t="s">
        <v>314</v>
      </c>
      <c r="D1344">
        <v>813</v>
      </c>
      <c r="E1344" t="s">
        <v>594</v>
      </c>
      <c r="F1344" t="s">
        <v>320</v>
      </c>
      <c r="G1344" t="s">
        <v>319</v>
      </c>
      <c r="H1344" s="502">
        <v>52360</v>
      </c>
      <c r="I1344" s="415">
        <v>0</v>
      </c>
      <c r="J1344" s="415">
        <v>0</v>
      </c>
      <c r="K1344" s="415">
        <v>0</v>
      </c>
      <c r="L1344" s="415">
        <v>124.72</v>
      </c>
      <c r="M1344" s="415">
        <v>0</v>
      </c>
      <c r="N1344" s="415">
        <v>0</v>
      </c>
      <c r="O1344" s="415">
        <v>0</v>
      </c>
      <c r="P1344" s="415">
        <v>0</v>
      </c>
      <c r="Q1344" s="481">
        <f t="shared" si="67"/>
        <v>0</v>
      </c>
    </row>
    <row r="1345" spans="1:17" outlineLevel="2" x14ac:dyDescent="0.3">
      <c r="A1345" s="366" t="str">
        <f>IFERROR(VLOOKUP(RIGHT(E1345,3)+0,[1]SchLocTable!$A$2:$B$47,2,FALSE)," ")</f>
        <v>Bridgeport Learning Center</v>
      </c>
      <c r="B1345" s="366" t="str">
        <f>VLOOKUP(VALUE(D1345),$D$3:F$106,3,FALSE)</f>
        <v>Visual Arts</v>
      </c>
      <c r="C1345" t="s">
        <v>314</v>
      </c>
      <c r="D1345">
        <v>813</v>
      </c>
      <c r="E1345" t="s">
        <v>594</v>
      </c>
      <c r="F1345" t="s">
        <v>324</v>
      </c>
      <c r="G1345" t="s">
        <v>319</v>
      </c>
      <c r="H1345" s="502">
        <v>52385</v>
      </c>
      <c r="I1345" s="415">
        <v>0</v>
      </c>
      <c r="J1345" s="415">
        <v>0</v>
      </c>
      <c r="K1345" s="415">
        <v>0</v>
      </c>
      <c r="L1345" s="415">
        <v>515.25</v>
      </c>
      <c r="M1345" s="415">
        <v>0</v>
      </c>
      <c r="N1345" s="415">
        <v>0</v>
      </c>
      <c r="O1345" s="415">
        <v>0</v>
      </c>
      <c r="P1345" s="415">
        <v>0</v>
      </c>
      <c r="Q1345" s="481">
        <f t="shared" si="67"/>
        <v>0</v>
      </c>
    </row>
    <row r="1346" spans="1:17" outlineLevel="2" x14ac:dyDescent="0.3">
      <c r="A1346" s="366" t="str">
        <f>IFERROR(VLOOKUP(RIGHT(E1346,3)+0,[1]SchLocTable!$A$2:$B$47,2,FALSE)," ")</f>
        <v>Waltersville</v>
      </c>
      <c r="B1346" s="366" t="str">
        <f>VLOOKUP(VALUE(D1346),$D$3:F$106,3,FALSE)</f>
        <v>Visual Arts</v>
      </c>
      <c r="C1346" t="s">
        <v>314</v>
      </c>
      <c r="D1346">
        <v>813</v>
      </c>
      <c r="E1346" t="s">
        <v>595</v>
      </c>
      <c r="F1346" t="s">
        <v>316</v>
      </c>
      <c r="G1346">
        <v>2</v>
      </c>
      <c r="H1346" s="502">
        <v>51000</v>
      </c>
      <c r="I1346" s="415">
        <v>80000</v>
      </c>
      <c r="J1346" s="415">
        <v>500</v>
      </c>
      <c r="K1346" s="415">
        <v>0</v>
      </c>
      <c r="L1346" s="415">
        <v>0</v>
      </c>
      <c r="M1346" s="415">
        <v>89892.92</v>
      </c>
      <c r="N1346" s="415">
        <v>88564.06</v>
      </c>
      <c r="O1346" s="415">
        <v>48170.98</v>
      </c>
      <c r="P1346" s="415">
        <v>47412.04</v>
      </c>
      <c r="Q1346" s="481">
        <f t="shared" si="67"/>
        <v>-79500</v>
      </c>
    </row>
    <row r="1347" spans="1:17" outlineLevel="2" x14ac:dyDescent="0.3">
      <c r="A1347" s="366" t="str">
        <f>IFERROR(VLOOKUP(RIGHT(E1347,3)+0,[1]SchLocTable!$A$2:$B$47,2,FALSE)," ")</f>
        <v>Waltersville</v>
      </c>
      <c r="B1347" s="366" t="str">
        <f>VLOOKUP(VALUE(D1347),$D$3:F$106,3,FALSE)</f>
        <v>Visual Arts</v>
      </c>
      <c r="C1347" t="s">
        <v>314</v>
      </c>
      <c r="D1347">
        <v>813</v>
      </c>
      <c r="E1347" t="s">
        <v>595</v>
      </c>
      <c r="F1347" t="s">
        <v>321</v>
      </c>
      <c r="G1347" t="s">
        <v>319</v>
      </c>
      <c r="H1347" s="502">
        <v>52917</v>
      </c>
      <c r="I1347" s="415">
        <v>32400</v>
      </c>
      <c r="J1347" s="415">
        <v>0</v>
      </c>
      <c r="K1347" s="415">
        <v>0</v>
      </c>
      <c r="L1347" s="415">
        <v>0</v>
      </c>
      <c r="M1347" s="415">
        <v>32449.200000000001</v>
      </c>
      <c r="N1347" s="415">
        <v>30308.67</v>
      </c>
      <c r="O1347" s="415">
        <v>23581.07</v>
      </c>
      <c r="P1347" s="415">
        <v>22186.29</v>
      </c>
      <c r="Q1347" s="481">
        <f t="shared" si="67"/>
        <v>-32400</v>
      </c>
    </row>
    <row r="1348" spans="1:17" outlineLevel="2" x14ac:dyDescent="0.3">
      <c r="A1348" s="366" t="str">
        <f>IFERROR(VLOOKUP(RIGHT(E1348,3)+0,[1]SchLocTable!$A$2:$B$47,2,FALSE)," ")</f>
        <v>Waltersville</v>
      </c>
      <c r="B1348" s="366" t="str">
        <f>VLOOKUP(VALUE(D1348),$D$3:F$106,3,FALSE)</f>
        <v>Visual Arts</v>
      </c>
      <c r="C1348" t="s">
        <v>314</v>
      </c>
      <c r="D1348">
        <v>813</v>
      </c>
      <c r="E1348" t="s">
        <v>595</v>
      </c>
      <c r="F1348" t="s">
        <v>318</v>
      </c>
      <c r="G1348" t="s">
        <v>319</v>
      </c>
      <c r="H1348" s="502">
        <v>51140</v>
      </c>
      <c r="I1348" s="415">
        <v>0</v>
      </c>
      <c r="J1348" s="415">
        <v>0</v>
      </c>
      <c r="K1348" s="415">
        <v>0</v>
      </c>
      <c r="L1348" s="415">
        <v>0</v>
      </c>
      <c r="M1348" s="415">
        <v>900</v>
      </c>
      <c r="N1348" s="415">
        <v>900</v>
      </c>
      <c r="O1348" s="415">
        <v>0</v>
      </c>
      <c r="P1348" s="415">
        <v>0</v>
      </c>
      <c r="Q1348" s="481">
        <f t="shared" si="67"/>
        <v>0</v>
      </c>
    </row>
    <row r="1349" spans="1:17" outlineLevel="2" x14ac:dyDescent="0.3">
      <c r="A1349" s="366" t="str">
        <f>IFERROR(VLOOKUP(RIGHT(E1349,3)+0,[1]SchLocTable!$A$2:$B$47,2,FALSE)," ")</f>
        <v>Waltersville</v>
      </c>
      <c r="B1349" s="366" t="str">
        <f>VLOOKUP(VALUE(D1349),$D$3:F$106,3,FALSE)</f>
        <v>Visual Arts</v>
      </c>
      <c r="C1349" t="s">
        <v>314</v>
      </c>
      <c r="D1349">
        <v>813</v>
      </c>
      <c r="E1349" t="s">
        <v>595</v>
      </c>
      <c r="F1349" t="s">
        <v>320</v>
      </c>
      <c r="G1349" t="s">
        <v>319</v>
      </c>
      <c r="H1349" s="502">
        <v>52360</v>
      </c>
      <c r="I1349" s="415">
        <v>1160</v>
      </c>
      <c r="J1349" s="415">
        <v>7.25</v>
      </c>
      <c r="K1349" s="415">
        <v>0</v>
      </c>
      <c r="L1349" s="415">
        <v>0</v>
      </c>
      <c r="M1349" s="415">
        <v>1185.75</v>
      </c>
      <c r="N1349" s="415">
        <v>1178.92</v>
      </c>
      <c r="O1349" s="415">
        <v>608.67999999999995</v>
      </c>
      <c r="P1349" s="415">
        <v>603.29999999999995</v>
      </c>
      <c r="Q1349" s="481">
        <f t="shared" si="67"/>
        <v>-1152.75</v>
      </c>
    </row>
    <row r="1350" spans="1:17" outlineLevel="2" x14ac:dyDescent="0.3">
      <c r="A1350" s="366" t="str">
        <f>IFERROR(VLOOKUP(RIGHT(E1350,3)+0,[1]SchLocTable!$A$2:$B$47,2,FALSE)," ")</f>
        <v>Waltersville</v>
      </c>
      <c r="B1350" s="366" t="str">
        <f>VLOOKUP(VALUE(D1350),$D$3:F$106,3,FALSE)</f>
        <v>Visual Arts</v>
      </c>
      <c r="C1350" t="s">
        <v>314</v>
      </c>
      <c r="D1350">
        <v>813</v>
      </c>
      <c r="E1350" t="s">
        <v>595</v>
      </c>
      <c r="F1350" t="s">
        <v>324</v>
      </c>
      <c r="G1350" t="s">
        <v>319</v>
      </c>
      <c r="H1350" s="502">
        <v>52385</v>
      </c>
      <c r="I1350" s="415">
        <v>0</v>
      </c>
      <c r="J1350" s="415">
        <v>0</v>
      </c>
      <c r="K1350" s="415">
        <v>0</v>
      </c>
      <c r="L1350" s="415">
        <v>0</v>
      </c>
      <c r="M1350" s="415">
        <v>0</v>
      </c>
      <c r="N1350" s="415">
        <v>0</v>
      </c>
      <c r="O1350" s="415">
        <v>0</v>
      </c>
      <c r="P1350" s="415">
        <v>0</v>
      </c>
      <c r="Q1350" s="481">
        <f t="shared" si="67"/>
        <v>0</v>
      </c>
    </row>
    <row r="1351" spans="1:17" outlineLevel="2" x14ac:dyDescent="0.3">
      <c r="A1351" s="366" t="str">
        <f>IFERROR(VLOOKUP(RIGHT(E1351,3)+0,[1]SchLocTable!$A$2:$B$47,2,FALSE)," ")</f>
        <v>Claytor</v>
      </c>
      <c r="B1351" s="366" t="str">
        <f>VLOOKUP(VALUE(D1351),$D$3:F$106,3,FALSE)</f>
        <v>Visual Arts</v>
      </c>
      <c r="C1351" t="s">
        <v>314</v>
      </c>
      <c r="D1351">
        <v>813</v>
      </c>
      <c r="E1351" t="s">
        <v>596</v>
      </c>
      <c r="F1351" t="s">
        <v>316</v>
      </c>
      <c r="G1351">
        <v>2</v>
      </c>
      <c r="H1351" s="502">
        <v>51000</v>
      </c>
      <c r="I1351" s="415">
        <v>190428.49643</v>
      </c>
      <c r="J1351" s="415">
        <v>0</v>
      </c>
      <c r="K1351" s="415">
        <v>0</v>
      </c>
      <c r="L1351" s="415">
        <v>0</v>
      </c>
      <c r="M1351" s="415">
        <v>64194</v>
      </c>
      <c r="N1351" s="415">
        <v>59914.05</v>
      </c>
      <c r="O1351" s="415">
        <v>56917.86</v>
      </c>
      <c r="P1351" s="415">
        <v>20412.72</v>
      </c>
      <c r="Q1351" s="481">
        <f t="shared" si="67"/>
        <v>-190428.49643</v>
      </c>
    </row>
    <row r="1352" spans="1:17" outlineLevel="2" x14ac:dyDescent="0.3">
      <c r="A1352" s="366" t="str">
        <f>IFERROR(VLOOKUP(RIGHT(E1352,3)+0,[1]SchLocTable!$A$2:$B$47,2,FALSE)," ")</f>
        <v>Claytor</v>
      </c>
      <c r="B1352" s="366" t="str">
        <f>VLOOKUP(VALUE(D1352),$D$3:F$106,3,FALSE)</f>
        <v>Visual Arts</v>
      </c>
      <c r="C1352" t="s">
        <v>314</v>
      </c>
      <c r="D1352">
        <v>813</v>
      </c>
      <c r="E1352" t="s">
        <v>596</v>
      </c>
      <c r="F1352" t="s">
        <v>321</v>
      </c>
      <c r="G1352" t="s">
        <v>319</v>
      </c>
      <c r="H1352" s="502">
        <v>52917</v>
      </c>
      <c r="I1352" s="415">
        <v>48044.663999999997</v>
      </c>
      <c r="J1352" s="415">
        <v>0</v>
      </c>
      <c r="K1352" s="415">
        <v>0</v>
      </c>
      <c r="L1352" s="415">
        <v>0</v>
      </c>
      <c r="M1352" s="415">
        <v>0</v>
      </c>
      <c r="N1352" s="415">
        <v>0</v>
      </c>
      <c r="O1352" s="415">
        <v>0</v>
      </c>
      <c r="P1352" s="415">
        <v>11352.33</v>
      </c>
      <c r="Q1352" s="481">
        <f t="shared" si="67"/>
        <v>-48044.663999999997</v>
      </c>
    </row>
    <row r="1353" spans="1:17" outlineLevel="2" x14ac:dyDescent="0.3">
      <c r="A1353" s="366" t="str">
        <f>IFERROR(VLOOKUP(RIGHT(E1353,3)+0,[1]SchLocTable!$A$2:$B$47,2,FALSE)," ")</f>
        <v>Claytor</v>
      </c>
      <c r="B1353" s="366" t="str">
        <f>VLOOKUP(VALUE(D1353),$D$3:F$106,3,FALSE)</f>
        <v>Visual Arts</v>
      </c>
      <c r="C1353" t="s">
        <v>314</v>
      </c>
      <c r="D1353">
        <v>813</v>
      </c>
      <c r="E1353" t="s">
        <v>596</v>
      </c>
      <c r="F1353" t="s">
        <v>318</v>
      </c>
      <c r="G1353" t="s">
        <v>319</v>
      </c>
      <c r="H1353" s="502">
        <v>51140</v>
      </c>
      <c r="I1353" s="415">
        <v>1300</v>
      </c>
      <c r="J1353" s="415">
        <v>0</v>
      </c>
      <c r="K1353" s="415">
        <v>0</v>
      </c>
      <c r="L1353" s="415">
        <v>0</v>
      </c>
      <c r="M1353" s="415">
        <v>0</v>
      </c>
      <c r="N1353" s="415">
        <v>0</v>
      </c>
      <c r="O1353" s="415">
        <v>0</v>
      </c>
      <c r="P1353" s="415">
        <v>0</v>
      </c>
      <c r="Q1353" s="481">
        <f t="shared" si="67"/>
        <v>-1300</v>
      </c>
    </row>
    <row r="1354" spans="1:17" outlineLevel="2" x14ac:dyDescent="0.3">
      <c r="A1354" s="366" t="str">
        <f>IFERROR(VLOOKUP(RIGHT(E1354,3)+0,[1]SchLocTable!$A$2:$B$47,2,FALSE)," ")</f>
        <v>Claytor</v>
      </c>
      <c r="B1354" s="366" t="str">
        <f>VLOOKUP(VALUE(D1354),$D$3:F$106,3,FALSE)</f>
        <v>Visual Arts</v>
      </c>
      <c r="C1354" t="s">
        <v>314</v>
      </c>
      <c r="D1354">
        <v>813</v>
      </c>
      <c r="E1354" t="s">
        <v>596</v>
      </c>
      <c r="F1354" t="s">
        <v>320</v>
      </c>
      <c r="G1354" t="s">
        <v>319</v>
      </c>
      <c r="H1354" s="502">
        <v>52360</v>
      </c>
      <c r="I1354" s="415">
        <v>2761.2131982350002</v>
      </c>
      <c r="J1354" s="415">
        <v>0</v>
      </c>
      <c r="K1354" s="415">
        <v>0</v>
      </c>
      <c r="L1354" s="415">
        <v>0</v>
      </c>
      <c r="M1354" s="415">
        <v>930.82</v>
      </c>
      <c r="N1354" s="415">
        <v>868.75</v>
      </c>
      <c r="O1354" s="415">
        <v>825.31</v>
      </c>
      <c r="P1354" s="415">
        <v>252.66</v>
      </c>
      <c r="Q1354" s="481">
        <f t="shared" si="67"/>
        <v>-2761.2131982350002</v>
      </c>
    </row>
    <row r="1355" spans="1:17" outlineLevel="2" x14ac:dyDescent="0.3">
      <c r="A1355" s="366" t="str">
        <f>IFERROR(VLOOKUP(RIGHT(E1355,3)+0,[1]SchLocTable!$A$2:$B$47,2,FALSE)," ")</f>
        <v>Johnson</v>
      </c>
      <c r="B1355" s="366" t="str">
        <f>VLOOKUP(VALUE(D1355),$D$3:F$106,3,FALSE)</f>
        <v>Visual Arts</v>
      </c>
      <c r="C1355" t="s">
        <v>314</v>
      </c>
      <c r="D1355">
        <v>813</v>
      </c>
      <c r="E1355" t="s">
        <v>597</v>
      </c>
      <c r="F1355" t="s">
        <v>316</v>
      </c>
      <c r="G1355" t="s">
        <v>319</v>
      </c>
      <c r="H1355" s="502">
        <v>51000</v>
      </c>
      <c r="I1355" s="415">
        <v>80000</v>
      </c>
      <c r="J1355" s="415">
        <v>0</v>
      </c>
      <c r="K1355" s="415">
        <v>0</v>
      </c>
      <c r="L1355" s="415">
        <v>75270.33</v>
      </c>
      <c r="M1355" s="415">
        <v>57202.95</v>
      </c>
      <c r="N1355" s="415">
        <v>55183.63</v>
      </c>
      <c r="O1355" s="415">
        <v>50996.86</v>
      </c>
      <c r="P1355" s="415">
        <v>65288.08</v>
      </c>
      <c r="Q1355" s="481">
        <f t="shared" si="67"/>
        <v>-80000</v>
      </c>
    </row>
    <row r="1356" spans="1:17" outlineLevel="2" x14ac:dyDescent="0.3">
      <c r="A1356" s="366" t="str">
        <f>IFERROR(VLOOKUP(RIGHT(E1356,3)+0,[1]SchLocTable!$A$2:$B$47,2,FALSE)," ")</f>
        <v>Johnson</v>
      </c>
      <c r="B1356" s="366" t="str">
        <f>VLOOKUP(VALUE(D1356),$D$3:F$106,3,FALSE)</f>
        <v>Visual Arts</v>
      </c>
      <c r="C1356" t="s">
        <v>314</v>
      </c>
      <c r="D1356">
        <v>813</v>
      </c>
      <c r="E1356" t="s">
        <v>597</v>
      </c>
      <c r="F1356" t="s">
        <v>321</v>
      </c>
      <c r="G1356" t="s">
        <v>319</v>
      </c>
      <c r="H1356" s="502">
        <v>52917</v>
      </c>
      <c r="I1356" s="415">
        <v>32400</v>
      </c>
      <c r="J1356" s="415">
        <v>0</v>
      </c>
      <c r="K1356" s="415">
        <v>0</v>
      </c>
      <c r="L1356" s="415">
        <v>27688.58</v>
      </c>
      <c r="M1356" s="415">
        <v>32436.81</v>
      </c>
      <c r="N1356" s="415">
        <v>28706.2</v>
      </c>
      <c r="O1356" s="415">
        <v>8764.3799999999992</v>
      </c>
      <c r="P1356" s="415">
        <v>9885.75</v>
      </c>
      <c r="Q1356" s="481">
        <f t="shared" si="67"/>
        <v>-32400</v>
      </c>
    </row>
    <row r="1357" spans="1:17" outlineLevel="2" x14ac:dyDescent="0.3">
      <c r="A1357" s="366" t="str">
        <f>IFERROR(VLOOKUP(RIGHT(E1357,3)+0,[1]SchLocTable!$A$2:$B$47,2,FALSE)," ")</f>
        <v>Johnson</v>
      </c>
      <c r="B1357" s="366" t="str">
        <f>VLOOKUP(VALUE(D1357),$D$3:F$106,3,FALSE)</f>
        <v>Visual Arts</v>
      </c>
      <c r="C1357" t="s">
        <v>314</v>
      </c>
      <c r="D1357">
        <v>813</v>
      </c>
      <c r="E1357" t="s">
        <v>597</v>
      </c>
      <c r="F1357" t="s">
        <v>320</v>
      </c>
      <c r="G1357" t="s">
        <v>319</v>
      </c>
      <c r="H1357" s="502">
        <v>52360</v>
      </c>
      <c r="I1357" s="415">
        <v>1160</v>
      </c>
      <c r="J1357" s="415">
        <v>0</v>
      </c>
      <c r="K1357" s="415">
        <v>0</v>
      </c>
      <c r="L1357" s="415">
        <v>969.29</v>
      </c>
      <c r="M1357" s="415">
        <v>698.72</v>
      </c>
      <c r="N1357" s="415">
        <v>687.87</v>
      </c>
      <c r="O1357" s="415">
        <v>702.92</v>
      </c>
      <c r="P1357" s="415">
        <v>911.02</v>
      </c>
      <c r="Q1357" s="481">
        <f t="shared" si="67"/>
        <v>-1160</v>
      </c>
    </row>
    <row r="1358" spans="1:17" outlineLevel="2" x14ac:dyDescent="0.3">
      <c r="A1358" s="366" t="str">
        <f>IFERROR(VLOOKUP(RIGHT(E1358,3)+0,[1]SchLocTable!$A$2:$B$47,2,FALSE)," ")</f>
        <v>Johnson</v>
      </c>
      <c r="B1358" s="366" t="str">
        <f>VLOOKUP(VALUE(D1358),$D$3:F$106,3,FALSE)</f>
        <v>Visual Arts</v>
      </c>
      <c r="C1358" t="s">
        <v>314</v>
      </c>
      <c r="D1358">
        <v>813</v>
      </c>
      <c r="E1358" t="s">
        <v>597</v>
      </c>
      <c r="F1358" t="s">
        <v>324</v>
      </c>
      <c r="G1358" t="s">
        <v>319</v>
      </c>
      <c r="H1358" s="502">
        <v>52385</v>
      </c>
      <c r="I1358" s="415">
        <v>0</v>
      </c>
      <c r="J1358" s="415">
        <v>0</v>
      </c>
      <c r="K1358" s="415">
        <v>0</v>
      </c>
      <c r="L1358" s="415">
        <v>589</v>
      </c>
      <c r="M1358" s="415">
        <v>0</v>
      </c>
      <c r="N1358" s="415">
        <v>0</v>
      </c>
      <c r="O1358" s="415">
        <v>0</v>
      </c>
      <c r="P1358" s="415">
        <v>0</v>
      </c>
      <c r="Q1358" s="481">
        <f t="shared" si="67"/>
        <v>0</v>
      </c>
    </row>
    <row r="1359" spans="1:17" outlineLevel="2" x14ac:dyDescent="0.3">
      <c r="A1359" s="366" t="str">
        <f>IFERROR(VLOOKUP(RIGHT(E1359,3)+0,[1]SchLocTable!$A$2:$B$47,2,FALSE)," ")</f>
        <v>Winthrop</v>
      </c>
      <c r="B1359" s="366" t="str">
        <f>VLOOKUP(VALUE(D1359),$D$3:F$106,3,FALSE)</f>
        <v>Visual Arts</v>
      </c>
      <c r="C1359" t="s">
        <v>314</v>
      </c>
      <c r="D1359">
        <v>813</v>
      </c>
      <c r="E1359" t="s">
        <v>598</v>
      </c>
      <c r="F1359" t="s">
        <v>316</v>
      </c>
      <c r="G1359">
        <v>2</v>
      </c>
      <c r="H1359" s="502">
        <v>51000</v>
      </c>
      <c r="I1359" s="415">
        <v>195941.08299999998</v>
      </c>
      <c r="J1359" s="415">
        <v>186433</v>
      </c>
      <c r="K1359" s="415">
        <v>170055.08</v>
      </c>
      <c r="L1359" s="415">
        <v>158225.07999999999</v>
      </c>
      <c r="M1359" s="415">
        <v>149438.9</v>
      </c>
      <c r="N1359" s="415">
        <v>126117.91</v>
      </c>
      <c r="O1359" s="415">
        <v>183361.92000000001</v>
      </c>
      <c r="P1359" s="415">
        <v>180475.1</v>
      </c>
      <c r="Q1359" s="481">
        <f t="shared" si="67"/>
        <v>-9508.0829999999842</v>
      </c>
    </row>
    <row r="1360" spans="1:17" outlineLevel="2" x14ac:dyDescent="0.3">
      <c r="A1360" s="366" t="str">
        <f>IFERROR(VLOOKUP(RIGHT(E1360,3)+0,[1]SchLocTable!$A$2:$B$47,2,FALSE)," ")</f>
        <v>Winthrop</v>
      </c>
      <c r="B1360" s="366" t="str">
        <f>VLOOKUP(VALUE(D1360),$D$3:F$106,3,FALSE)</f>
        <v>Visual Arts</v>
      </c>
      <c r="C1360" t="s">
        <v>314</v>
      </c>
      <c r="D1360">
        <v>813</v>
      </c>
      <c r="E1360" t="s">
        <v>598</v>
      </c>
      <c r="F1360" t="s">
        <v>321</v>
      </c>
      <c r="G1360" t="s">
        <v>319</v>
      </c>
      <c r="H1360" s="502">
        <v>52917</v>
      </c>
      <c r="I1360" s="415">
        <v>61975.619999999995</v>
      </c>
      <c r="J1360" s="415">
        <v>51646.35</v>
      </c>
      <c r="K1360" s="415">
        <v>46919.88</v>
      </c>
      <c r="L1360" s="415">
        <v>46291.77</v>
      </c>
      <c r="M1360" s="415">
        <v>42884.2</v>
      </c>
      <c r="N1360" s="415">
        <v>10712.73</v>
      </c>
      <c r="O1360" s="415">
        <v>10241.67</v>
      </c>
      <c r="P1360" s="415">
        <v>9693.6</v>
      </c>
      <c r="Q1360" s="481">
        <f t="shared" si="67"/>
        <v>-10329.269999999997</v>
      </c>
    </row>
    <row r="1361" spans="1:17" outlineLevel="2" x14ac:dyDescent="0.3">
      <c r="A1361" s="366" t="str">
        <f>IFERROR(VLOOKUP(RIGHT(E1361,3)+0,[1]SchLocTable!$A$2:$B$47,2,FALSE)," ")</f>
        <v>Winthrop</v>
      </c>
      <c r="B1361" s="366" t="str">
        <f>VLOOKUP(VALUE(D1361),$D$3:F$106,3,FALSE)</f>
        <v>Visual Arts</v>
      </c>
      <c r="C1361" t="s">
        <v>314</v>
      </c>
      <c r="D1361">
        <v>813</v>
      </c>
      <c r="E1361" t="s">
        <v>598</v>
      </c>
      <c r="F1361" t="s">
        <v>318</v>
      </c>
      <c r="G1361" t="s">
        <v>319</v>
      </c>
      <c r="H1361" s="502">
        <v>51140</v>
      </c>
      <c r="I1361" s="415">
        <v>900</v>
      </c>
      <c r="J1361" s="415">
        <v>0</v>
      </c>
      <c r="K1361" s="415">
        <v>900</v>
      </c>
      <c r="L1361" s="415">
        <v>900</v>
      </c>
      <c r="M1361" s="415">
        <v>900</v>
      </c>
      <c r="N1361" s="415">
        <v>3700</v>
      </c>
      <c r="O1361" s="415">
        <v>2400</v>
      </c>
      <c r="P1361" s="415">
        <v>2200</v>
      </c>
      <c r="Q1361" s="481">
        <f t="shared" si="67"/>
        <v>-900</v>
      </c>
    </row>
    <row r="1362" spans="1:17" outlineLevel="2" x14ac:dyDescent="0.3">
      <c r="A1362" s="366" t="str">
        <f>IFERROR(VLOOKUP(RIGHT(E1362,3)+0,[1]SchLocTable!$A$2:$B$47,2,FALSE)," ")</f>
        <v>Winthrop</v>
      </c>
      <c r="B1362" s="366" t="str">
        <f>VLOOKUP(VALUE(D1362),$D$3:F$106,3,FALSE)</f>
        <v>Visual Arts</v>
      </c>
      <c r="C1362" t="s">
        <v>314</v>
      </c>
      <c r="D1362">
        <v>813</v>
      </c>
      <c r="E1362" t="s">
        <v>598</v>
      </c>
      <c r="F1362" t="s">
        <v>320</v>
      </c>
      <c r="G1362" t="s">
        <v>319</v>
      </c>
      <c r="H1362" s="502">
        <v>52360</v>
      </c>
      <c r="I1362" s="415">
        <v>2841.1457035000003</v>
      </c>
      <c r="J1362" s="415">
        <v>2437</v>
      </c>
      <c r="K1362" s="415">
        <v>2278.5700000000002</v>
      </c>
      <c r="L1362" s="415">
        <v>2115.61</v>
      </c>
      <c r="M1362" s="415">
        <v>2007.13</v>
      </c>
      <c r="N1362" s="415">
        <v>2172.37</v>
      </c>
      <c r="O1362" s="415">
        <v>2655.18</v>
      </c>
      <c r="P1362" s="415">
        <v>2613.4299999999998</v>
      </c>
      <c r="Q1362" s="481">
        <f t="shared" si="67"/>
        <v>-404.14570350000031</v>
      </c>
    </row>
    <row r="1363" spans="1:17" outlineLevel="2" x14ac:dyDescent="0.3">
      <c r="A1363" s="366" t="str">
        <f>IFERROR(VLOOKUP(RIGHT(E1363,3)+0,[1]SchLocTable!$A$2:$B$47,2,FALSE)," ")</f>
        <v>Discovery</v>
      </c>
      <c r="B1363" s="366" t="str">
        <f>VLOOKUP(VALUE(D1363),$D$3:F$106,3,FALSE)</f>
        <v>Visual Arts</v>
      </c>
      <c r="C1363" t="s">
        <v>314</v>
      </c>
      <c r="D1363">
        <v>813</v>
      </c>
      <c r="E1363" t="s">
        <v>599</v>
      </c>
      <c r="F1363" t="s">
        <v>316</v>
      </c>
      <c r="G1363">
        <v>1</v>
      </c>
      <c r="H1363" s="502">
        <v>51000</v>
      </c>
      <c r="I1363" s="415">
        <v>110428.49642999998</v>
      </c>
      <c r="J1363" s="415">
        <v>88005.6</v>
      </c>
      <c r="K1363" s="415">
        <v>67816.7</v>
      </c>
      <c r="L1363" s="415">
        <v>80019.839999999997</v>
      </c>
      <c r="M1363" s="415">
        <v>82892.92</v>
      </c>
      <c r="N1363" s="415">
        <v>23564.06</v>
      </c>
      <c r="O1363" s="415">
        <v>87254.96</v>
      </c>
      <c r="P1363" s="415">
        <v>79881.119999999995</v>
      </c>
      <c r="Q1363" s="481">
        <f t="shared" si="67"/>
        <v>-22422.896429999979</v>
      </c>
    </row>
    <row r="1364" spans="1:17" outlineLevel="2" x14ac:dyDescent="0.3">
      <c r="A1364" s="366" t="str">
        <f>IFERROR(VLOOKUP(RIGHT(E1364,3)+0,[1]SchLocTable!$A$2:$B$47,2,FALSE)," ")</f>
        <v>Discovery</v>
      </c>
      <c r="B1364" s="366" t="str">
        <f>VLOOKUP(VALUE(D1364),$D$3:F$106,3,FALSE)</f>
        <v>Visual Arts</v>
      </c>
      <c r="C1364" t="s">
        <v>314</v>
      </c>
      <c r="D1364">
        <v>813</v>
      </c>
      <c r="E1364" t="s">
        <v>599</v>
      </c>
      <c r="F1364" t="s">
        <v>321</v>
      </c>
      <c r="G1364" t="s">
        <v>319</v>
      </c>
      <c r="H1364" s="502">
        <v>52917</v>
      </c>
      <c r="I1364" s="415">
        <v>0</v>
      </c>
      <c r="J1364" s="415">
        <v>13037.22</v>
      </c>
      <c r="K1364" s="415">
        <v>11844</v>
      </c>
      <c r="L1364" s="415">
        <v>11684.82</v>
      </c>
      <c r="M1364" s="415">
        <v>10956.75</v>
      </c>
      <c r="N1364" s="415">
        <v>10232.879999999999</v>
      </c>
      <c r="O1364" s="415">
        <v>9817.68</v>
      </c>
      <c r="P1364" s="415">
        <v>9245.67</v>
      </c>
      <c r="Q1364" s="481">
        <f t="shared" si="67"/>
        <v>13037.22</v>
      </c>
    </row>
    <row r="1365" spans="1:17" outlineLevel="2" x14ac:dyDescent="0.3">
      <c r="A1365" s="366" t="str">
        <f>IFERROR(VLOOKUP(RIGHT(E1365,3)+0,[1]SchLocTable!$A$2:$B$47,2,FALSE)," ")</f>
        <v>Discovery</v>
      </c>
      <c r="B1365" s="366" t="str">
        <f>VLOOKUP(VALUE(D1365),$D$3:F$106,3,FALSE)</f>
        <v>Visual Arts</v>
      </c>
      <c r="C1365" t="s">
        <v>314</v>
      </c>
      <c r="D1365">
        <v>813</v>
      </c>
      <c r="E1365" t="s">
        <v>599</v>
      </c>
      <c r="F1365" t="s">
        <v>318</v>
      </c>
      <c r="G1365" t="s">
        <v>319</v>
      </c>
      <c r="H1365" s="502">
        <v>51140</v>
      </c>
      <c r="I1365" s="415">
        <v>0</v>
      </c>
      <c r="J1365" s="415">
        <v>0</v>
      </c>
      <c r="K1365" s="415">
        <v>1300</v>
      </c>
      <c r="L1365" s="415">
        <v>1300</v>
      </c>
      <c r="M1365" s="415">
        <v>1300</v>
      </c>
      <c r="N1365" s="415">
        <v>1300</v>
      </c>
      <c r="O1365" s="415">
        <v>1200</v>
      </c>
      <c r="P1365" s="415">
        <v>1200</v>
      </c>
      <c r="Q1365" s="481">
        <f t="shared" si="67"/>
        <v>0</v>
      </c>
    </row>
    <row r="1366" spans="1:17" outlineLevel="2" x14ac:dyDescent="0.3">
      <c r="A1366" s="366" t="str">
        <f>IFERROR(VLOOKUP(RIGHT(E1366,3)+0,[1]SchLocTable!$A$2:$B$47,2,FALSE)," ")</f>
        <v>Discovery</v>
      </c>
      <c r="B1366" s="366" t="str">
        <f>VLOOKUP(VALUE(D1366),$D$3:F$106,3,FALSE)</f>
        <v>Visual Arts</v>
      </c>
      <c r="C1366" t="s">
        <v>314</v>
      </c>
      <c r="D1366">
        <v>813</v>
      </c>
      <c r="E1366" t="s">
        <v>599</v>
      </c>
      <c r="F1366" t="s">
        <v>320</v>
      </c>
      <c r="G1366" t="s">
        <v>319</v>
      </c>
      <c r="H1366" s="502">
        <v>52360</v>
      </c>
      <c r="I1366" s="415">
        <v>1601.2131982349999</v>
      </c>
      <c r="J1366" s="415">
        <v>1472</v>
      </c>
      <c r="K1366" s="415">
        <v>930.75</v>
      </c>
      <c r="L1366" s="415">
        <v>1410.41</v>
      </c>
      <c r="M1366" s="415">
        <v>1278.1400000000001</v>
      </c>
      <c r="N1366" s="415">
        <v>1263.06</v>
      </c>
      <c r="O1366" s="415">
        <v>1245.31</v>
      </c>
      <c r="P1366" s="415">
        <v>1228.05</v>
      </c>
      <c r="Q1366" s="481">
        <f t="shared" si="67"/>
        <v>-129.21319823499994</v>
      </c>
    </row>
    <row r="1367" spans="1:17" outlineLevel="2" x14ac:dyDescent="0.3">
      <c r="A1367" s="366" t="str">
        <f>IFERROR(VLOOKUP(RIGHT(E1367,3)+0,[1]SchLocTable!$A$2:$B$47,2,FALSE)," ")</f>
        <v>Cross</v>
      </c>
      <c r="B1367" s="366" t="str">
        <f>VLOOKUP(VALUE(D1367),$D$3:F$106,3,FALSE)</f>
        <v>Visual Arts</v>
      </c>
      <c r="C1367" t="s">
        <v>314</v>
      </c>
      <c r="D1367">
        <v>813</v>
      </c>
      <c r="E1367" t="s">
        <v>600</v>
      </c>
      <c r="F1367" t="s">
        <v>316</v>
      </c>
      <c r="G1367">
        <v>1</v>
      </c>
      <c r="H1367" s="502">
        <v>51000</v>
      </c>
      <c r="I1367" s="415">
        <v>55242.78811999999</v>
      </c>
      <c r="J1367" s="415">
        <v>52562</v>
      </c>
      <c r="K1367" s="415">
        <v>50592</v>
      </c>
      <c r="L1367" s="415">
        <v>0</v>
      </c>
      <c r="M1367" s="415">
        <v>34500</v>
      </c>
      <c r="N1367" s="415">
        <v>0</v>
      </c>
      <c r="O1367" s="415">
        <v>54882.2</v>
      </c>
      <c r="P1367" s="415">
        <v>71105.45</v>
      </c>
      <c r="Q1367" s="481">
        <f t="shared" si="67"/>
        <v>-2680.7881199999902</v>
      </c>
    </row>
    <row r="1368" spans="1:17" outlineLevel="2" x14ac:dyDescent="0.3">
      <c r="A1368" s="366" t="str">
        <f>IFERROR(VLOOKUP(RIGHT(E1368,3)+0,[1]SchLocTable!$A$2:$B$47,2,FALSE)," ")</f>
        <v>Cross</v>
      </c>
      <c r="B1368" s="366" t="str">
        <f>VLOOKUP(VALUE(D1368),$D$3:F$106,3,FALSE)</f>
        <v>Visual Arts</v>
      </c>
      <c r="C1368" t="s">
        <v>314</v>
      </c>
      <c r="D1368">
        <v>813</v>
      </c>
      <c r="E1368" t="s">
        <v>600</v>
      </c>
      <c r="F1368" t="s">
        <v>321</v>
      </c>
      <c r="G1368" t="s">
        <v>319</v>
      </c>
      <c r="H1368" s="502">
        <v>52917</v>
      </c>
      <c r="I1368" s="415">
        <v>37369.331999999995</v>
      </c>
      <c r="J1368" s="415">
        <v>30953</v>
      </c>
      <c r="K1368" s="415">
        <v>20592.88</v>
      </c>
      <c r="L1368" s="415">
        <v>0</v>
      </c>
      <c r="M1368" s="415">
        <v>0</v>
      </c>
      <c r="N1368" s="415">
        <v>0</v>
      </c>
      <c r="O1368" s="415">
        <v>905.47</v>
      </c>
      <c r="P1368" s="415">
        <v>16579.419999999998</v>
      </c>
      <c r="Q1368" s="481">
        <f t="shared" si="67"/>
        <v>-6416.3319999999949</v>
      </c>
    </row>
    <row r="1369" spans="1:17" outlineLevel="2" x14ac:dyDescent="0.3">
      <c r="A1369" s="366" t="str">
        <f>IFERROR(VLOOKUP(RIGHT(E1369,3)+0,[1]SchLocTable!$A$2:$B$47,2,FALSE)," ")</f>
        <v>Cross</v>
      </c>
      <c r="B1369" s="366" t="str">
        <f>VLOOKUP(VALUE(D1369),$D$3:F$106,3,FALSE)</f>
        <v>Visual Arts</v>
      </c>
      <c r="C1369" t="s">
        <v>314</v>
      </c>
      <c r="D1369">
        <v>813</v>
      </c>
      <c r="E1369" t="s">
        <v>600</v>
      </c>
      <c r="F1369" t="s">
        <v>320</v>
      </c>
      <c r="G1369" t="s">
        <v>319</v>
      </c>
      <c r="H1369" s="502">
        <v>52360</v>
      </c>
      <c r="I1369" s="415">
        <v>801.02042773999995</v>
      </c>
      <c r="J1369" s="415">
        <v>625</v>
      </c>
      <c r="K1369" s="415">
        <v>645.19000000000005</v>
      </c>
      <c r="L1369" s="415">
        <v>0</v>
      </c>
      <c r="M1369" s="415">
        <v>500.26</v>
      </c>
      <c r="N1369" s="415">
        <v>0</v>
      </c>
      <c r="O1369" s="415">
        <v>783.24</v>
      </c>
      <c r="P1369" s="415">
        <v>986.34</v>
      </c>
      <c r="Q1369" s="481">
        <f t="shared" si="67"/>
        <v>-176.02042773999995</v>
      </c>
    </row>
    <row r="1370" spans="1:17" outlineLevel="2" x14ac:dyDescent="0.3">
      <c r="A1370" s="366" t="str">
        <f>IFERROR(VLOOKUP(RIGHT(E1370,3)+0,[1]SchLocTable!$A$2:$B$47,2,FALSE)," ")</f>
        <v>Cross</v>
      </c>
      <c r="B1370" s="366" t="str">
        <f>VLOOKUP(VALUE(D1370),$D$3:F$106,3,FALSE)</f>
        <v>Visual Arts</v>
      </c>
      <c r="C1370" t="s">
        <v>314</v>
      </c>
      <c r="D1370">
        <v>813</v>
      </c>
      <c r="E1370" t="s">
        <v>600</v>
      </c>
      <c r="F1370" t="s">
        <v>324</v>
      </c>
      <c r="G1370" t="s">
        <v>319</v>
      </c>
      <c r="H1370" s="502">
        <v>52385</v>
      </c>
      <c r="I1370" s="415">
        <v>0</v>
      </c>
      <c r="J1370" s="415">
        <v>0</v>
      </c>
      <c r="K1370" s="415">
        <v>584.28</v>
      </c>
      <c r="L1370" s="415">
        <v>0</v>
      </c>
      <c r="M1370" s="415">
        <v>2139</v>
      </c>
      <c r="N1370" s="415">
        <v>0</v>
      </c>
      <c r="O1370" s="415">
        <v>189.72</v>
      </c>
      <c r="P1370" s="415">
        <v>0</v>
      </c>
      <c r="Q1370" s="481">
        <f t="shared" si="67"/>
        <v>0</v>
      </c>
    </row>
    <row r="1371" spans="1:17" outlineLevel="2" x14ac:dyDescent="0.3">
      <c r="A1371" s="366" t="str">
        <f>IFERROR(VLOOKUP(RIGHT(E1371,3)+0,[1]SchLocTable!$A$2:$B$47,2,FALSE)," ")</f>
        <v>Blackham</v>
      </c>
      <c r="B1371" s="366" t="str">
        <f>VLOOKUP(VALUE(D1371),$D$3:F$106,3,FALSE)</f>
        <v>Visual Arts</v>
      </c>
      <c r="C1371" t="s">
        <v>314</v>
      </c>
      <c r="D1371">
        <v>813</v>
      </c>
      <c r="E1371" t="s">
        <v>601</v>
      </c>
      <c r="F1371" t="s">
        <v>316</v>
      </c>
      <c r="G1371">
        <v>2</v>
      </c>
      <c r="H1371" s="502">
        <v>51000</v>
      </c>
      <c r="I1371" s="415">
        <v>137687.89059</v>
      </c>
      <c r="J1371" s="415">
        <v>119558</v>
      </c>
      <c r="K1371" s="415">
        <v>108424.25</v>
      </c>
      <c r="L1371" s="415">
        <v>177602.72</v>
      </c>
      <c r="M1371" s="415">
        <v>171438.1</v>
      </c>
      <c r="N1371" s="415">
        <v>152065.01</v>
      </c>
      <c r="O1371" s="415">
        <v>115789.03</v>
      </c>
      <c r="P1371" s="415">
        <v>147951.96</v>
      </c>
      <c r="Q1371" s="481">
        <f t="shared" si="67"/>
        <v>-18129.890589999995</v>
      </c>
    </row>
    <row r="1372" spans="1:17" outlineLevel="2" x14ac:dyDescent="0.3">
      <c r="A1372" s="366" t="str">
        <f>IFERROR(VLOOKUP(RIGHT(E1372,3)+0,[1]SchLocTable!$A$2:$B$47,2,FALSE)," ")</f>
        <v>Blackham</v>
      </c>
      <c r="B1372" s="366" t="str">
        <f>VLOOKUP(VALUE(D1372),$D$3:F$106,3,FALSE)</f>
        <v>Visual Arts</v>
      </c>
      <c r="C1372" t="s">
        <v>314</v>
      </c>
      <c r="D1372">
        <v>813</v>
      </c>
      <c r="E1372" t="s">
        <v>601</v>
      </c>
      <c r="F1372" t="s">
        <v>321</v>
      </c>
      <c r="G1372" t="s">
        <v>319</v>
      </c>
      <c r="H1372" s="502">
        <v>52917</v>
      </c>
      <c r="I1372" s="415">
        <v>15644.663999999999</v>
      </c>
      <c r="J1372" s="415">
        <v>13037.22</v>
      </c>
      <c r="K1372" s="415">
        <v>11844</v>
      </c>
      <c r="L1372" s="415">
        <v>39761.19</v>
      </c>
      <c r="M1372" s="415">
        <v>37292.22</v>
      </c>
      <c r="N1372" s="415">
        <v>33430.410000000003</v>
      </c>
      <c r="O1372" s="415">
        <v>22369.439999999999</v>
      </c>
      <c r="P1372" s="415">
        <v>27737.01</v>
      </c>
      <c r="Q1372" s="481">
        <f t="shared" si="67"/>
        <v>-2607.4439999999995</v>
      </c>
    </row>
    <row r="1373" spans="1:17" outlineLevel="2" x14ac:dyDescent="0.3">
      <c r="A1373" s="366" t="str">
        <f>IFERROR(VLOOKUP(RIGHT(E1373,3)+0,[1]SchLocTable!$A$2:$B$47,2,FALSE)," ")</f>
        <v>Blackham</v>
      </c>
      <c r="B1373" s="366" t="str">
        <f>VLOOKUP(VALUE(D1373),$D$3:F$106,3,FALSE)</f>
        <v>Visual Arts</v>
      </c>
      <c r="C1373" t="s">
        <v>314</v>
      </c>
      <c r="D1373">
        <v>813</v>
      </c>
      <c r="E1373" t="s">
        <v>601</v>
      </c>
      <c r="F1373" t="s">
        <v>320</v>
      </c>
      <c r="G1373" t="s">
        <v>319</v>
      </c>
      <c r="H1373" s="502">
        <v>52360</v>
      </c>
      <c r="I1373" s="415">
        <v>1996.474413555</v>
      </c>
      <c r="J1373" s="415">
        <v>1606</v>
      </c>
      <c r="K1373" s="415">
        <v>1511.48</v>
      </c>
      <c r="L1373" s="415">
        <v>2392.98</v>
      </c>
      <c r="M1373" s="415">
        <v>2317.86</v>
      </c>
      <c r="N1373" s="415">
        <v>2074.17</v>
      </c>
      <c r="O1373" s="415">
        <v>1593.97</v>
      </c>
      <c r="P1373" s="415">
        <v>2041.41</v>
      </c>
      <c r="Q1373" s="481">
        <f t="shared" si="67"/>
        <v>-390.47441355499996</v>
      </c>
    </row>
    <row r="1374" spans="1:17" outlineLevel="2" x14ac:dyDescent="0.3">
      <c r="A1374" s="366" t="str">
        <f>IFERROR(VLOOKUP(RIGHT(E1374,3)+0,[1]SchLocTable!$A$2:$B$47,2,FALSE)," ")</f>
        <v>Blackham</v>
      </c>
      <c r="B1374" s="366" t="str">
        <f>VLOOKUP(VALUE(D1374),$D$3:F$106,3,FALSE)</f>
        <v>Visual Arts</v>
      </c>
      <c r="C1374" t="s">
        <v>314</v>
      </c>
      <c r="D1374">
        <v>813</v>
      </c>
      <c r="E1374" t="s">
        <v>601</v>
      </c>
      <c r="F1374" t="s">
        <v>324</v>
      </c>
      <c r="G1374" t="s">
        <v>319</v>
      </c>
      <c r="H1374" s="502">
        <v>52385</v>
      </c>
      <c r="I1374" s="415">
        <v>8201.0499999999993</v>
      </c>
      <c r="J1374" s="415">
        <v>0</v>
      </c>
      <c r="K1374" s="415">
        <v>2561.33</v>
      </c>
      <c r="L1374" s="415">
        <v>0</v>
      </c>
      <c r="M1374" s="415">
        <v>0</v>
      </c>
      <c r="N1374" s="415">
        <v>2631.9</v>
      </c>
      <c r="O1374" s="415">
        <v>0</v>
      </c>
      <c r="P1374" s="415">
        <v>0</v>
      </c>
      <c r="Q1374" s="481">
        <f t="shared" si="67"/>
        <v>-8201.0499999999993</v>
      </c>
    </row>
    <row r="1375" spans="1:17" outlineLevel="2" x14ac:dyDescent="0.3">
      <c r="A1375" s="366" t="str">
        <f>IFERROR(VLOOKUP(RIGHT(E1375,3)+0,[1]SchLocTable!$A$2:$B$47,2,FALSE)," ")</f>
        <v>Dunbar</v>
      </c>
      <c r="B1375" s="366" t="str">
        <f>VLOOKUP(VALUE(D1375),$D$3:F$106,3,FALSE)</f>
        <v>Visual Arts</v>
      </c>
      <c r="C1375" t="s">
        <v>314</v>
      </c>
      <c r="D1375">
        <v>813</v>
      </c>
      <c r="E1375" t="s">
        <v>602</v>
      </c>
      <c r="F1375" t="s">
        <v>316</v>
      </c>
      <c r="G1375">
        <v>1</v>
      </c>
      <c r="H1375" s="502">
        <v>51000</v>
      </c>
      <c r="I1375" s="415">
        <v>85964.316879999998</v>
      </c>
      <c r="J1375" s="415">
        <v>81792.88</v>
      </c>
      <c r="K1375" s="415">
        <v>126835.02</v>
      </c>
      <c r="L1375" s="415">
        <v>124300.4</v>
      </c>
      <c r="M1375" s="415">
        <v>34396.18</v>
      </c>
      <c r="N1375" s="415">
        <v>54993.120000000003</v>
      </c>
      <c r="O1375" s="415">
        <v>67886.399999999994</v>
      </c>
      <c r="P1375" s="415">
        <v>114410.92</v>
      </c>
      <c r="Q1375" s="481">
        <f t="shared" si="67"/>
        <v>-4171.4368799999938</v>
      </c>
    </row>
    <row r="1376" spans="1:17" outlineLevel="2" x14ac:dyDescent="0.3">
      <c r="A1376" s="366" t="str">
        <f>IFERROR(VLOOKUP(RIGHT(E1376,3)+0,[1]SchLocTable!$A$2:$B$47,2,FALSE)," ")</f>
        <v>Dunbar</v>
      </c>
      <c r="B1376" s="366" t="str">
        <f>VLOOKUP(VALUE(D1376),$D$3:F$106,3,FALSE)</f>
        <v>Visual Arts</v>
      </c>
      <c r="C1376" t="s">
        <v>314</v>
      </c>
      <c r="D1376">
        <v>813</v>
      </c>
      <c r="E1376" t="s">
        <v>602</v>
      </c>
      <c r="F1376" t="s">
        <v>321</v>
      </c>
      <c r="G1376" t="s">
        <v>319</v>
      </c>
      <c r="H1376" s="502">
        <v>52917</v>
      </c>
      <c r="I1376" s="415">
        <v>46066.859999999993</v>
      </c>
      <c r="J1376" s="415">
        <v>38389.050000000003</v>
      </c>
      <c r="K1376" s="415">
        <v>46536.84</v>
      </c>
      <c r="L1376" s="415">
        <v>62254.5</v>
      </c>
      <c r="M1376" s="415">
        <v>7304.5</v>
      </c>
      <c r="N1376" s="415">
        <v>29905.26</v>
      </c>
      <c r="O1376" s="415">
        <v>35521.440000000002</v>
      </c>
      <c r="P1376" s="415">
        <v>54770.1</v>
      </c>
      <c r="Q1376" s="481">
        <f t="shared" si="67"/>
        <v>-7677.8099999999904</v>
      </c>
    </row>
    <row r="1377" spans="1:17" outlineLevel="2" x14ac:dyDescent="0.3">
      <c r="A1377" s="366" t="str">
        <f>IFERROR(VLOOKUP(RIGHT(E1377,3)+0,[1]SchLocTable!$A$2:$B$47,2,FALSE)," ")</f>
        <v>Dunbar</v>
      </c>
      <c r="B1377" s="366" t="str">
        <f>VLOOKUP(VALUE(D1377),$D$3:F$106,3,FALSE)</f>
        <v>Visual Arts</v>
      </c>
      <c r="C1377" t="s">
        <v>314</v>
      </c>
      <c r="D1377">
        <v>813</v>
      </c>
      <c r="E1377" t="s">
        <v>602</v>
      </c>
      <c r="F1377" t="s">
        <v>320</v>
      </c>
      <c r="G1377" t="s">
        <v>319</v>
      </c>
      <c r="H1377" s="502">
        <v>52360</v>
      </c>
      <c r="I1377" s="415">
        <v>1246.48259476</v>
      </c>
      <c r="J1377" s="415">
        <v>1161.82</v>
      </c>
      <c r="K1377" s="415">
        <v>1639.9</v>
      </c>
      <c r="L1377" s="415">
        <v>1543.56</v>
      </c>
      <c r="M1377" s="415">
        <v>469.32</v>
      </c>
      <c r="N1377" s="415">
        <v>680.08</v>
      </c>
      <c r="O1377" s="415">
        <v>849.14</v>
      </c>
      <c r="P1377" s="415">
        <v>1458.66</v>
      </c>
      <c r="Q1377" s="481">
        <f t="shared" si="67"/>
        <v>-84.662594760000047</v>
      </c>
    </row>
    <row r="1378" spans="1:17" outlineLevel="2" x14ac:dyDescent="0.3">
      <c r="A1378" s="366" t="str">
        <f>IFERROR(VLOOKUP(RIGHT(E1378,3)+0,[1]SchLocTable!$A$2:$B$47,2,FALSE)," ")</f>
        <v>Curiale</v>
      </c>
      <c r="B1378" s="366" t="str">
        <f>VLOOKUP(VALUE(D1378),$D$3:F$106,3,FALSE)</f>
        <v>Visual Arts</v>
      </c>
      <c r="C1378" t="s">
        <v>314</v>
      </c>
      <c r="D1378">
        <v>813</v>
      </c>
      <c r="E1378" t="s">
        <v>603</v>
      </c>
      <c r="F1378" t="s">
        <v>316</v>
      </c>
      <c r="G1378" t="s">
        <v>319</v>
      </c>
      <c r="H1378" s="502">
        <v>51000</v>
      </c>
      <c r="I1378" s="415">
        <v>80000</v>
      </c>
      <c r="J1378" s="415">
        <v>0</v>
      </c>
      <c r="K1378" s="415">
        <v>13033.44</v>
      </c>
      <c r="L1378" s="415">
        <v>82660.11</v>
      </c>
      <c r="M1378" s="415">
        <v>77032.02</v>
      </c>
      <c r="N1378" s="415">
        <v>72752.94</v>
      </c>
      <c r="O1378" s="415">
        <v>68473.08</v>
      </c>
      <c r="P1378" s="415">
        <v>67395.12</v>
      </c>
      <c r="Q1378" s="481">
        <f t="shared" si="67"/>
        <v>-80000</v>
      </c>
    </row>
    <row r="1379" spans="1:17" outlineLevel="2" x14ac:dyDescent="0.3">
      <c r="A1379" s="366" t="str">
        <f>IFERROR(VLOOKUP(RIGHT(E1379,3)+0,[1]SchLocTable!$A$2:$B$47,2,FALSE)," ")</f>
        <v>Curiale</v>
      </c>
      <c r="B1379" s="366" t="str">
        <f>VLOOKUP(VALUE(D1379),$D$3:F$106,3,FALSE)</f>
        <v>Visual Arts</v>
      </c>
      <c r="C1379" t="s">
        <v>314</v>
      </c>
      <c r="D1379">
        <v>813</v>
      </c>
      <c r="E1379" t="s">
        <v>603</v>
      </c>
      <c r="F1379" t="s">
        <v>321</v>
      </c>
      <c r="G1379" t="s">
        <v>319</v>
      </c>
      <c r="H1379" s="502">
        <v>52917</v>
      </c>
      <c r="I1379" s="415">
        <v>32400</v>
      </c>
      <c r="J1379" s="415">
        <v>0</v>
      </c>
      <c r="K1379" s="415">
        <v>2256</v>
      </c>
      <c r="L1379" s="415">
        <v>11684.82</v>
      </c>
      <c r="M1379" s="415">
        <v>10956.75</v>
      </c>
      <c r="N1379" s="415">
        <v>10232.879999999999</v>
      </c>
      <c r="O1379" s="415">
        <v>9817.68</v>
      </c>
      <c r="P1379" s="415">
        <v>9245.67</v>
      </c>
      <c r="Q1379" s="481">
        <f t="shared" si="67"/>
        <v>-32400</v>
      </c>
    </row>
    <row r="1380" spans="1:17" outlineLevel="2" x14ac:dyDescent="0.3">
      <c r="A1380" s="366" t="str">
        <f>IFERROR(VLOOKUP(RIGHT(E1380,3)+0,[1]SchLocTable!$A$2:$B$47,2,FALSE)," ")</f>
        <v>Curiale</v>
      </c>
      <c r="B1380" s="366" t="str">
        <f>VLOOKUP(VALUE(D1380),$D$3:F$106,3,FALSE)</f>
        <v>Visual Arts</v>
      </c>
      <c r="C1380" t="s">
        <v>314</v>
      </c>
      <c r="D1380">
        <v>813</v>
      </c>
      <c r="E1380" t="s">
        <v>603</v>
      </c>
      <c r="F1380" t="s">
        <v>320</v>
      </c>
      <c r="G1380" t="s">
        <v>319</v>
      </c>
      <c r="H1380" s="502">
        <v>52360</v>
      </c>
      <c r="I1380" s="415">
        <v>1160</v>
      </c>
      <c r="J1380" s="415">
        <v>0</v>
      </c>
      <c r="K1380" s="415">
        <v>173.3</v>
      </c>
      <c r="L1380" s="415">
        <v>1103.6600000000001</v>
      </c>
      <c r="M1380" s="415">
        <v>1031.24</v>
      </c>
      <c r="N1380" s="415">
        <v>987.27</v>
      </c>
      <c r="O1380" s="415">
        <v>931.42</v>
      </c>
      <c r="P1380" s="415">
        <v>902.35</v>
      </c>
      <c r="Q1380" s="481">
        <f t="shared" si="67"/>
        <v>-1160</v>
      </c>
    </row>
    <row r="1381" spans="1:17" outlineLevel="2" x14ac:dyDescent="0.3">
      <c r="A1381" s="366" t="str">
        <f>IFERROR(VLOOKUP(RIGHT(E1381,3)+0,[1]SchLocTable!$A$2:$B$47,2,FALSE)," ")</f>
        <v>High Horizons Magnet</v>
      </c>
      <c r="B1381" s="366" t="str">
        <f>VLOOKUP(VALUE(D1381),$D$3:F$106,3,FALSE)</f>
        <v>Visual Arts</v>
      </c>
      <c r="C1381" t="s">
        <v>314</v>
      </c>
      <c r="D1381">
        <v>813</v>
      </c>
      <c r="E1381" t="s">
        <v>604</v>
      </c>
      <c r="F1381" t="s">
        <v>316</v>
      </c>
      <c r="G1381">
        <v>1</v>
      </c>
      <c r="H1381" s="502">
        <v>51000</v>
      </c>
      <c r="I1381" s="415">
        <v>110428.46490000001</v>
      </c>
      <c r="J1381" s="415">
        <v>0</v>
      </c>
      <c r="K1381" s="415">
        <v>0</v>
      </c>
      <c r="L1381" s="415">
        <v>83106.92</v>
      </c>
      <c r="M1381" s="415">
        <v>77031.899999999994</v>
      </c>
      <c r="N1381" s="415">
        <v>66331.98</v>
      </c>
      <c r="O1381" s="415">
        <v>63339.12</v>
      </c>
      <c r="P1381" s="415">
        <v>62340.98</v>
      </c>
      <c r="Q1381" s="481">
        <f t="shared" si="67"/>
        <v>-110428.46490000001</v>
      </c>
    </row>
    <row r="1382" spans="1:17" outlineLevel="2" x14ac:dyDescent="0.3">
      <c r="A1382" s="366" t="str">
        <f>IFERROR(VLOOKUP(RIGHT(E1382,3)+0,[1]SchLocTable!$A$2:$B$47,2,FALSE)," ")</f>
        <v>High Horizons Magnet</v>
      </c>
      <c r="B1382" s="366" t="str">
        <f>VLOOKUP(VALUE(D1382),$D$3:F$106,3,FALSE)</f>
        <v>Visual Arts</v>
      </c>
      <c r="C1382" t="s">
        <v>314</v>
      </c>
      <c r="D1382">
        <v>813</v>
      </c>
      <c r="E1382" t="s">
        <v>604</v>
      </c>
      <c r="F1382" t="s">
        <v>321</v>
      </c>
      <c r="G1382" t="s">
        <v>319</v>
      </c>
      <c r="H1382" s="502">
        <v>52917</v>
      </c>
      <c r="I1382" s="415">
        <v>46330.955999999998</v>
      </c>
      <c r="J1382" s="415">
        <v>15441.92</v>
      </c>
      <c r="K1382" s="415">
        <v>0</v>
      </c>
      <c r="L1382" s="415">
        <v>0</v>
      </c>
      <c r="M1382" s="415">
        <v>11384.73</v>
      </c>
      <c r="N1382" s="415">
        <v>10712.73</v>
      </c>
      <c r="O1382" s="415">
        <v>10241.67</v>
      </c>
      <c r="P1382" s="415">
        <v>9693.6</v>
      </c>
      <c r="Q1382" s="481">
        <f t="shared" si="67"/>
        <v>-30889.036</v>
      </c>
    </row>
    <row r="1383" spans="1:17" outlineLevel="2" x14ac:dyDescent="0.3">
      <c r="A1383" s="366" t="str">
        <f>IFERROR(VLOOKUP(RIGHT(E1383,3)+0,[1]SchLocTable!$A$2:$B$47,2,FALSE)," ")</f>
        <v>High Horizons Magnet</v>
      </c>
      <c r="B1383" s="366" t="str">
        <f>VLOOKUP(VALUE(D1383),$D$3:F$106,3,FALSE)</f>
        <v>Visual Arts</v>
      </c>
      <c r="C1383" t="s">
        <v>314</v>
      </c>
      <c r="D1383">
        <v>813</v>
      </c>
      <c r="E1383" t="s">
        <v>604</v>
      </c>
      <c r="F1383" t="s">
        <v>318</v>
      </c>
      <c r="G1383" t="s">
        <v>319</v>
      </c>
      <c r="H1383" s="502">
        <v>51140</v>
      </c>
      <c r="I1383" s="415">
        <v>0</v>
      </c>
      <c r="J1383" s="415">
        <v>0</v>
      </c>
      <c r="K1383" s="415">
        <v>0</v>
      </c>
      <c r="L1383" s="415">
        <v>900</v>
      </c>
      <c r="M1383" s="415">
        <v>0</v>
      </c>
      <c r="N1383" s="415">
        <v>0</v>
      </c>
      <c r="O1383" s="415">
        <v>0</v>
      </c>
      <c r="P1383" s="415">
        <v>0</v>
      </c>
      <c r="Q1383" s="481">
        <f t="shared" si="67"/>
        <v>0</v>
      </c>
    </row>
    <row r="1384" spans="1:17" outlineLevel="2" x14ac:dyDescent="0.3">
      <c r="A1384" s="366" t="str">
        <f>IFERROR(VLOOKUP(RIGHT(E1384,3)+0,[1]SchLocTable!$A$2:$B$47,2,FALSE)," ")</f>
        <v>High Horizons Magnet</v>
      </c>
      <c r="B1384" s="366" t="str">
        <f>VLOOKUP(VALUE(D1384),$D$3:F$106,3,FALSE)</f>
        <v>Visual Arts</v>
      </c>
      <c r="C1384" t="s">
        <v>314</v>
      </c>
      <c r="D1384">
        <v>813</v>
      </c>
      <c r="E1384" t="s">
        <v>604</v>
      </c>
      <c r="F1384" t="s">
        <v>320</v>
      </c>
      <c r="G1384" t="s">
        <v>319</v>
      </c>
      <c r="H1384" s="502">
        <v>52360</v>
      </c>
      <c r="I1384" s="415">
        <v>1601.2127410500002</v>
      </c>
      <c r="J1384" s="415">
        <v>0</v>
      </c>
      <c r="K1384" s="415">
        <v>0</v>
      </c>
      <c r="L1384" s="415">
        <v>1218.0999999999999</v>
      </c>
      <c r="M1384" s="415">
        <v>1071.71</v>
      </c>
      <c r="N1384" s="415">
        <v>920.63</v>
      </c>
      <c r="O1384" s="415">
        <v>880.03</v>
      </c>
      <c r="P1384" s="415">
        <v>868.59</v>
      </c>
      <c r="Q1384" s="481">
        <f t="shared" si="67"/>
        <v>-1601.2127410500002</v>
      </c>
    </row>
    <row r="1385" spans="1:17" outlineLevel="2" x14ac:dyDescent="0.3">
      <c r="A1385" s="366" t="str">
        <f>IFERROR(VLOOKUP(RIGHT(E1385,3)+0,[1]SchLocTable!$A$2:$B$47,2,FALSE)," ")</f>
        <v>Multicultural Magnet</v>
      </c>
      <c r="B1385" s="366" t="str">
        <f>VLOOKUP(VALUE(D1385),$D$3:F$106,3,FALSE)</f>
        <v>Visual Arts</v>
      </c>
      <c r="C1385" t="s">
        <v>314</v>
      </c>
      <c r="D1385">
        <v>813</v>
      </c>
      <c r="E1385" t="s">
        <v>605</v>
      </c>
      <c r="F1385" t="s">
        <v>316</v>
      </c>
      <c r="G1385">
        <v>1</v>
      </c>
      <c r="H1385" s="502">
        <v>51000</v>
      </c>
      <c r="I1385" s="415">
        <v>110428.46490000001</v>
      </c>
      <c r="J1385" s="415">
        <v>105070</v>
      </c>
      <c r="K1385" s="415">
        <v>102757.98</v>
      </c>
      <c r="L1385" s="415">
        <v>100497.02</v>
      </c>
      <c r="M1385" s="415">
        <v>99011.9</v>
      </c>
      <c r="N1385" s="415">
        <v>93222.99</v>
      </c>
      <c r="O1385" s="415">
        <v>88897.12</v>
      </c>
      <c r="P1385" s="415">
        <v>87497.02</v>
      </c>
      <c r="Q1385" s="481">
        <f t="shared" si="67"/>
        <v>-5358.4649000000063</v>
      </c>
    </row>
    <row r="1386" spans="1:17" outlineLevel="2" x14ac:dyDescent="0.3">
      <c r="A1386" s="366" t="str">
        <f>IFERROR(VLOOKUP(RIGHT(E1386,3)+0,[1]SchLocTable!$A$2:$B$47,2,FALSE)," ")</f>
        <v>Multicultural Magnet</v>
      </c>
      <c r="B1386" s="366" t="str">
        <f>VLOOKUP(VALUE(D1386),$D$3:F$106,3,FALSE)</f>
        <v>Visual Arts</v>
      </c>
      <c r="C1386" t="s">
        <v>314</v>
      </c>
      <c r="D1386">
        <v>813</v>
      </c>
      <c r="E1386" t="s">
        <v>605</v>
      </c>
      <c r="F1386" t="s">
        <v>321</v>
      </c>
      <c r="G1386" t="s">
        <v>319</v>
      </c>
      <c r="H1386" s="502">
        <v>52917</v>
      </c>
      <c r="I1386" s="415">
        <v>15644.663999999999</v>
      </c>
      <c r="J1386" s="415">
        <v>13037.22</v>
      </c>
      <c r="K1386" s="415">
        <v>11844</v>
      </c>
      <c r="L1386" s="415">
        <v>11684.82</v>
      </c>
      <c r="M1386" s="415">
        <v>10956.75</v>
      </c>
      <c r="N1386" s="415">
        <v>16374.03</v>
      </c>
      <c r="O1386" s="415">
        <v>23581.07</v>
      </c>
      <c r="P1386" s="415">
        <v>22186.29</v>
      </c>
      <c r="Q1386" s="481">
        <f t="shared" si="67"/>
        <v>-2607.4439999999995</v>
      </c>
    </row>
    <row r="1387" spans="1:17" outlineLevel="2" x14ac:dyDescent="0.3">
      <c r="A1387" s="366" t="str">
        <f>IFERROR(VLOOKUP(RIGHT(E1387,3)+0,[1]SchLocTable!$A$2:$B$47,2,FALSE)," ")</f>
        <v>Multicultural Magnet</v>
      </c>
      <c r="B1387" s="366" t="str">
        <f>VLOOKUP(VALUE(D1387),$D$3:F$106,3,FALSE)</f>
        <v>Visual Arts</v>
      </c>
      <c r="C1387" t="s">
        <v>314</v>
      </c>
      <c r="D1387">
        <v>813</v>
      </c>
      <c r="E1387" t="s">
        <v>605</v>
      </c>
      <c r="F1387" t="s">
        <v>318</v>
      </c>
      <c r="G1387" t="s">
        <v>319</v>
      </c>
      <c r="H1387" s="502">
        <v>51140</v>
      </c>
      <c r="I1387" s="415">
        <v>1100</v>
      </c>
      <c r="J1387" s="415">
        <v>0</v>
      </c>
      <c r="K1387" s="415">
        <v>900</v>
      </c>
      <c r="L1387" s="415">
        <v>900</v>
      </c>
      <c r="M1387" s="415">
        <v>900</v>
      </c>
      <c r="N1387" s="415">
        <v>900</v>
      </c>
      <c r="O1387" s="415">
        <v>900</v>
      </c>
      <c r="P1387" s="415">
        <v>900</v>
      </c>
      <c r="Q1387" s="481">
        <f t="shared" si="67"/>
        <v>-1100</v>
      </c>
    </row>
    <row r="1388" spans="1:17" outlineLevel="2" x14ac:dyDescent="0.3">
      <c r="A1388" s="366" t="str">
        <f>IFERROR(VLOOKUP(RIGHT(E1388,3)+0,[1]SchLocTable!$A$2:$B$47,2,FALSE)," ")</f>
        <v>Multicultural Magnet</v>
      </c>
      <c r="B1388" s="366" t="str">
        <f>VLOOKUP(VALUE(D1388),$D$3:F$106,3,FALSE)</f>
        <v>Visual Arts</v>
      </c>
      <c r="C1388" t="s">
        <v>314</v>
      </c>
      <c r="D1388">
        <v>813</v>
      </c>
      <c r="E1388" t="s">
        <v>605</v>
      </c>
      <c r="F1388" t="s">
        <v>320</v>
      </c>
      <c r="G1388" t="s">
        <v>319</v>
      </c>
      <c r="H1388" s="502">
        <v>52360</v>
      </c>
      <c r="I1388" s="415">
        <v>1601.2127410500002</v>
      </c>
      <c r="J1388" s="415">
        <v>1469</v>
      </c>
      <c r="K1388" s="415">
        <v>1452.48</v>
      </c>
      <c r="L1388" s="415">
        <v>1421.86</v>
      </c>
      <c r="M1388" s="415">
        <v>1404.53</v>
      </c>
      <c r="N1388" s="415">
        <v>1300.73</v>
      </c>
      <c r="O1388" s="415">
        <v>1212.27</v>
      </c>
      <c r="P1388" s="415">
        <v>1198.25</v>
      </c>
      <c r="Q1388" s="481">
        <f t="shared" si="67"/>
        <v>-132.2127410500002</v>
      </c>
    </row>
    <row r="1389" spans="1:17" outlineLevel="2" x14ac:dyDescent="0.3">
      <c r="A1389" s="366" t="str">
        <f>IFERROR(VLOOKUP(RIGHT(E1389,3)+0,[1]SchLocTable!$A$2:$B$47,2,FALSE)," ")</f>
        <v>Bassick HS</v>
      </c>
      <c r="B1389" s="366" t="str">
        <f>VLOOKUP(VALUE(D1389),$D$3:F$106,3,FALSE)</f>
        <v>Visual Arts</v>
      </c>
      <c r="C1389" t="s">
        <v>314</v>
      </c>
      <c r="D1389">
        <v>813</v>
      </c>
      <c r="E1389" t="s">
        <v>606</v>
      </c>
      <c r="F1389" t="s">
        <v>316</v>
      </c>
      <c r="G1389">
        <v>1</v>
      </c>
      <c r="H1389" s="502">
        <v>51000</v>
      </c>
      <c r="I1389" s="415">
        <v>68142.572939999998</v>
      </c>
      <c r="J1389" s="415">
        <v>64835.94</v>
      </c>
      <c r="K1389" s="415">
        <v>60512.92</v>
      </c>
      <c r="L1389" s="415">
        <v>137475</v>
      </c>
      <c r="M1389" s="415">
        <v>129771.2</v>
      </c>
      <c r="N1389" s="415">
        <v>56193.32</v>
      </c>
      <c r="O1389" s="415">
        <v>169759.14</v>
      </c>
      <c r="P1389" s="415">
        <v>166127.09</v>
      </c>
      <c r="Q1389" s="481">
        <f t="shared" si="67"/>
        <v>-3306.6329399999959</v>
      </c>
    </row>
    <row r="1390" spans="1:17" outlineLevel="2" x14ac:dyDescent="0.3">
      <c r="A1390" s="366" t="str">
        <f>IFERROR(VLOOKUP(RIGHT(E1390,3)+0,[1]SchLocTable!$A$2:$B$47,2,FALSE)," ")</f>
        <v>Bassick HS</v>
      </c>
      <c r="B1390" s="366" t="str">
        <f>VLOOKUP(VALUE(D1390),$D$3:F$106,3,FALSE)</f>
        <v>Visual Arts</v>
      </c>
      <c r="C1390" t="s">
        <v>314</v>
      </c>
      <c r="D1390">
        <v>813</v>
      </c>
      <c r="E1390" t="s">
        <v>606</v>
      </c>
      <c r="F1390" t="s">
        <v>321</v>
      </c>
      <c r="G1390" t="s">
        <v>319</v>
      </c>
      <c r="H1390" s="502">
        <v>52917</v>
      </c>
      <c r="I1390" s="415">
        <v>16407.971999999998</v>
      </c>
      <c r="J1390" s="415">
        <v>13673.31</v>
      </c>
      <c r="K1390" s="415">
        <v>12265.5</v>
      </c>
      <c r="L1390" s="415">
        <v>23313.99</v>
      </c>
      <c r="M1390" s="415">
        <v>19883.47</v>
      </c>
      <c r="N1390" s="415">
        <v>11692.07</v>
      </c>
      <c r="O1390" s="415">
        <v>19635.36</v>
      </c>
      <c r="P1390" s="415">
        <v>18538.38</v>
      </c>
      <c r="Q1390" s="481">
        <f t="shared" si="67"/>
        <v>-2734.6619999999984</v>
      </c>
    </row>
    <row r="1391" spans="1:17" outlineLevel="2" x14ac:dyDescent="0.3">
      <c r="A1391" s="366" t="str">
        <f>IFERROR(VLOOKUP(RIGHT(E1391,3)+0,[1]SchLocTable!$A$2:$B$47,2,FALSE)," ")</f>
        <v>Bassick HS</v>
      </c>
      <c r="B1391" s="366" t="str">
        <f>VLOOKUP(VALUE(D1391),$D$3:F$106,3,FALSE)</f>
        <v>Visual Arts</v>
      </c>
      <c r="C1391" t="s">
        <v>314</v>
      </c>
      <c r="D1391">
        <v>813</v>
      </c>
      <c r="E1391" t="s">
        <v>606</v>
      </c>
      <c r="F1391" t="s">
        <v>320</v>
      </c>
      <c r="G1391" t="s">
        <v>319</v>
      </c>
      <c r="H1391" s="502">
        <v>52360</v>
      </c>
      <c r="I1391" s="415">
        <v>988.06730763000007</v>
      </c>
      <c r="J1391" s="415">
        <v>931.68</v>
      </c>
      <c r="K1391" s="415">
        <v>825.76</v>
      </c>
      <c r="L1391" s="415">
        <v>1896.74</v>
      </c>
      <c r="M1391" s="415">
        <v>1801.63</v>
      </c>
      <c r="N1391" s="415">
        <v>769.14</v>
      </c>
      <c r="O1391" s="415">
        <v>2421.7399999999998</v>
      </c>
      <c r="P1391" s="415">
        <v>2339.5</v>
      </c>
      <c r="Q1391" s="481">
        <f t="shared" si="67"/>
        <v>-56.387307630000123</v>
      </c>
    </row>
    <row r="1392" spans="1:17" outlineLevel="2" x14ac:dyDescent="0.3">
      <c r="A1392" s="366" t="str">
        <f>IFERROR(VLOOKUP(RIGHT(E1392,3)+0,[1]SchLocTable!$A$2:$B$47,2,FALSE)," ")</f>
        <v>Central HS</v>
      </c>
      <c r="B1392" s="366" t="str">
        <f>VLOOKUP(VALUE(D1392),$D$3:F$106,3,FALSE)</f>
        <v>Visual Arts</v>
      </c>
      <c r="C1392" t="s">
        <v>314</v>
      </c>
      <c r="D1392">
        <v>813</v>
      </c>
      <c r="E1392" t="s">
        <v>607</v>
      </c>
      <c r="F1392" t="s">
        <v>316</v>
      </c>
      <c r="G1392">
        <v>6</v>
      </c>
      <c r="H1392" s="502">
        <v>51000</v>
      </c>
      <c r="I1392" s="415">
        <v>566920.49855999998</v>
      </c>
      <c r="J1392" s="415">
        <v>434340.66</v>
      </c>
      <c r="K1392" s="415">
        <v>412381.06</v>
      </c>
      <c r="L1392" s="415">
        <v>484712.28</v>
      </c>
      <c r="M1392" s="415">
        <v>465895.04</v>
      </c>
      <c r="N1392" s="415">
        <v>446123.04</v>
      </c>
      <c r="O1392" s="415">
        <v>423733.18</v>
      </c>
      <c r="P1392" s="415">
        <v>375612.9</v>
      </c>
      <c r="Q1392" s="481">
        <f t="shared" si="67"/>
        <v>-132579.83856</v>
      </c>
    </row>
    <row r="1393" spans="1:17" outlineLevel="2" x14ac:dyDescent="0.3">
      <c r="A1393" s="366" t="str">
        <f>IFERROR(VLOOKUP(RIGHT(E1393,3)+0,[1]SchLocTable!$A$2:$B$47,2,FALSE)," ")</f>
        <v>Central HS</v>
      </c>
      <c r="B1393" s="366" t="str">
        <f>VLOOKUP(VALUE(D1393),$D$3:F$106,3,FALSE)</f>
        <v>Visual Arts</v>
      </c>
      <c r="C1393" t="s">
        <v>314</v>
      </c>
      <c r="D1393">
        <v>813</v>
      </c>
      <c r="E1393" t="s">
        <v>607</v>
      </c>
      <c r="F1393" t="s">
        <v>321</v>
      </c>
      <c r="G1393" t="s">
        <v>319</v>
      </c>
      <c r="H1393" s="502">
        <v>52917</v>
      </c>
      <c r="I1393" s="415">
        <v>185413.03200000001</v>
      </c>
      <c r="J1393" s="415">
        <v>115901.73</v>
      </c>
      <c r="K1393" s="415">
        <v>105244.44</v>
      </c>
      <c r="L1393" s="415">
        <v>138395.67000000001</v>
      </c>
      <c r="M1393" s="415">
        <v>129789.66</v>
      </c>
      <c r="N1393" s="415">
        <v>120716.19</v>
      </c>
      <c r="O1393" s="415">
        <v>113648.61</v>
      </c>
      <c r="P1393" s="415">
        <v>100646.49</v>
      </c>
      <c r="Q1393" s="481">
        <f t="shared" si="67"/>
        <v>-69511.302000000011</v>
      </c>
    </row>
    <row r="1394" spans="1:17" outlineLevel="2" x14ac:dyDescent="0.3">
      <c r="A1394" s="366" t="str">
        <f>IFERROR(VLOOKUP(RIGHT(E1394,3)+0,[1]SchLocTable!$A$2:$B$47,2,FALSE)," ")</f>
        <v>Central HS</v>
      </c>
      <c r="B1394" s="366" t="str">
        <f>VLOOKUP(VALUE(D1394),$D$3:F$106,3,FALSE)</f>
        <v>Visual Arts</v>
      </c>
      <c r="C1394" t="s">
        <v>314</v>
      </c>
      <c r="D1394">
        <v>813</v>
      </c>
      <c r="E1394" t="s">
        <v>607</v>
      </c>
      <c r="F1394" t="s">
        <v>318</v>
      </c>
      <c r="G1394" t="s">
        <v>319</v>
      </c>
      <c r="H1394" s="502">
        <v>51140</v>
      </c>
      <c r="I1394" s="415">
        <v>2400</v>
      </c>
      <c r="J1394" s="415">
        <v>0</v>
      </c>
      <c r="K1394" s="415">
        <v>2400</v>
      </c>
      <c r="L1394" s="415">
        <v>3300</v>
      </c>
      <c r="M1394" s="415">
        <v>3300</v>
      </c>
      <c r="N1394" s="415">
        <v>3000</v>
      </c>
      <c r="O1394" s="415">
        <v>2100</v>
      </c>
      <c r="P1394" s="415">
        <v>2100</v>
      </c>
      <c r="Q1394" s="481">
        <f t="shared" si="67"/>
        <v>-2400</v>
      </c>
    </row>
    <row r="1395" spans="1:17" outlineLevel="2" x14ac:dyDescent="0.3">
      <c r="A1395" s="366" t="str">
        <f>IFERROR(VLOOKUP(RIGHT(E1395,3)+0,[1]SchLocTable!$A$2:$B$47,2,FALSE)," ")</f>
        <v>Central HS</v>
      </c>
      <c r="B1395" s="366" t="str">
        <f>VLOOKUP(VALUE(D1395),$D$3:F$106,3,FALSE)</f>
        <v>Visual Arts</v>
      </c>
      <c r="C1395" t="s">
        <v>314</v>
      </c>
      <c r="D1395">
        <v>813</v>
      </c>
      <c r="E1395" t="s">
        <v>607</v>
      </c>
      <c r="F1395" t="s">
        <v>320</v>
      </c>
      <c r="G1395" t="s">
        <v>319</v>
      </c>
      <c r="H1395" s="502">
        <v>52360</v>
      </c>
      <c r="I1395" s="415">
        <v>8220.3472291200014</v>
      </c>
      <c r="J1395" s="415">
        <v>6225.02</v>
      </c>
      <c r="K1395" s="415">
        <v>5564.4</v>
      </c>
      <c r="L1395" s="415">
        <v>6502.28</v>
      </c>
      <c r="M1395" s="415">
        <v>6263.26</v>
      </c>
      <c r="N1395" s="415">
        <v>6039.72</v>
      </c>
      <c r="O1395" s="415">
        <v>5794.79</v>
      </c>
      <c r="P1395" s="415">
        <v>5099.97</v>
      </c>
      <c r="Q1395" s="481">
        <f t="shared" si="67"/>
        <v>-1995.327229120001</v>
      </c>
    </row>
    <row r="1396" spans="1:17" outlineLevel="2" x14ac:dyDescent="0.3">
      <c r="A1396" s="366" t="str">
        <f>IFERROR(VLOOKUP(RIGHT(E1396,3)+0,[1]SchLocTable!$A$2:$B$47,2,FALSE)," ")</f>
        <v>Harding HS</v>
      </c>
      <c r="B1396" s="366" t="str">
        <f>VLOOKUP(VALUE(D1396),$D$3:F$106,3,FALSE)</f>
        <v>Visual Arts</v>
      </c>
      <c r="C1396" t="s">
        <v>314</v>
      </c>
      <c r="D1396">
        <v>813</v>
      </c>
      <c r="E1396" t="s">
        <v>608</v>
      </c>
      <c r="F1396" t="s">
        <v>316</v>
      </c>
      <c r="G1396">
        <v>1</v>
      </c>
      <c r="H1396" s="502">
        <v>51000</v>
      </c>
      <c r="I1396" s="415">
        <v>0</v>
      </c>
      <c r="J1396" s="415">
        <v>69157.919999999998</v>
      </c>
      <c r="K1396" s="415">
        <v>66078.41</v>
      </c>
      <c r="L1396" s="415">
        <v>160410.9</v>
      </c>
      <c r="M1396" s="415">
        <v>155929.79999999999</v>
      </c>
      <c r="N1396" s="415">
        <v>152170.98000000001</v>
      </c>
      <c r="O1396" s="415">
        <v>147995.44</v>
      </c>
      <c r="P1396" s="415">
        <v>145393.04</v>
      </c>
      <c r="Q1396" s="481">
        <f t="shared" si="67"/>
        <v>69157.919999999998</v>
      </c>
    </row>
    <row r="1397" spans="1:17" outlineLevel="2" x14ac:dyDescent="0.3">
      <c r="A1397" s="366" t="str">
        <f>IFERROR(VLOOKUP(RIGHT(E1397,3)+0,[1]SchLocTable!$A$2:$B$47,2,FALSE)," ")</f>
        <v>Harding HS</v>
      </c>
      <c r="B1397" s="366" t="str">
        <f>VLOOKUP(VALUE(D1397),$D$3:F$106,3,FALSE)</f>
        <v>Visual Arts</v>
      </c>
      <c r="C1397" t="s">
        <v>314</v>
      </c>
      <c r="D1397">
        <v>813</v>
      </c>
      <c r="E1397" t="s">
        <v>608</v>
      </c>
      <c r="F1397" t="s">
        <v>321</v>
      </c>
      <c r="G1397" t="s">
        <v>319</v>
      </c>
      <c r="H1397" s="502">
        <v>52917</v>
      </c>
      <c r="I1397" s="415">
        <v>0</v>
      </c>
      <c r="J1397" s="415">
        <v>13037.22</v>
      </c>
      <c r="K1397" s="415">
        <v>13200.1</v>
      </c>
      <c r="L1397" s="415">
        <v>39761.19</v>
      </c>
      <c r="M1397" s="415">
        <v>37292.22</v>
      </c>
      <c r="N1397" s="415">
        <v>34795.11</v>
      </c>
      <c r="O1397" s="415">
        <v>33398.75</v>
      </c>
      <c r="P1397" s="415">
        <v>5998.46</v>
      </c>
      <c r="Q1397" s="481">
        <f t="shared" si="67"/>
        <v>13037.22</v>
      </c>
    </row>
    <row r="1398" spans="1:17" outlineLevel="2" x14ac:dyDescent="0.3">
      <c r="A1398" s="366" t="str">
        <f>IFERROR(VLOOKUP(RIGHT(E1398,3)+0,[1]SchLocTable!$A$2:$B$47,2,FALSE)," ")</f>
        <v>Harding HS</v>
      </c>
      <c r="B1398" s="366" t="str">
        <f>VLOOKUP(VALUE(D1398),$D$3:F$106,3,FALSE)</f>
        <v>Visual Arts</v>
      </c>
      <c r="C1398" t="s">
        <v>314</v>
      </c>
      <c r="D1398">
        <v>813</v>
      </c>
      <c r="E1398" t="s">
        <v>608</v>
      </c>
      <c r="F1398" t="s">
        <v>318</v>
      </c>
      <c r="G1398" t="s">
        <v>319</v>
      </c>
      <c r="H1398" s="502">
        <v>51140</v>
      </c>
      <c r="I1398" s="415">
        <v>0</v>
      </c>
      <c r="J1398" s="415">
        <v>0</v>
      </c>
      <c r="K1398" s="415">
        <v>1100</v>
      </c>
      <c r="L1398" s="415">
        <v>1100</v>
      </c>
      <c r="M1398" s="415">
        <v>900</v>
      </c>
      <c r="N1398" s="415">
        <v>900</v>
      </c>
      <c r="O1398" s="415">
        <v>900</v>
      </c>
      <c r="P1398" s="415">
        <v>900</v>
      </c>
      <c r="Q1398" s="481">
        <f t="shared" si="67"/>
        <v>0</v>
      </c>
    </row>
    <row r="1399" spans="1:17" outlineLevel="2" x14ac:dyDescent="0.3">
      <c r="A1399" s="366" t="str">
        <f>IFERROR(VLOOKUP(RIGHT(E1399,3)+0,[1]SchLocTable!$A$2:$B$47,2,FALSE)," ")</f>
        <v>Harding HS</v>
      </c>
      <c r="B1399" s="366" t="str">
        <f>VLOOKUP(VALUE(D1399),$D$3:F$106,3,FALSE)</f>
        <v>Visual Arts</v>
      </c>
      <c r="C1399" t="s">
        <v>314</v>
      </c>
      <c r="D1399">
        <v>813</v>
      </c>
      <c r="E1399" t="s">
        <v>608</v>
      </c>
      <c r="F1399" t="s">
        <v>320</v>
      </c>
      <c r="G1399" t="s">
        <v>319</v>
      </c>
      <c r="H1399" s="502">
        <v>52360</v>
      </c>
      <c r="I1399" s="415">
        <v>0</v>
      </c>
      <c r="J1399" s="415">
        <v>989.96</v>
      </c>
      <c r="K1399" s="415">
        <v>887.93</v>
      </c>
      <c r="L1399" s="415">
        <v>2151.2399999999998</v>
      </c>
      <c r="M1399" s="415">
        <v>2107.5300000000002</v>
      </c>
      <c r="N1399" s="415">
        <v>2083.39</v>
      </c>
      <c r="O1399" s="415">
        <v>2031.9</v>
      </c>
      <c r="P1399" s="415">
        <v>2033.72</v>
      </c>
      <c r="Q1399" s="481">
        <f t="shared" si="67"/>
        <v>989.96</v>
      </c>
    </row>
    <row r="1400" spans="1:17" outlineLevel="2" x14ac:dyDescent="0.3">
      <c r="A1400" s="366" t="str">
        <f>IFERROR(VLOOKUP(RIGHT(E1400,3)+0,[1]SchLocTable!$A$2:$B$47,2,FALSE)," ")</f>
        <v xml:space="preserve"> </v>
      </c>
      <c r="B1400" s="366" t="str">
        <f>VLOOKUP(VALUE(D1400),$D$3:F$106,3,FALSE)</f>
        <v>Performing Arts</v>
      </c>
      <c r="C1400" t="s">
        <v>314</v>
      </c>
      <c r="D1400">
        <v>814</v>
      </c>
      <c r="E1400" t="s">
        <v>609</v>
      </c>
      <c r="F1400" t="s">
        <v>316</v>
      </c>
      <c r="G1400">
        <v>1</v>
      </c>
      <c r="H1400" s="502">
        <v>51000</v>
      </c>
      <c r="I1400" s="415">
        <v>58894.908019999995</v>
      </c>
      <c r="J1400" s="415">
        <v>56037</v>
      </c>
      <c r="K1400" s="415">
        <v>54298.92</v>
      </c>
      <c r="L1400" s="415">
        <v>0</v>
      </c>
      <c r="M1400" s="415">
        <v>0</v>
      </c>
      <c r="N1400" s="415">
        <v>39100</v>
      </c>
      <c r="O1400" s="415">
        <v>0</v>
      </c>
      <c r="P1400" s="415">
        <v>0</v>
      </c>
      <c r="Q1400" s="481">
        <f t="shared" si="67"/>
        <v>-2857.9080199999953</v>
      </c>
    </row>
    <row r="1401" spans="1:17" outlineLevel="2" x14ac:dyDescent="0.3">
      <c r="A1401" s="366" t="str">
        <f>IFERROR(VLOOKUP(RIGHT(E1401,3)+0,[1]SchLocTable!$A$2:$B$47,2,FALSE)," ")</f>
        <v xml:space="preserve"> </v>
      </c>
      <c r="B1401" s="366" t="str">
        <f>VLOOKUP(VALUE(D1401),$D$3:F$106,3,FALSE)</f>
        <v>Performing Arts</v>
      </c>
      <c r="C1401" t="s">
        <v>314</v>
      </c>
      <c r="D1401">
        <v>814</v>
      </c>
      <c r="E1401" t="s">
        <v>609</v>
      </c>
      <c r="F1401" t="s">
        <v>321</v>
      </c>
      <c r="G1401" t="s">
        <v>319</v>
      </c>
      <c r="H1401" s="502">
        <v>52917</v>
      </c>
      <c r="I1401" s="415">
        <v>37644.263999999996</v>
      </c>
      <c r="J1401" s="415">
        <v>31370.22</v>
      </c>
      <c r="K1401" s="415">
        <v>28478.1</v>
      </c>
      <c r="L1401" s="415">
        <v>0</v>
      </c>
      <c r="M1401" s="415">
        <v>0</v>
      </c>
      <c r="N1401" s="415">
        <v>423.99</v>
      </c>
      <c r="O1401" s="415">
        <v>0</v>
      </c>
      <c r="P1401" s="415">
        <v>0</v>
      </c>
      <c r="Q1401" s="481">
        <f t="shared" si="67"/>
        <v>-6274.0439999999944</v>
      </c>
    </row>
    <row r="1402" spans="1:17" outlineLevel="2" x14ac:dyDescent="0.3">
      <c r="A1402" s="366" t="str">
        <f>IFERROR(VLOOKUP(RIGHT(E1402,3)+0,[1]SchLocTable!$A$2:$B$47,2,FALSE)," ")</f>
        <v xml:space="preserve"> </v>
      </c>
      <c r="B1402" s="366" t="str">
        <f>VLOOKUP(VALUE(D1402),$D$3:F$106,3,FALSE)</f>
        <v>Performing Arts</v>
      </c>
      <c r="C1402" t="s">
        <v>314</v>
      </c>
      <c r="D1402">
        <v>814</v>
      </c>
      <c r="E1402" t="s">
        <v>609</v>
      </c>
      <c r="F1402" t="s">
        <v>318</v>
      </c>
      <c r="G1402" t="s">
        <v>319</v>
      </c>
      <c r="H1402" s="502">
        <v>51140</v>
      </c>
      <c r="I1402" s="415">
        <v>0</v>
      </c>
      <c r="J1402" s="415">
        <v>0</v>
      </c>
      <c r="K1402" s="415">
        <v>0</v>
      </c>
      <c r="L1402" s="415">
        <v>3900</v>
      </c>
      <c r="M1402" s="415">
        <v>2900</v>
      </c>
      <c r="N1402" s="415">
        <v>0</v>
      </c>
      <c r="O1402" s="415">
        <v>0</v>
      </c>
      <c r="P1402" s="415">
        <v>0</v>
      </c>
      <c r="Q1402" s="481">
        <f t="shared" si="67"/>
        <v>0</v>
      </c>
    </row>
    <row r="1403" spans="1:17" outlineLevel="2" x14ac:dyDescent="0.3">
      <c r="A1403" s="366" t="str">
        <f>IFERROR(VLOOKUP(RIGHT(E1403,3)+0,[1]SchLocTable!$A$2:$B$47,2,FALSE)," ")</f>
        <v xml:space="preserve"> </v>
      </c>
      <c r="B1403" s="366" t="str">
        <f>VLOOKUP(VALUE(D1403),$D$3:F$106,3,FALSE)</f>
        <v>Performing Arts</v>
      </c>
      <c r="C1403" t="s">
        <v>314</v>
      </c>
      <c r="D1403">
        <v>814</v>
      </c>
      <c r="E1403" t="s">
        <v>609</v>
      </c>
      <c r="F1403" t="s">
        <v>320</v>
      </c>
      <c r="G1403" t="s">
        <v>319</v>
      </c>
      <c r="H1403" s="502">
        <v>52360</v>
      </c>
      <c r="I1403" s="415">
        <v>853.97616628999992</v>
      </c>
      <c r="J1403" s="415">
        <v>642</v>
      </c>
      <c r="K1403" s="415">
        <v>665.46</v>
      </c>
      <c r="L1403" s="415">
        <v>55.55</v>
      </c>
      <c r="M1403" s="415">
        <v>0</v>
      </c>
      <c r="N1403" s="415">
        <v>565.87</v>
      </c>
      <c r="O1403" s="415">
        <v>0</v>
      </c>
      <c r="P1403" s="415">
        <v>0</v>
      </c>
      <c r="Q1403" s="481">
        <f t="shared" si="67"/>
        <v>-211.97616628999992</v>
      </c>
    </row>
    <row r="1404" spans="1:17" outlineLevel="2" x14ac:dyDescent="0.3">
      <c r="A1404" s="366" t="str">
        <f>IFERROR(VLOOKUP(RIGHT(E1404,3)+0,[1]SchLocTable!$A$2:$B$47,2,FALSE)," ")</f>
        <v>Barnum</v>
      </c>
      <c r="B1404" s="366" t="str">
        <f>VLOOKUP(VALUE(D1404),$D$3:F$106,3,FALSE)</f>
        <v>Performing Arts</v>
      </c>
      <c r="C1404" t="s">
        <v>314</v>
      </c>
      <c r="D1404">
        <v>814</v>
      </c>
      <c r="E1404" t="s">
        <v>610</v>
      </c>
      <c r="F1404" t="s">
        <v>316</v>
      </c>
      <c r="G1404">
        <v>2</v>
      </c>
      <c r="H1404" s="502">
        <v>51000</v>
      </c>
      <c r="I1404" s="415">
        <v>148656.71911999999</v>
      </c>
      <c r="J1404" s="415">
        <v>73403</v>
      </c>
      <c r="K1404" s="415">
        <v>70108.92</v>
      </c>
      <c r="L1404" s="415">
        <v>127988.44</v>
      </c>
      <c r="M1404" s="415">
        <v>89871.33</v>
      </c>
      <c r="N1404" s="415">
        <v>46880.08</v>
      </c>
      <c r="O1404" s="415">
        <v>45591</v>
      </c>
      <c r="P1404" s="415">
        <v>0</v>
      </c>
      <c r="Q1404" s="481">
        <f t="shared" si="67"/>
        <v>-75253.719119999994</v>
      </c>
    </row>
    <row r="1405" spans="1:17" outlineLevel="2" x14ac:dyDescent="0.3">
      <c r="A1405" s="366" t="str">
        <f>IFERROR(VLOOKUP(RIGHT(E1405,3)+0,[1]SchLocTable!$A$2:$B$47,2,FALSE)," ")</f>
        <v>Barnum</v>
      </c>
      <c r="B1405" s="366" t="str">
        <f>VLOOKUP(VALUE(D1405),$D$3:F$106,3,FALSE)</f>
        <v>Performing Arts</v>
      </c>
      <c r="C1405" t="s">
        <v>314</v>
      </c>
      <c r="D1405">
        <v>814</v>
      </c>
      <c r="E1405" t="s">
        <v>610</v>
      </c>
      <c r="F1405" t="s">
        <v>321</v>
      </c>
      <c r="G1405" t="s">
        <v>319</v>
      </c>
      <c r="H1405" s="502">
        <v>52917</v>
      </c>
      <c r="I1405" s="415">
        <v>61711.52399999999</v>
      </c>
      <c r="J1405" s="415">
        <v>38148</v>
      </c>
      <c r="K1405" s="415">
        <v>34787.339999999997</v>
      </c>
      <c r="L1405" s="415">
        <v>55092.67</v>
      </c>
      <c r="M1405" s="415">
        <v>10816.4</v>
      </c>
      <c r="N1405" s="415">
        <v>344.82</v>
      </c>
      <c r="O1405" s="415">
        <v>338.52</v>
      </c>
      <c r="P1405" s="415">
        <v>0</v>
      </c>
      <c r="Q1405" s="481">
        <f t="shared" si="67"/>
        <v>-23563.52399999999</v>
      </c>
    </row>
    <row r="1406" spans="1:17" outlineLevel="2" x14ac:dyDescent="0.3">
      <c r="A1406" s="366" t="str">
        <f>IFERROR(VLOOKUP(RIGHT(E1406,3)+0,[1]SchLocTable!$A$2:$B$47,2,FALSE)," ")</f>
        <v>Barnum</v>
      </c>
      <c r="B1406" s="366" t="str">
        <f>VLOOKUP(VALUE(D1406),$D$3:F$106,3,FALSE)</f>
        <v>Performing Arts</v>
      </c>
      <c r="C1406" t="s">
        <v>314</v>
      </c>
      <c r="D1406">
        <v>814</v>
      </c>
      <c r="E1406" t="s">
        <v>610</v>
      </c>
      <c r="F1406" t="s">
        <v>320</v>
      </c>
      <c r="G1406" t="s">
        <v>319</v>
      </c>
      <c r="H1406" s="502">
        <v>52360</v>
      </c>
      <c r="I1406" s="415">
        <v>2155.5224272400001</v>
      </c>
      <c r="J1406" s="415">
        <v>896</v>
      </c>
      <c r="K1406" s="415">
        <v>842.92</v>
      </c>
      <c r="L1406" s="415">
        <v>1627.16</v>
      </c>
      <c r="M1406" s="415">
        <v>1259.56</v>
      </c>
      <c r="N1406" s="415">
        <v>678.88</v>
      </c>
      <c r="O1406" s="415">
        <v>660.2</v>
      </c>
      <c r="P1406" s="415">
        <v>0</v>
      </c>
      <c r="Q1406" s="481">
        <f t="shared" si="67"/>
        <v>-1259.5224272400001</v>
      </c>
    </row>
    <row r="1407" spans="1:17" outlineLevel="2" x14ac:dyDescent="0.3">
      <c r="A1407" s="366" t="str">
        <f>IFERROR(VLOOKUP(RIGHT(E1407,3)+0,[1]SchLocTable!$A$2:$B$47,2,FALSE)," ")</f>
        <v>Barnum</v>
      </c>
      <c r="B1407" s="366" t="str">
        <f>VLOOKUP(VALUE(D1407),$D$3:F$106,3,FALSE)</f>
        <v>Performing Arts</v>
      </c>
      <c r="C1407" t="s">
        <v>314</v>
      </c>
      <c r="D1407">
        <v>814</v>
      </c>
      <c r="E1407" t="s">
        <v>610</v>
      </c>
      <c r="F1407" t="s">
        <v>324</v>
      </c>
      <c r="G1407" t="s">
        <v>319</v>
      </c>
      <c r="H1407" s="502">
        <v>52385</v>
      </c>
      <c r="I1407" s="415">
        <v>0</v>
      </c>
      <c r="J1407" s="415">
        <v>0</v>
      </c>
      <c r="K1407" s="415">
        <v>0</v>
      </c>
      <c r="L1407" s="415">
        <v>868.75</v>
      </c>
      <c r="M1407" s="415">
        <v>294.5</v>
      </c>
      <c r="N1407" s="415">
        <v>0</v>
      </c>
      <c r="O1407" s="415">
        <v>0</v>
      </c>
      <c r="P1407" s="415">
        <v>0</v>
      </c>
      <c r="Q1407" s="481">
        <f t="shared" ref="Q1407:Q1470" si="68">J1407-I1407</f>
        <v>0</v>
      </c>
    </row>
    <row r="1408" spans="1:17" outlineLevel="2" x14ac:dyDescent="0.3">
      <c r="A1408" s="366" t="str">
        <f>IFERROR(VLOOKUP(RIGHT(E1408,3)+0,[1]SchLocTable!$A$2:$B$47,2,FALSE)," ")</f>
        <v>Beardsley</v>
      </c>
      <c r="B1408" s="366" t="str">
        <f>VLOOKUP(VALUE(D1408),$D$3:F$106,3,FALSE)</f>
        <v>Performing Arts</v>
      </c>
      <c r="C1408" t="s">
        <v>314</v>
      </c>
      <c r="D1408">
        <v>814</v>
      </c>
      <c r="E1408" t="s">
        <v>1301</v>
      </c>
      <c r="F1408" t="s">
        <v>316</v>
      </c>
      <c r="G1408">
        <v>1</v>
      </c>
      <c r="H1408" s="502">
        <v>51000</v>
      </c>
      <c r="I1408" s="415">
        <v>67275</v>
      </c>
      <c r="J1408" s="415">
        <v>0</v>
      </c>
      <c r="K1408" s="415">
        <v>0</v>
      </c>
      <c r="L1408" s="415">
        <v>0</v>
      </c>
      <c r="M1408" s="415">
        <v>0</v>
      </c>
      <c r="N1408" s="415">
        <v>0</v>
      </c>
      <c r="O1408" s="415">
        <v>0</v>
      </c>
      <c r="P1408" s="415">
        <v>0</v>
      </c>
      <c r="Q1408" s="481">
        <f t="shared" si="68"/>
        <v>-67275</v>
      </c>
    </row>
    <row r="1409" spans="1:17" outlineLevel="2" x14ac:dyDescent="0.3">
      <c r="A1409" s="366" t="str">
        <f>IFERROR(VLOOKUP(RIGHT(E1409,3)+0,[1]SchLocTable!$A$2:$B$47,2,FALSE)," ")</f>
        <v>Beardsley</v>
      </c>
      <c r="B1409" s="366" t="str">
        <f>VLOOKUP(VALUE(D1409),$D$3:F$106,3,FALSE)</f>
        <v>Performing Arts</v>
      </c>
      <c r="C1409" t="s">
        <v>314</v>
      </c>
      <c r="D1409">
        <v>814</v>
      </c>
      <c r="E1409" t="s">
        <v>1301</v>
      </c>
      <c r="F1409" t="s">
        <v>321</v>
      </c>
      <c r="G1409" t="s">
        <v>319</v>
      </c>
      <c r="H1409" s="502">
        <v>52917</v>
      </c>
      <c r="I1409" s="415">
        <v>18733.415999999997</v>
      </c>
      <c r="J1409" s="415">
        <v>0</v>
      </c>
      <c r="K1409" s="415">
        <v>0</v>
      </c>
      <c r="L1409" s="415">
        <v>0</v>
      </c>
      <c r="M1409" s="415">
        <v>0</v>
      </c>
      <c r="N1409" s="415">
        <v>0</v>
      </c>
      <c r="O1409" s="415">
        <v>0</v>
      </c>
      <c r="P1409" s="415">
        <v>0</v>
      </c>
      <c r="Q1409" s="481">
        <f t="shared" si="68"/>
        <v>-18733.415999999997</v>
      </c>
    </row>
    <row r="1410" spans="1:17" outlineLevel="2" x14ac:dyDescent="0.3">
      <c r="A1410" s="366" t="str">
        <f>IFERROR(VLOOKUP(RIGHT(E1410,3)+0,[1]SchLocTable!$A$2:$B$47,2,FALSE)," ")</f>
        <v>Beardsley</v>
      </c>
      <c r="B1410" s="366" t="str">
        <f>VLOOKUP(VALUE(D1410),$D$3:F$106,3,FALSE)</f>
        <v>Performing Arts</v>
      </c>
      <c r="C1410" t="s">
        <v>314</v>
      </c>
      <c r="D1410">
        <v>814</v>
      </c>
      <c r="E1410" t="s">
        <v>1301</v>
      </c>
      <c r="F1410" t="s">
        <v>320</v>
      </c>
      <c r="G1410" t="s">
        <v>319</v>
      </c>
      <c r="H1410" s="502">
        <v>52360</v>
      </c>
      <c r="I1410" s="415">
        <v>975.48750000000007</v>
      </c>
      <c r="J1410" s="415">
        <v>0</v>
      </c>
      <c r="K1410" s="415">
        <v>0</v>
      </c>
      <c r="L1410" s="415">
        <v>0</v>
      </c>
      <c r="M1410" s="415">
        <v>0</v>
      </c>
      <c r="N1410" s="415">
        <v>0</v>
      </c>
      <c r="O1410" s="415">
        <v>0</v>
      </c>
      <c r="P1410" s="415">
        <v>0</v>
      </c>
      <c r="Q1410" s="481">
        <f t="shared" si="68"/>
        <v>-975.48750000000007</v>
      </c>
    </row>
    <row r="1411" spans="1:17" outlineLevel="2" x14ac:dyDescent="0.3">
      <c r="A1411" s="366" t="str">
        <f>IFERROR(VLOOKUP(RIGHT(E1411,3)+0,[1]SchLocTable!$A$2:$B$47,2,FALSE)," ")</f>
        <v>Beardsley</v>
      </c>
      <c r="B1411" s="366" t="str">
        <f>VLOOKUP(VALUE(D1411),$D$3:F$106,3,FALSE)</f>
        <v>Performing Arts</v>
      </c>
      <c r="C1411" t="s">
        <v>314</v>
      </c>
      <c r="D1411">
        <v>814</v>
      </c>
      <c r="E1411" t="s">
        <v>1301</v>
      </c>
      <c r="F1411" t="s">
        <v>324</v>
      </c>
      <c r="G1411" t="s">
        <v>319</v>
      </c>
      <c r="H1411" s="502">
        <v>52385</v>
      </c>
      <c r="I1411" s="415">
        <v>7097.6100000000006</v>
      </c>
      <c r="J1411" s="415">
        <v>0</v>
      </c>
      <c r="K1411" s="415">
        <v>0</v>
      </c>
      <c r="L1411" s="415">
        <v>0</v>
      </c>
      <c r="M1411" s="415">
        <v>0</v>
      </c>
      <c r="N1411" s="415">
        <v>0</v>
      </c>
      <c r="O1411" s="415">
        <v>0</v>
      </c>
      <c r="P1411" s="415">
        <v>0</v>
      </c>
      <c r="Q1411" s="481">
        <f t="shared" si="68"/>
        <v>-7097.6100000000006</v>
      </c>
    </row>
    <row r="1412" spans="1:17" outlineLevel="2" x14ac:dyDescent="0.3">
      <c r="A1412" s="366" t="str">
        <f>IFERROR(VLOOKUP(RIGHT(E1412,3)+0,[1]SchLocTable!$A$2:$B$47,2,FALSE)," ")</f>
        <v>Black Rock</v>
      </c>
      <c r="B1412" s="366" t="str">
        <f>VLOOKUP(VALUE(D1412),$D$3:F$106,3,FALSE)</f>
        <v>Performing Arts</v>
      </c>
      <c r="C1412" t="s">
        <v>314</v>
      </c>
      <c r="D1412">
        <v>814</v>
      </c>
      <c r="E1412" t="s">
        <v>611</v>
      </c>
      <c r="F1412" t="s">
        <v>316</v>
      </c>
      <c r="G1412" t="s">
        <v>319</v>
      </c>
      <c r="H1412" s="502">
        <v>51000</v>
      </c>
      <c r="I1412" s="415">
        <v>0</v>
      </c>
      <c r="J1412" s="415">
        <v>0</v>
      </c>
      <c r="K1412" s="415">
        <v>0</v>
      </c>
      <c r="L1412" s="415">
        <v>0</v>
      </c>
      <c r="M1412" s="415">
        <v>89892.92</v>
      </c>
      <c r="N1412" s="415">
        <v>88564.06</v>
      </c>
      <c r="O1412" s="415">
        <v>87254.96</v>
      </c>
      <c r="P1412" s="415">
        <v>84265.08</v>
      </c>
      <c r="Q1412" s="481">
        <f t="shared" si="68"/>
        <v>0</v>
      </c>
    </row>
    <row r="1413" spans="1:17" outlineLevel="2" x14ac:dyDescent="0.3">
      <c r="A1413" s="366" t="str">
        <f>IFERROR(VLOOKUP(RIGHT(E1413,3)+0,[1]SchLocTable!$A$2:$B$47,2,FALSE)," ")</f>
        <v>Black Rock</v>
      </c>
      <c r="B1413" s="366" t="str">
        <f>VLOOKUP(VALUE(D1413),$D$3:F$106,3,FALSE)</f>
        <v>Performing Arts</v>
      </c>
      <c r="C1413" t="s">
        <v>314</v>
      </c>
      <c r="D1413">
        <v>814</v>
      </c>
      <c r="E1413" t="s">
        <v>611</v>
      </c>
      <c r="F1413" t="s">
        <v>321</v>
      </c>
      <c r="G1413" t="s">
        <v>319</v>
      </c>
      <c r="H1413" s="502">
        <v>52917</v>
      </c>
      <c r="I1413" s="415">
        <v>0</v>
      </c>
      <c r="J1413" s="415">
        <v>0</v>
      </c>
      <c r="K1413" s="415">
        <v>0</v>
      </c>
      <c r="L1413" s="415">
        <v>0</v>
      </c>
      <c r="M1413" s="415">
        <v>32449.200000000001</v>
      </c>
      <c r="N1413" s="415">
        <v>30308.67</v>
      </c>
      <c r="O1413" s="415">
        <v>29077.5</v>
      </c>
      <c r="P1413" s="415">
        <v>27385.05</v>
      </c>
      <c r="Q1413" s="481">
        <f t="shared" si="68"/>
        <v>0</v>
      </c>
    </row>
    <row r="1414" spans="1:17" outlineLevel="2" x14ac:dyDescent="0.3">
      <c r="A1414" s="366" t="str">
        <f>IFERROR(VLOOKUP(RIGHT(E1414,3)+0,[1]SchLocTable!$A$2:$B$47,2,FALSE)," ")</f>
        <v>Black Rock</v>
      </c>
      <c r="B1414" s="366" t="str">
        <f>VLOOKUP(VALUE(D1414),$D$3:F$106,3,FALSE)</f>
        <v>Performing Arts</v>
      </c>
      <c r="C1414" t="s">
        <v>314</v>
      </c>
      <c r="D1414">
        <v>814</v>
      </c>
      <c r="E1414" t="s">
        <v>611</v>
      </c>
      <c r="F1414" t="s">
        <v>318</v>
      </c>
      <c r="G1414" t="s">
        <v>319</v>
      </c>
      <c r="H1414" s="502">
        <v>51140</v>
      </c>
      <c r="I1414" s="415">
        <v>0</v>
      </c>
      <c r="J1414" s="415">
        <v>0</v>
      </c>
      <c r="K1414" s="415">
        <v>0</v>
      </c>
      <c r="L1414" s="415">
        <v>1200</v>
      </c>
      <c r="M1414" s="415">
        <v>1200</v>
      </c>
      <c r="N1414" s="415">
        <v>1200</v>
      </c>
      <c r="O1414" s="415">
        <v>1200</v>
      </c>
      <c r="P1414" s="415">
        <v>1100</v>
      </c>
      <c r="Q1414" s="481">
        <f t="shared" si="68"/>
        <v>0</v>
      </c>
    </row>
    <row r="1415" spans="1:17" outlineLevel="2" x14ac:dyDescent="0.3">
      <c r="A1415" s="366" t="str">
        <f>IFERROR(VLOOKUP(RIGHT(E1415,3)+0,[1]SchLocTable!$A$2:$B$47,2,FALSE)," ")</f>
        <v>Black Rock</v>
      </c>
      <c r="B1415" s="366" t="str">
        <f>VLOOKUP(VALUE(D1415),$D$3:F$106,3,FALSE)</f>
        <v>Performing Arts</v>
      </c>
      <c r="C1415" t="s">
        <v>314</v>
      </c>
      <c r="D1415">
        <v>814</v>
      </c>
      <c r="E1415" t="s">
        <v>611</v>
      </c>
      <c r="F1415" t="s">
        <v>320</v>
      </c>
      <c r="G1415" t="s">
        <v>319</v>
      </c>
      <c r="H1415" s="502">
        <v>52360</v>
      </c>
      <c r="I1415" s="415">
        <v>0</v>
      </c>
      <c r="J1415" s="415">
        <v>0</v>
      </c>
      <c r="K1415" s="415">
        <v>0</v>
      </c>
      <c r="L1415" s="415">
        <v>17.010000000000002</v>
      </c>
      <c r="M1415" s="415">
        <v>1173.06</v>
      </c>
      <c r="N1415" s="415">
        <v>1183.24</v>
      </c>
      <c r="O1415" s="415">
        <v>1172.17</v>
      </c>
      <c r="P1415" s="415">
        <v>1135.25</v>
      </c>
      <c r="Q1415" s="481">
        <f t="shared" si="68"/>
        <v>0</v>
      </c>
    </row>
    <row r="1416" spans="1:17" outlineLevel="2" x14ac:dyDescent="0.3">
      <c r="A1416" s="366" t="str">
        <f>IFERROR(VLOOKUP(RIGHT(E1416,3)+0,[1]SchLocTable!$A$2:$B$47,2,FALSE)," ")</f>
        <v>Bryant</v>
      </c>
      <c r="B1416" s="366" t="str">
        <f>VLOOKUP(VALUE(D1416),$D$3:F$106,3,FALSE)</f>
        <v>Performing Arts</v>
      </c>
      <c r="C1416" t="s">
        <v>314</v>
      </c>
      <c r="D1416">
        <v>814</v>
      </c>
      <c r="E1416" t="s">
        <v>612</v>
      </c>
      <c r="F1416" t="s">
        <v>316</v>
      </c>
      <c r="G1416">
        <v>1</v>
      </c>
      <c r="H1416" s="502">
        <v>51000</v>
      </c>
      <c r="I1416" s="415">
        <v>58375.714019999992</v>
      </c>
      <c r="J1416" s="415">
        <v>55543</v>
      </c>
      <c r="K1416" s="415">
        <v>49822.400000000001</v>
      </c>
      <c r="L1416" s="415">
        <v>0</v>
      </c>
      <c r="M1416" s="415">
        <v>51611.28</v>
      </c>
      <c r="N1416" s="415">
        <v>48817.08</v>
      </c>
      <c r="O1416" s="415">
        <v>46880.08</v>
      </c>
      <c r="P1416" s="415">
        <v>46141.94</v>
      </c>
      <c r="Q1416" s="481">
        <f t="shared" si="68"/>
        <v>-2832.7140199999922</v>
      </c>
    </row>
    <row r="1417" spans="1:17" outlineLevel="2" x14ac:dyDescent="0.3">
      <c r="A1417" s="366" t="str">
        <f>IFERROR(VLOOKUP(RIGHT(E1417,3)+0,[1]SchLocTable!$A$2:$B$47,2,FALSE)," ")</f>
        <v>Bryant</v>
      </c>
      <c r="B1417" s="366" t="str">
        <f>VLOOKUP(VALUE(D1417),$D$3:F$106,3,FALSE)</f>
        <v>Performing Arts</v>
      </c>
      <c r="C1417" t="s">
        <v>314</v>
      </c>
      <c r="D1417">
        <v>814</v>
      </c>
      <c r="E1417" t="s">
        <v>612</v>
      </c>
      <c r="F1417" t="s">
        <v>321</v>
      </c>
      <c r="G1417" t="s">
        <v>319</v>
      </c>
      <c r="H1417" s="502">
        <v>52917</v>
      </c>
      <c r="I1417" s="415">
        <v>15644.663999999999</v>
      </c>
      <c r="J1417" s="415">
        <v>12979</v>
      </c>
      <c r="K1417" s="415">
        <v>7373.84</v>
      </c>
      <c r="L1417" s="415">
        <v>0</v>
      </c>
      <c r="M1417" s="415">
        <v>10956.75</v>
      </c>
      <c r="N1417" s="415">
        <v>10232.879999999999</v>
      </c>
      <c r="O1417" s="415">
        <v>9817.68</v>
      </c>
      <c r="P1417" s="415">
        <v>9245.67</v>
      </c>
      <c r="Q1417" s="481">
        <f t="shared" si="68"/>
        <v>-2665.6639999999989</v>
      </c>
    </row>
    <row r="1418" spans="1:17" outlineLevel="2" x14ac:dyDescent="0.3">
      <c r="A1418" s="366" t="str">
        <f>IFERROR(VLOOKUP(RIGHT(E1418,3)+0,[1]SchLocTable!$A$2:$B$47,2,FALSE)," ")</f>
        <v>Bryant</v>
      </c>
      <c r="B1418" s="366" t="str">
        <f>VLOOKUP(VALUE(D1418),$D$3:F$106,3,FALSE)</f>
        <v>Performing Arts</v>
      </c>
      <c r="C1418" t="s">
        <v>314</v>
      </c>
      <c r="D1418">
        <v>814</v>
      </c>
      <c r="E1418" t="s">
        <v>612</v>
      </c>
      <c r="F1418" t="s">
        <v>320</v>
      </c>
      <c r="G1418" t="s">
        <v>319</v>
      </c>
      <c r="H1418" s="502">
        <v>52360</v>
      </c>
      <c r="I1418" s="415">
        <v>846.4478532899999</v>
      </c>
      <c r="J1418" s="415">
        <v>748</v>
      </c>
      <c r="K1418" s="415">
        <v>691.01</v>
      </c>
      <c r="L1418" s="415">
        <v>0</v>
      </c>
      <c r="M1418" s="415">
        <v>704.21</v>
      </c>
      <c r="N1418" s="415">
        <v>667.89</v>
      </c>
      <c r="O1418" s="415">
        <v>642.47</v>
      </c>
      <c r="P1418" s="415">
        <v>634.41</v>
      </c>
      <c r="Q1418" s="481">
        <f t="shared" si="68"/>
        <v>-98.447853289999898</v>
      </c>
    </row>
    <row r="1419" spans="1:17" outlineLevel="2" x14ac:dyDescent="0.3">
      <c r="A1419" s="366" t="str">
        <f>IFERROR(VLOOKUP(RIGHT(E1419,3)+0,[1]SchLocTable!$A$2:$B$47,2,FALSE)," ")</f>
        <v>Bryant</v>
      </c>
      <c r="B1419" s="366" t="str">
        <f>VLOOKUP(VALUE(D1419),$D$3:F$106,3,FALSE)</f>
        <v>Performing Arts</v>
      </c>
      <c r="C1419" t="s">
        <v>314</v>
      </c>
      <c r="D1419">
        <v>814</v>
      </c>
      <c r="E1419" t="s">
        <v>612</v>
      </c>
      <c r="F1419" t="s">
        <v>324</v>
      </c>
      <c r="G1419" t="s">
        <v>319</v>
      </c>
      <c r="H1419" s="502">
        <v>52385</v>
      </c>
      <c r="I1419" s="415">
        <v>0</v>
      </c>
      <c r="J1419" s="415">
        <v>0</v>
      </c>
      <c r="K1419" s="415">
        <v>527</v>
      </c>
      <c r="L1419" s="415">
        <v>0</v>
      </c>
      <c r="M1419" s="415">
        <v>0</v>
      </c>
      <c r="N1419" s="415">
        <v>0</v>
      </c>
      <c r="O1419" s="415">
        <v>0</v>
      </c>
      <c r="P1419" s="415">
        <v>0</v>
      </c>
      <c r="Q1419" s="481">
        <f t="shared" si="68"/>
        <v>0</v>
      </c>
    </row>
    <row r="1420" spans="1:17" outlineLevel="2" x14ac:dyDescent="0.3">
      <c r="A1420" s="366" t="str">
        <f>IFERROR(VLOOKUP(RIGHT(E1420,3)+0,[1]SchLocTable!$A$2:$B$47,2,FALSE)," ")</f>
        <v>Columbus</v>
      </c>
      <c r="B1420" s="366" t="str">
        <f>VLOOKUP(VALUE(D1420),$D$3:F$106,3,FALSE)</f>
        <v>Performing Arts</v>
      </c>
      <c r="C1420" t="s">
        <v>314</v>
      </c>
      <c r="D1420">
        <v>814</v>
      </c>
      <c r="E1420" t="s">
        <v>613</v>
      </c>
      <c r="F1420" t="s">
        <v>316</v>
      </c>
      <c r="G1420">
        <v>2</v>
      </c>
      <c r="H1420" s="502">
        <v>51000</v>
      </c>
      <c r="I1420" s="415">
        <v>220856.96132999999</v>
      </c>
      <c r="J1420" s="415">
        <v>210140</v>
      </c>
      <c r="K1420" s="415">
        <v>205239.73</v>
      </c>
      <c r="L1420" s="415">
        <v>193720.02</v>
      </c>
      <c r="M1420" s="415">
        <v>168426.96</v>
      </c>
      <c r="N1420" s="415">
        <v>63544.47</v>
      </c>
      <c r="O1420" s="415">
        <v>60814.95</v>
      </c>
      <c r="P1420" s="415">
        <v>59856.93</v>
      </c>
      <c r="Q1420" s="481">
        <f t="shared" si="68"/>
        <v>-10716.961329999991</v>
      </c>
    </row>
    <row r="1421" spans="1:17" outlineLevel="2" x14ac:dyDescent="0.3">
      <c r="A1421" s="366" t="str">
        <f>IFERROR(VLOOKUP(RIGHT(E1421,3)+0,[1]SchLocTable!$A$2:$B$47,2,FALSE)," ")</f>
        <v>Columbus</v>
      </c>
      <c r="B1421" s="366" t="str">
        <f>VLOOKUP(VALUE(D1421),$D$3:F$106,3,FALSE)</f>
        <v>Performing Arts</v>
      </c>
      <c r="C1421" t="s">
        <v>314</v>
      </c>
      <c r="D1421">
        <v>814</v>
      </c>
      <c r="E1421" t="s">
        <v>613</v>
      </c>
      <c r="F1421" t="s">
        <v>321</v>
      </c>
      <c r="G1421" t="s">
        <v>319</v>
      </c>
      <c r="H1421" s="502">
        <v>52917</v>
      </c>
      <c r="I1421" s="415">
        <v>75288.527999999991</v>
      </c>
      <c r="J1421" s="415">
        <v>62740.44</v>
      </c>
      <c r="K1421" s="415">
        <v>56956.2</v>
      </c>
      <c r="L1421" s="415">
        <v>56152.74</v>
      </c>
      <c r="M1421" s="415">
        <v>55291.11</v>
      </c>
      <c r="N1421" s="415">
        <v>30308.67</v>
      </c>
      <c r="O1421" s="415">
        <v>29077.5</v>
      </c>
      <c r="P1421" s="415">
        <v>27385.05</v>
      </c>
      <c r="Q1421" s="481">
        <f t="shared" si="68"/>
        <v>-12548.087999999989</v>
      </c>
    </row>
    <row r="1422" spans="1:17" outlineLevel="2" x14ac:dyDescent="0.3">
      <c r="A1422" s="366" t="str">
        <f>IFERROR(VLOOKUP(RIGHT(E1422,3)+0,[1]SchLocTable!$A$2:$B$47,2,FALSE)," ")</f>
        <v>Columbus</v>
      </c>
      <c r="B1422" s="366" t="str">
        <f>VLOOKUP(VALUE(D1422),$D$3:F$106,3,FALSE)</f>
        <v>Performing Arts</v>
      </c>
      <c r="C1422" t="s">
        <v>314</v>
      </c>
      <c r="D1422">
        <v>814</v>
      </c>
      <c r="E1422" t="s">
        <v>613</v>
      </c>
      <c r="F1422" t="s">
        <v>320</v>
      </c>
      <c r="G1422" t="s">
        <v>319</v>
      </c>
      <c r="H1422" s="502">
        <v>52360</v>
      </c>
      <c r="I1422" s="415">
        <v>3202.4259392849999</v>
      </c>
      <c r="J1422" s="415">
        <v>2706</v>
      </c>
      <c r="K1422" s="415">
        <v>2732.23</v>
      </c>
      <c r="L1422" s="415">
        <v>2575.7199999999998</v>
      </c>
      <c r="M1422" s="415">
        <v>2218.9699999999998</v>
      </c>
      <c r="N1422" s="415">
        <v>803.06</v>
      </c>
      <c r="O1422" s="415">
        <v>771.4</v>
      </c>
      <c r="P1422" s="415">
        <v>765.39</v>
      </c>
      <c r="Q1422" s="481">
        <f t="shared" si="68"/>
        <v>-496.42593928499991</v>
      </c>
    </row>
    <row r="1423" spans="1:17" outlineLevel="2" x14ac:dyDescent="0.3">
      <c r="A1423" s="366" t="str">
        <f>IFERROR(VLOOKUP(RIGHT(E1423,3)+0,[1]SchLocTable!$A$2:$B$47,2,FALSE)," ")</f>
        <v>Marin</v>
      </c>
      <c r="B1423" s="366" t="str">
        <f>VLOOKUP(VALUE(D1423),$D$3:F$106,3,FALSE)</f>
        <v>Performing Arts</v>
      </c>
      <c r="C1423" t="s">
        <v>314</v>
      </c>
      <c r="D1423">
        <v>814</v>
      </c>
      <c r="E1423" t="s">
        <v>614</v>
      </c>
      <c r="F1423" t="s">
        <v>316</v>
      </c>
      <c r="G1423">
        <v>1</v>
      </c>
      <c r="H1423" s="502">
        <v>51000</v>
      </c>
      <c r="I1423" s="415">
        <v>67275</v>
      </c>
      <c r="J1423" s="415">
        <v>0</v>
      </c>
      <c r="K1423" s="415">
        <v>0</v>
      </c>
      <c r="L1423" s="415">
        <v>86447.25</v>
      </c>
      <c r="M1423" s="415">
        <v>53507.199999999997</v>
      </c>
      <c r="N1423" s="415">
        <v>0</v>
      </c>
      <c r="O1423" s="415">
        <v>0</v>
      </c>
      <c r="P1423" s="415">
        <v>0</v>
      </c>
      <c r="Q1423" s="481">
        <f t="shared" si="68"/>
        <v>-67275</v>
      </c>
    </row>
    <row r="1424" spans="1:17" outlineLevel="2" x14ac:dyDescent="0.3">
      <c r="A1424" s="366" t="str">
        <f>IFERROR(VLOOKUP(RIGHT(E1424,3)+0,[1]SchLocTable!$A$2:$B$47,2,FALSE)," ")</f>
        <v>Marin</v>
      </c>
      <c r="B1424" s="366" t="str">
        <f>VLOOKUP(VALUE(D1424),$D$3:F$106,3,FALSE)</f>
        <v>Performing Arts</v>
      </c>
      <c r="C1424" t="s">
        <v>314</v>
      </c>
      <c r="D1424">
        <v>814</v>
      </c>
      <c r="E1424" t="s">
        <v>614</v>
      </c>
      <c r="F1424" t="s">
        <v>321</v>
      </c>
      <c r="G1424" t="s">
        <v>319</v>
      </c>
      <c r="H1424" s="502">
        <v>52917</v>
      </c>
      <c r="I1424" s="415">
        <v>19369.583999999995</v>
      </c>
      <c r="J1424" s="415">
        <v>0</v>
      </c>
      <c r="K1424" s="415">
        <v>0</v>
      </c>
      <c r="L1424" s="415">
        <v>11684.82</v>
      </c>
      <c r="M1424" s="415">
        <v>9391.5</v>
      </c>
      <c r="N1424" s="415">
        <v>0</v>
      </c>
      <c r="O1424" s="415">
        <v>0</v>
      </c>
      <c r="P1424" s="415">
        <v>0</v>
      </c>
      <c r="Q1424" s="481">
        <f t="shared" si="68"/>
        <v>-19369.583999999995</v>
      </c>
    </row>
    <row r="1425" spans="1:17" outlineLevel="2" x14ac:dyDescent="0.3">
      <c r="A1425" s="366" t="str">
        <f>IFERROR(VLOOKUP(RIGHT(E1425,3)+0,[1]SchLocTable!$A$2:$B$47,2,FALSE)," ")</f>
        <v>Marin</v>
      </c>
      <c r="B1425" s="366" t="str">
        <f>VLOOKUP(VALUE(D1425),$D$3:F$106,3,FALSE)</f>
        <v>Performing Arts</v>
      </c>
      <c r="C1425" t="s">
        <v>314</v>
      </c>
      <c r="D1425">
        <v>814</v>
      </c>
      <c r="E1425" t="s">
        <v>614</v>
      </c>
      <c r="F1425" t="s">
        <v>320</v>
      </c>
      <c r="G1425" t="s">
        <v>319</v>
      </c>
      <c r="H1425" s="502">
        <v>52360</v>
      </c>
      <c r="I1425" s="415">
        <v>975.48750000000007</v>
      </c>
      <c r="J1425" s="415">
        <v>0</v>
      </c>
      <c r="K1425" s="415">
        <v>0</v>
      </c>
      <c r="L1425" s="415">
        <v>1205.0899999999999</v>
      </c>
      <c r="M1425" s="415">
        <v>738.01</v>
      </c>
      <c r="N1425" s="415">
        <v>0</v>
      </c>
      <c r="O1425" s="415">
        <v>0</v>
      </c>
      <c r="P1425" s="415">
        <v>0</v>
      </c>
      <c r="Q1425" s="481">
        <f t="shared" si="68"/>
        <v>-975.48750000000007</v>
      </c>
    </row>
    <row r="1426" spans="1:17" outlineLevel="2" x14ac:dyDescent="0.3">
      <c r="A1426" s="366" t="str">
        <f>IFERROR(VLOOKUP(RIGHT(E1426,3)+0,[1]SchLocTable!$A$2:$B$47,2,FALSE)," ")</f>
        <v>Marin</v>
      </c>
      <c r="B1426" s="366" t="str">
        <f>VLOOKUP(VALUE(D1426),$D$3:F$106,3,FALSE)</f>
        <v>Performing Arts</v>
      </c>
      <c r="C1426" t="s">
        <v>314</v>
      </c>
      <c r="D1426">
        <v>814</v>
      </c>
      <c r="E1426" t="s">
        <v>614</v>
      </c>
      <c r="F1426" t="s">
        <v>324</v>
      </c>
      <c r="G1426" t="s">
        <v>319</v>
      </c>
      <c r="H1426" s="502">
        <v>52385</v>
      </c>
      <c r="I1426" s="415">
        <v>4171.05</v>
      </c>
      <c r="J1426" s="415">
        <v>0</v>
      </c>
      <c r="K1426" s="415">
        <v>0</v>
      </c>
      <c r="L1426" s="415">
        <v>1968.5</v>
      </c>
      <c r="M1426" s="415">
        <v>496</v>
      </c>
      <c r="N1426" s="415">
        <v>0</v>
      </c>
      <c r="O1426" s="415">
        <v>0</v>
      </c>
      <c r="P1426" s="415">
        <v>0</v>
      </c>
      <c r="Q1426" s="481">
        <f t="shared" si="68"/>
        <v>-4171.05</v>
      </c>
    </row>
    <row r="1427" spans="1:17" outlineLevel="2" x14ac:dyDescent="0.3">
      <c r="A1427" s="366" t="str">
        <f>IFERROR(VLOOKUP(RIGHT(E1427,3)+0,[1]SchLocTable!$A$2:$B$47,2,FALSE)," ")</f>
        <v>Hallen</v>
      </c>
      <c r="B1427" s="366" t="str">
        <f>VLOOKUP(VALUE(D1427),$D$3:F$106,3,FALSE)</f>
        <v>Performing Arts</v>
      </c>
      <c r="C1427" t="s">
        <v>314</v>
      </c>
      <c r="D1427">
        <v>814</v>
      </c>
      <c r="E1427" t="s">
        <v>615</v>
      </c>
      <c r="F1427" t="s">
        <v>316</v>
      </c>
      <c r="G1427">
        <v>1</v>
      </c>
      <c r="H1427" s="502">
        <v>51000</v>
      </c>
      <c r="I1427" s="415">
        <v>100257.95892</v>
      </c>
      <c r="J1427" s="415">
        <v>0</v>
      </c>
      <c r="K1427" s="415">
        <v>0</v>
      </c>
      <c r="L1427" s="415">
        <v>0</v>
      </c>
      <c r="M1427" s="415">
        <v>84560.91</v>
      </c>
      <c r="N1427" s="415">
        <v>80557.05</v>
      </c>
      <c r="O1427" s="415">
        <v>87254.96</v>
      </c>
      <c r="P1427" s="415">
        <v>85881.12</v>
      </c>
      <c r="Q1427" s="481">
        <f t="shared" si="68"/>
        <v>-100257.95892</v>
      </c>
    </row>
    <row r="1428" spans="1:17" outlineLevel="2" x14ac:dyDescent="0.3">
      <c r="A1428" s="366" t="str">
        <f>IFERROR(VLOOKUP(RIGHT(E1428,3)+0,[1]SchLocTable!$A$2:$B$47,2,FALSE)," ")</f>
        <v>Hallen</v>
      </c>
      <c r="B1428" s="366" t="str">
        <f>VLOOKUP(VALUE(D1428),$D$3:F$106,3,FALSE)</f>
        <v>Performing Arts</v>
      </c>
      <c r="C1428" t="s">
        <v>314</v>
      </c>
      <c r="D1428">
        <v>814</v>
      </c>
      <c r="E1428" t="s">
        <v>615</v>
      </c>
      <c r="F1428" t="s">
        <v>320</v>
      </c>
      <c r="G1428" t="s">
        <v>319</v>
      </c>
      <c r="H1428" s="502">
        <v>52360</v>
      </c>
      <c r="I1428" s="415">
        <v>1453.7404043400002</v>
      </c>
      <c r="J1428" s="415">
        <v>0</v>
      </c>
      <c r="K1428" s="415">
        <v>0</v>
      </c>
      <c r="L1428" s="415">
        <v>0</v>
      </c>
      <c r="M1428" s="415">
        <v>1226.1400000000001</v>
      </c>
      <c r="N1428" s="415">
        <v>1168.08</v>
      </c>
      <c r="O1428" s="415">
        <v>1175.4000000000001</v>
      </c>
      <c r="P1428" s="415">
        <v>1161.77</v>
      </c>
      <c r="Q1428" s="481">
        <f t="shared" si="68"/>
        <v>-1453.7404043400002</v>
      </c>
    </row>
    <row r="1429" spans="1:17" outlineLevel="2" x14ac:dyDescent="0.3">
      <c r="A1429" s="366" t="str">
        <f>IFERROR(VLOOKUP(RIGHT(E1429,3)+0,[1]SchLocTable!$A$2:$B$47,2,FALSE)," ")</f>
        <v>Hooker</v>
      </c>
      <c r="B1429" s="366" t="str">
        <f>VLOOKUP(VALUE(D1429),$D$3:F$106,3,FALSE)</f>
        <v>Performing Arts</v>
      </c>
      <c r="C1429" t="s">
        <v>314</v>
      </c>
      <c r="D1429">
        <v>814</v>
      </c>
      <c r="E1429" t="s">
        <v>616</v>
      </c>
      <c r="F1429" t="s">
        <v>318</v>
      </c>
      <c r="G1429" t="s">
        <v>319</v>
      </c>
      <c r="H1429" s="502">
        <v>51140</v>
      </c>
      <c r="I1429" s="415">
        <v>0</v>
      </c>
      <c r="J1429" s="415">
        <v>0</v>
      </c>
      <c r="K1429" s="415">
        <v>0</v>
      </c>
      <c r="L1429" s="415">
        <v>1100</v>
      </c>
      <c r="M1429" s="415">
        <v>1100</v>
      </c>
      <c r="N1429" s="415">
        <v>0</v>
      </c>
      <c r="O1429" s="415">
        <v>0</v>
      </c>
      <c r="P1429" s="415">
        <v>0</v>
      </c>
      <c r="Q1429" s="481">
        <f t="shared" si="68"/>
        <v>0</v>
      </c>
    </row>
    <row r="1430" spans="1:17" outlineLevel="2" x14ac:dyDescent="0.3">
      <c r="A1430" s="366" t="str">
        <f>IFERROR(VLOOKUP(RIGHT(E1430,3)+0,[1]SchLocTable!$A$2:$B$47,2,FALSE)," ")</f>
        <v>Hooker</v>
      </c>
      <c r="B1430" s="366" t="str">
        <f>VLOOKUP(VALUE(D1430),$D$3:F$106,3,FALSE)</f>
        <v>Performing Arts</v>
      </c>
      <c r="C1430" t="s">
        <v>314</v>
      </c>
      <c r="D1430">
        <v>814</v>
      </c>
      <c r="E1430" t="s">
        <v>616</v>
      </c>
      <c r="F1430" t="s">
        <v>320</v>
      </c>
      <c r="G1430" t="s">
        <v>319</v>
      </c>
      <c r="H1430" s="502">
        <v>52360</v>
      </c>
      <c r="I1430" s="415">
        <v>0</v>
      </c>
      <c r="J1430" s="415">
        <v>0</v>
      </c>
      <c r="K1430" s="415">
        <v>0</v>
      </c>
      <c r="L1430" s="415">
        <v>15.95</v>
      </c>
      <c r="M1430" s="415">
        <v>0</v>
      </c>
      <c r="N1430" s="415">
        <v>0</v>
      </c>
      <c r="O1430" s="415">
        <v>0</v>
      </c>
      <c r="P1430" s="415">
        <v>0</v>
      </c>
      <c r="Q1430" s="481">
        <f t="shared" si="68"/>
        <v>0</v>
      </c>
    </row>
    <row r="1431" spans="1:17" outlineLevel="2" x14ac:dyDescent="0.3">
      <c r="A1431" s="366" t="str">
        <f>IFERROR(VLOOKUP(RIGHT(E1431,3)+0,[1]SchLocTable!$A$2:$B$47,2,FALSE)," ")</f>
        <v>Batalla</v>
      </c>
      <c r="B1431" s="366" t="str">
        <f>VLOOKUP(VALUE(D1431),$D$3:F$106,3,FALSE)</f>
        <v>Performing Arts</v>
      </c>
      <c r="C1431" t="s">
        <v>314</v>
      </c>
      <c r="D1431">
        <v>814</v>
      </c>
      <c r="E1431" t="s">
        <v>617</v>
      </c>
      <c r="F1431" t="s">
        <v>316</v>
      </c>
      <c r="G1431" t="s">
        <v>319</v>
      </c>
      <c r="H1431" s="502">
        <v>51000</v>
      </c>
      <c r="I1431" s="415">
        <v>0</v>
      </c>
      <c r="J1431" s="415">
        <v>0</v>
      </c>
      <c r="K1431" s="415">
        <v>11138.25</v>
      </c>
      <c r="L1431" s="415">
        <v>54993.120000000003</v>
      </c>
      <c r="M1431" s="415">
        <v>143920.32000000001</v>
      </c>
      <c r="N1431" s="415">
        <v>96587.88</v>
      </c>
      <c r="O1431" s="415">
        <v>108930.12</v>
      </c>
      <c r="P1431" s="415">
        <v>107213.86</v>
      </c>
      <c r="Q1431" s="481">
        <f t="shared" si="68"/>
        <v>0</v>
      </c>
    </row>
    <row r="1432" spans="1:17" outlineLevel="2" x14ac:dyDescent="0.3">
      <c r="A1432" s="366" t="str">
        <f>IFERROR(VLOOKUP(RIGHT(E1432,3)+0,[1]SchLocTable!$A$2:$B$47,2,FALSE)," ")</f>
        <v>Batalla</v>
      </c>
      <c r="B1432" s="366" t="str">
        <f>VLOOKUP(VALUE(D1432),$D$3:F$106,3,FALSE)</f>
        <v>Performing Arts</v>
      </c>
      <c r="C1432" t="s">
        <v>314</v>
      </c>
      <c r="D1432">
        <v>814</v>
      </c>
      <c r="E1432" t="s">
        <v>617</v>
      </c>
      <c r="F1432" t="s">
        <v>321</v>
      </c>
      <c r="G1432" t="s">
        <v>319</v>
      </c>
      <c r="H1432" s="502">
        <v>52917</v>
      </c>
      <c r="I1432" s="415">
        <v>0</v>
      </c>
      <c r="J1432" s="415">
        <v>0</v>
      </c>
      <c r="K1432" s="415">
        <v>0</v>
      </c>
      <c r="L1432" s="415">
        <v>0</v>
      </c>
      <c r="M1432" s="415">
        <v>11996.47</v>
      </c>
      <c r="N1432" s="415">
        <v>26021.29</v>
      </c>
      <c r="O1432" s="415">
        <v>29077.5</v>
      </c>
      <c r="P1432" s="415">
        <v>27385.05</v>
      </c>
      <c r="Q1432" s="481">
        <f t="shared" si="68"/>
        <v>0</v>
      </c>
    </row>
    <row r="1433" spans="1:17" outlineLevel="2" x14ac:dyDescent="0.3">
      <c r="A1433" s="366" t="str">
        <f>IFERROR(VLOOKUP(RIGHT(E1433,3)+0,[1]SchLocTable!$A$2:$B$47,2,FALSE)," ")</f>
        <v>Batalla</v>
      </c>
      <c r="B1433" s="366" t="str">
        <f>VLOOKUP(VALUE(D1433),$D$3:F$106,3,FALSE)</f>
        <v>Performing Arts</v>
      </c>
      <c r="C1433" t="s">
        <v>314</v>
      </c>
      <c r="D1433">
        <v>814</v>
      </c>
      <c r="E1433" t="s">
        <v>617</v>
      </c>
      <c r="F1433" t="s">
        <v>320</v>
      </c>
      <c r="G1433" t="s">
        <v>319</v>
      </c>
      <c r="H1433" s="502">
        <v>52360</v>
      </c>
      <c r="I1433" s="415">
        <v>0</v>
      </c>
      <c r="J1433" s="415">
        <v>0</v>
      </c>
      <c r="K1433" s="415">
        <v>161.5</v>
      </c>
      <c r="L1433" s="415">
        <v>797.4</v>
      </c>
      <c r="M1433" s="415">
        <v>2040.03</v>
      </c>
      <c r="N1433" s="415">
        <v>1298.8</v>
      </c>
      <c r="O1433" s="415">
        <v>1469.05</v>
      </c>
      <c r="P1433" s="415">
        <v>1452.07</v>
      </c>
      <c r="Q1433" s="481">
        <f t="shared" si="68"/>
        <v>0</v>
      </c>
    </row>
    <row r="1434" spans="1:17" outlineLevel="2" x14ac:dyDescent="0.3">
      <c r="A1434" s="366" t="str">
        <f>IFERROR(VLOOKUP(RIGHT(E1434,3)+0,[1]SchLocTable!$A$2:$B$47,2,FALSE)," ")</f>
        <v>Batalla</v>
      </c>
      <c r="B1434" s="366" t="str">
        <f>VLOOKUP(VALUE(D1434),$D$3:F$106,3,FALSE)</f>
        <v>Performing Arts</v>
      </c>
      <c r="C1434" t="s">
        <v>314</v>
      </c>
      <c r="D1434">
        <v>814</v>
      </c>
      <c r="E1434" t="s">
        <v>617</v>
      </c>
      <c r="F1434" t="s">
        <v>324</v>
      </c>
      <c r="G1434" t="s">
        <v>319</v>
      </c>
      <c r="H1434" s="502">
        <v>52385</v>
      </c>
      <c r="I1434" s="415">
        <v>0</v>
      </c>
      <c r="J1434" s="415">
        <v>0</v>
      </c>
      <c r="K1434" s="415">
        <v>0</v>
      </c>
      <c r="L1434" s="415">
        <v>0</v>
      </c>
      <c r="M1434" s="415">
        <v>155</v>
      </c>
      <c r="N1434" s="415">
        <v>0</v>
      </c>
      <c r="O1434" s="415">
        <v>0</v>
      </c>
      <c r="P1434" s="415">
        <v>0</v>
      </c>
      <c r="Q1434" s="481">
        <f t="shared" si="68"/>
        <v>0</v>
      </c>
    </row>
    <row r="1435" spans="1:17" outlineLevel="2" x14ac:dyDescent="0.3">
      <c r="A1435" s="366" t="str">
        <f>IFERROR(VLOOKUP(RIGHT(E1435,3)+0,[1]SchLocTable!$A$2:$B$47,2,FALSE)," ")</f>
        <v>Park City Magnet</v>
      </c>
      <c r="B1435" s="366" t="str">
        <f>VLOOKUP(VALUE(D1435),$D$3:F$106,3,FALSE)</f>
        <v>Performing Arts</v>
      </c>
      <c r="C1435" t="s">
        <v>314</v>
      </c>
      <c r="D1435">
        <v>814</v>
      </c>
      <c r="E1435" t="s">
        <v>618</v>
      </c>
      <c r="F1435" t="s">
        <v>316</v>
      </c>
      <c r="G1435" t="s">
        <v>319</v>
      </c>
      <c r="H1435" s="502">
        <v>51000</v>
      </c>
      <c r="I1435" s="415">
        <v>0</v>
      </c>
      <c r="J1435" s="415">
        <v>0</v>
      </c>
      <c r="K1435" s="415">
        <v>0</v>
      </c>
      <c r="L1435" s="415">
        <v>100497.02</v>
      </c>
      <c r="M1435" s="415">
        <v>99011.9</v>
      </c>
      <c r="N1435" s="415">
        <v>97548.88</v>
      </c>
      <c r="O1435" s="415">
        <v>96106.92</v>
      </c>
      <c r="P1435" s="415">
        <v>94593.98</v>
      </c>
      <c r="Q1435" s="481">
        <f t="shared" si="68"/>
        <v>0</v>
      </c>
    </row>
    <row r="1436" spans="1:17" outlineLevel="2" x14ac:dyDescent="0.3">
      <c r="A1436" s="366" t="str">
        <f>IFERROR(VLOOKUP(RIGHT(E1436,3)+0,[1]SchLocTable!$A$2:$B$47,2,FALSE)," ")</f>
        <v>Park City Magnet</v>
      </c>
      <c r="B1436" s="366" t="str">
        <f>VLOOKUP(VALUE(D1436),$D$3:F$106,3,FALSE)</f>
        <v>Performing Arts</v>
      </c>
      <c r="C1436" t="s">
        <v>314</v>
      </c>
      <c r="D1436">
        <v>814</v>
      </c>
      <c r="E1436" t="s">
        <v>618</v>
      </c>
      <c r="F1436" t="s">
        <v>321</v>
      </c>
      <c r="G1436" t="s">
        <v>319</v>
      </c>
      <c r="H1436" s="502">
        <v>52917</v>
      </c>
      <c r="I1436" s="415">
        <v>0</v>
      </c>
      <c r="J1436" s="415">
        <v>0</v>
      </c>
      <c r="K1436" s="415">
        <v>0</v>
      </c>
      <c r="L1436" s="415">
        <v>1439.13</v>
      </c>
      <c r="M1436" s="415">
        <v>1284.3599999999999</v>
      </c>
      <c r="N1436" s="415">
        <v>1439.13</v>
      </c>
      <c r="O1436" s="415">
        <v>1271.97</v>
      </c>
      <c r="P1436" s="415">
        <v>1344.42</v>
      </c>
      <c r="Q1436" s="481">
        <f t="shared" si="68"/>
        <v>0</v>
      </c>
    </row>
    <row r="1437" spans="1:17" outlineLevel="2" x14ac:dyDescent="0.3">
      <c r="A1437" s="366" t="str">
        <f>IFERROR(VLOOKUP(RIGHT(E1437,3)+0,[1]SchLocTable!$A$2:$B$47,2,FALSE)," ")</f>
        <v>Park City Magnet</v>
      </c>
      <c r="B1437" s="366" t="str">
        <f>VLOOKUP(VALUE(D1437),$D$3:F$106,3,FALSE)</f>
        <v>Performing Arts</v>
      </c>
      <c r="C1437" t="s">
        <v>314</v>
      </c>
      <c r="D1437">
        <v>814</v>
      </c>
      <c r="E1437" t="s">
        <v>618</v>
      </c>
      <c r="F1437" t="s">
        <v>318</v>
      </c>
      <c r="G1437" t="s">
        <v>319</v>
      </c>
      <c r="H1437" s="502">
        <v>51140</v>
      </c>
      <c r="I1437" s="415">
        <v>0</v>
      </c>
      <c r="J1437" s="415">
        <v>0</v>
      </c>
      <c r="K1437" s="415">
        <v>0</v>
      </c>
      <c r="L1437" s="415">
        <v>2600</v>
      </c>
      <c r="M1437" s="415">
        <v>1300</v>
      </c>
      <c r="N1437" s="415">
        <v>1300</v>
      </c>
      <c r="O1437" s="415">
        <v>1300</v>
      </c>
      <c r="P1437" s="415">
        <v>1300</v>
      </c>
      <c r="Q1437" s="481">
        <f t="shared" si="68"/>
        <v>0</v>
      </c>
    </row>
    <row r="1438" spans="1:17" outlineLevel="2" x14ac:dyDescent="0.3">
      <c r="A1438" s="366" t="str">
        <f>IFERROR(VLOOKUP(RIGHT(E1438,3)+0,[1]SchLocTable!$A$2:$B$47,2,FALSE)," ")</f>
        <v>Park City Magnet</v>
      </c>
      <c r="B1438" s="366" t="str">
        <f>VLOOKUP(VALUE(D1438),$D$3:F$106,3,FALSE)</f>
        <v>Performing Arts</v>
      </c>
      <c r="C1438" t="s">
        <v>314</v>
      </c>
      <c r="D1438">
        <v>814</v>
      </c>
      <c r="E1438" t="s">
        <v>618</v>
      </c>
      <c r="F1438" t="s">
        <v>320</v>
      </c>
      <c r="G1438" t="s">
        <v>319</v>
      </c>
      <c r="H1438" s="502">
        <v>52360</v>
      </c>
      <c r="I1438" s="415">
        <v>0</v>
      </c>
      <c r="J1438" s="415">
        <v>0</v>
      </c>
      <c r="K1438" s="415">
        <v>0</v>
      </c>
      <c r="L1438" s="415">
        <v>1656.17</v>
      </c>
      <c r="M1438" s="415">
        <v>1451.24</v>
      </c>
      <c r="N1438" s="415">
        <v>1429.62</v>
      </c>
      <c r="O1438" s="415">
        <v>1409.14</v>
      </c>
      <c r="P1438" s="415">
        <v>1388.3</v>
      </c>
      <c r="Q1438" s="481">
        <f t="shared" si="68"/>
        <v>0</v>
      </c>
    </row>
    <row r="1439" spans="1:17" outlineLevel="1" x14ac:dyDescent="0.3">
      <c r="A1439" s="366" t="str">
        <f>IFERROR(VLOOKUP(RIGHT(E1439,3)+0,[1]SchLocTable!$A$2:$B$47,2,FALSE)," ")</f>
        <v>Park City Magnet</v>
      </c>
      <c r="B1439" s="366" t="str">
        <f>VLOOKUP(VALUE(D1439),$D$3:F$106,3,FALSE)</f>
        <v>Performing Arts</v>
      </c>
      <c r="C1439" t="s">
        <v>314</v>
      </c>
      <c r="D1439">
        <v>814</v>
      </c>
      <c r="E1439" t="s">
        <v>618</v>
      </c>
      <c r="F1439" t="s">
        <v>329</v>
      </c>
      <c r="G1439" t="s">
        <v>319</v>
      </c>
      <c r="H1439" s="502">
        <v>51154</v>
      </c>
      <c r="I1439" s="415">
        <v>0</v>
      </c>
      <c r="J1439" s="415">
        <v>0</v>
      </c>
      <c r="K1439" s="415">
        <v>0</v>
      </c>
      <c r="L1439" s="415">
        <v>11375</v>
      </c>
      <c r="M1439" s="415">
        <v>0</v>
      </c>
      <c r="N1439" s="415">
        <v>0</v>
      </c>
      <c r="O1439" s="415">
        <v>0</v>
      </c>
      <c r="P1439" s="415">
        <v>0</v>
      </c>
      <c r="Q1439" s="481">
        <f t="shared" si="68"/>
        <v>0</v>
      </c>
    </row>
    <row r="1440" spans="1:17" outlineLevel="2" x14ac:dyDescent="0.3">
      <c r="A1440" s="366" t="str">
        <f>IFERROR(VLOOKUP(RIGHT(E1440,3)+0,[1]SchLocTable!$A$2:$B$47,2,FALSE)," ")</f>
        <v>Madison</v>
      </c>
      <c r="B1440" s="366" t="str">
        <f>VLOOKUP(VALUE(D1440),$D$3:F$106,3,FALSE)</f>
        <v>Performing Arts</v>
      </c>
      <c r="C1440" t="s">
        <v>314</v>
      </c>
      <c r="D1440">
        <v>814</v>
      </c>
      <c r="E1440" t="s">
        <v>619</v>
      </c>
      <c r="F1440" t="s">
        <v>316</v>
      </c>
      <c r="G1440">
        <v>2</v>
      </c>
      <c r="H1440" s="502">
        <v>51000</v>
      </c>
      <c r="I1440" s="415">
        <v>64054.235489999992</v>
      </c>
      <c r="J1440" s="415">
        <v>60946</v>
      </c>
      <c r="K1440" s="415">
        <v>57427.42</v>
      </c>
      <c r="L1440" s="415">
        <v>11346.44</v>
      </c>
      <c r="M1440" s="415">
        <v>99011.9</v>
      </c>
      <c r="N1440" s="415">
        <v>97548.88</v>
      </c>
      <c r="O1440" s="415">
        <v>96106.92</v>
      </c>
      <c r="P1440" s="415">
        <v>94593.98</v>
      </c>
      <c r="Q1440" s="481">
        <f t="shared" si="68"/>
        <v>-3108.2354899999918</v>
      </c>
    </row>
    <row r="1441" spans="1:17" outlineLevel="2" x14ac:dyDescent="0.3">
      <c r="A1441" s="366" t="str">
        <f>IFERROR(VLOOKUP(RIGHT(E1441,3)+0,[1]SchLocTable!$A$2:$B$47,2,FALSE)," ")</f>
        <v>Madison</v>
      </c>
      <c r="B1441" s="366" t="str">
        <f>VLOOKUP(VALUE(D1441),$D$3:F$106,3,FALSE)</f>
        <v>Performing Arts</v>
      </c>
      <c r="C1441" t="s">
        <v>314</v>
      </c>
      <c r="D1441">
        <v>814</v>
      </c>
      <c r="E1441" t="s">
        <v>619</v>
      </c>
      <c r="F1441" t="s">
        <v>321</v>
      </c>
      <c r="G1441" t="s">
        <v>319</v>
      </c>
      <c r="H1441" s="502">
        <v>52917</v>
      </c>
      <c r="I1441" s="415">
        <v>0</v>
      </c>
      <c r="J1441" s="415">
        <v>0</v>
      </c>
      <c r="K1441" s="415">
        <v>0</v>
      </c>
      <c r="L1441" s="415">
        <v>4943.8500000000004</v>
      </c>
      <c r="M1441" s="415">
        <v>32449.200000000001</v>
      </c>
      <c r="N1441" s="415">
        <v>30308.67</v>
      </c>
      <c r="O1441" s="415">
        <v>29077.5</v>
      </c>
      <c r="P1441" s="415">
        <v>27385.05</v>
      </c>
      <c r="Q1441" s="481">
        <f t="shared" si="68"/>
        <v>0</v>
      </c>
    </row>
    <row r="1442" spans="1:17" outlineLevel="2" x14ac:dyDescent="0.3">
      <c r="A1442" s="366" t="str">
        <f>IFERROR(VLOOKUP(RIGHT(E1442,3)+0,[1]SchLocTable!$A$2:$B$47,2,FALSE)," ")</f>
        <v>Madison</v>
      </c>
      <c r="B1442" s="366" t="str">
        <f>VLOOKUP(VALUE(D1442),$D$3:F$106,3,FALSE)</f>
        <v>Performing Arts</v>
      </c>
      <c r="C1442" t="s">
        <v>314</v>
      </c>
      <c r="D1442">
        <v>814</v>
      </c>
      <c r="E1442" t="s">
        <v>619</v>
      </c>
      <c r="F1442" t="s">
        <v>320</v>
      </c>
      <c r="G1442" t="s">
        <v>319</v>
      </c>
      <c r="H1442" s="502">
        <v>52360</v>
      </c>
      <c r="I1442" s="415">
        <v>928.78641460499989</v>
      </c>
      <c r="J1442" s="415">
        <v>884</v>
      </c>
      <c r="K1442" s="415">
        <v>832.7</v>
      </c>
      <c r="L1442" s="415">
        <v>144.05000000000001</v>
      </c>
      <c r="M1442" s="415">
        <v>1304.93</v>
      </c>
      <c r="N1442" s="415">
        <v>1296.1199999999999</v>
      </c>
      <c r="O1442" s="415">
        <v>1283.1199999999999</v>
      </c>
      <c r="P1442" s="415">
        <v>1269.08</v>
      </c>
      <c r="Q1442" s="481">
        <f t="shared" si="68"/>
        <v>-44.786414604999891</v>
      </c>
    </row>
    <row r="1443" spans="1:17" outlineLevel="2" x14ac:dyDescent="0.3">
      <c r="A1443" s="366" t="str">
        <f>IFERROR(VLOOKUP(RIGHT(E1443,3)+0,[1]SchLocTable!$A$2:$B$47,2,FALSE)," ")</f>
        <v>Madison</v>
      </c>
      <c r="B1443" s="366" t="str">
        <f>VLOOKUP(VALUE(D1443),$D$3:F$106,3,FALSE)</f>
        <v>Performing Arts</v>
      </c>
      <c r="C1443" t="s">
        <v>314</v>
      </c>
      <c r="D1443">
        <v>814</v>
      </c>
      <c r="E1443" t="s">
        <v>619</v>
      </c>
      <c r="F1443" t="s">
        <v>324</v>
      </c>
      <c r="G1443" t="s">
        <v>319</v>
      </c>
      <c r="H1443" s="502">
        <v>52385</v>
      </c>
      <c r="I1443" s="415">
        <v>0</v>
      </c>
      <c r="J1443" s="415">
        <v>0</v>
      </c>
      <c r="K1443" s="415">
        <v>248</v>
      </c>
      <c r="L1443" s="415">
        <v>0</v>
      </c>
      <c r="M1443" s="415">
        <v>0</v>
      </c>
      <c r="N1443" s="415">
        <v>0</v>
      </c>
      <c r="O1443" s="415">
        <v>0</v>
      </c>
      <c r="P1443" s="415">
        <v>0</v>
      </c>
      <c r="Q1443" s="481">
        <f t="shared" si="68"/>
        <v>0</v>
      </c>
    </row>
    <row r="1444" spans="1:17" outlineLevel="2" x14ac:dyDescent="0.3">
      <c r="A1444" s="366" t="str">
        <f>IFERROR(VLOOKUP(RIGHT(E1444,3)+0,[1]SchLocTable!$A$2:$B$47,2,FALSE)," ")</f>
        <v>Classical Studies Academy</v>
      </c>
      <c r="B1444" s="366" t="str">
        <f>VLOOKUP(VALUE(D1444),$D$3:F$106,3,FALSE)</f>
        <v>Performing Arts</v>
      </c>
      <c r="C1444" t="s">
        <v>314</v>
      </c>
      <c r="D1444">
        <v>814</v>
      </c>
      <c r="E1444" t="s">
        <v>620</v>
      </c>
      <c r="F1444" t="s">
        <v>316</v>
      </c>
      <c r="G1444">
        <v>1</v>
      </c>
      <c r="H1444" s="502">
        <v>51000</v>
      </c>
      <c r="I1444" s="415">
        <v>110428.49642999998</v>
      </c>
      <c r="J1444" s="415">
        <v>0</v>
      </c>
      <c r="K1444" s="415">
        <v>8167.93</v>
      </c>
      <c r="L1444" s="415">
        <v>52042.12</v>
      </c>
      <c r="M1444" s="415">
        <v>50320.92</v>
      </c>
      <c r="N1444" s="415">
        <v>48817.02</v>
      </c>
      <c r="O1444" s="415">
        <v>46880.08</v>
      </c>
      <c r="P1444" s="415">
        <v>46141.94</v>
      </c>
      <c r="Q1444" s="481">
        <f t="shared" si="68"/>
        <v>-110428.49642999998</v>
      </c>
    </row>
    <row r="1445" spans="1:17" outlineLevel="1" x14ac:dyDescent="0.3">
      <c r="A1445" s="366" t="str">
        <f>IFERROR(VLOOKUP(RIGHT(E1445,3)+0,[1]SchLocTable!$A$2:$B$47,2,FALSE)," ")</f>
        <v>Classical Studies Academy</v>
      </c>
      <c r="B1445" s="366" t="str">
        <f>VLOOKUP(VALUE(D1445),$D$3:F$106,3,FALSE)</f>
        <v>Performing Arts</v>
      </c>
      <c r="C1445" t="s">
        <v>314</v>
      </c>
      <c r="D1445">
        <v>814</v>
      </c>
      <c r="E1445" t="s">
        <v>620</v>
      </c>
      <c r="F1445" t="s">
        <v>321</v>
      </c>
      <c r="G1445" t="s">
        <v>319</v>
      </c>
      <c r="H1445" s="502">
        <v>52917</v>
      </c>
      <c r="I1445" s="415">
        <v>15644.663999999999</v>
      </c>
      <c r="J1445" s="415">
        <v>0</v>
      </c>
      <c r="K1445" s="415">
        <v>0</v>
      </c>
      <c r="L1445" s="415">
        <v>28076.37</v>
      </c>
      <c r="M1445" s="415">
        <v>26335.47</v>
      </c>
      <c r="N1445" s="415">
        <v>24562.23</v>
      </c>
      <c r="O1445" s="415">
        <v>23581.07</v>
      </c>
      <c r="P1445" s="415">
        <v>8797.5300000000007</v>
      </c>
      <c r="Q1445" s="481">
        <f t="shared" si="68"/>
        <v>-15644.663999999999</v>
      </c>
    </row>
    <row r="1446" spans="1:17" outlineLevel="2" x14ac:dyDescent="0.3">
      <c r="A1446" s="366" t="str">
        <f>IFERROR(VLOOKUP(RIGHT(E1446,3)+0,[1]SchLocTable!$A$2:$B$47,2,FALSE)," ")</f>
        <v>Classical Studies Academy</v>
      </c>
      <c r="B1446" s="366" t="str">
        <f>VLOOKUP(VALUE(D1446),$D$3:F$106,3,FALSE)</f>
        <v>Performing Arts</v>
      </c>
      <c r="C1446" t="s">
        <v>314</v>
      </c>
      <c r="D1446">
        <v>814</v>
      </c>
      <c r="E1446" t="s">
        <v>620</v>
      </c>
      <c r="F1446" t="s">
        <v>320</v>
      </c>
      <c r="G1446" t="s">
        <v>319</v>
      </c>
      <c r="H1446" s="502">
        <v>52360</v>
      </c>
      <c r="I1446" s="415">
        <v>1601.2131982349999</v>
      </c>
      <c r="J1446" s="415">
        <v>0</v>
      </c>
      <c r="K1446" s="415">
        <v>118.44</v>
      </c>
      <c r="L1446" s="415">
        <v>641.63</v>
      </c>
      <c r="M1446" s="415">
        <v>606.58000000000004</v>
      </c>
      <c r="N1446" s="415">
        <v>611.66</v>
      </c>
      <c r="O1446" s="415">
        <v>589.97</v>
      </c>
      <c r="P1446" s="415">
        <v>639.04999999999995</v>
      </c>
      <c r="Q1446" s="481">
        <f t="shared" si="68"/>
        <v>-1601.2131982349999</v>
      </c>
    </row>
    <row r="1447" spans="1:17" outlineLevel="2" x14ac:dyDescent="0.3">
      <c r="A1447" s="366" t="str">
        <f>IFERROR(VLOOKUP(RIGHT(E1447,3)+0,[1]SchLocTable!$A$2:$B$47,2,FALSE)," ")</f>
        <v>Classical Studies Academy</v>
      </c>
      <c r="B1447" s="366" t="str">
        <f>VLOOKUP(VALUE(D1447),$D$3:F$106,3,FALSE)</f>
        <v>Performing Arts</v>
      </c>
      <c r="C1447" t="s">
        <v>314</v>
      </c>
      <c r="D1447">
        <v>814</v>
      </c>
      <c r="E1447" t="s">
        <v>620</v>
      </c>
      <c r="F1447" t="s">
        <v>560</v>
      </c>
      <c r="G1447" t="s">
        <v>319</v>
      </c>
      <c r="H1447" s="502">
        <v>51404</v>
      </c>
      <c r="I1447" s="415">
        <v>0</v>
      </c>
      <c r="J1447" s="415">
        <v>0</v>
      </c>
      <c r="K1447" s="415">
        <v>0</v>
      </c>
      <c r="L1447" s="415">
        <v>250</v>
      </c>
      <c r="M1447" s="415">
        <v>50</v>
      </c>
      <c r="N1447" s="415">
        <v>0</v>
      </c>
      <c r="O1447" s="415">
        <v>0</v>
      </c>
      <c r="P1447" s="415">
        <v>0</v>
      </c>
      <c r="Q1447" s="481">
        <f t="shared" si="68"/>
        <v>0</v>
      </c>
    </row>
    <row r="1448" spans="1:17" outlineLevel="2" x14ac:dyDescent="0.3">
      <c r="A1448" s="366" t="str">
        <f>IFERROR(VLOOKUP(RIGHT(E1448,3)+0,[1]SchLocTable!$A$2:$B$47,2,FALSE)," ")</f>
        <v>Tisdale</v>
      </c>
      <c r="B1448" s="366" t="str">
        <f>VLOOKUP(VALUE(D1448),$D$3:F$106,3,FALSE)</f>
        <v>Performing Arts</v>
      </c>
      <c r="C1448" t="s">
        <v>314</v>
      </c>
      <c r="D1448">
        <v>814</v>
      </c>
      <c r="E1448" t="s">
        <v>621</v>
      </c>
      <c r="F1448" t="s">
        <v>316</v>
      </c>
      <c r="G1448" t="s">
        <v>319</v>
      </c>
      <c r="H1448" s="502">
        <v>51000</v>
      </c>
      <c r="I1448" s="415">
        <v>80000</v>
      </c>
      <c r="J1448" s="415">
        <v>0</v>
      </c>
      <c r="K1448" s="415">
        <v>0</v>
      </c>
      <c r="L1448" s="415">
        <v>54993</v>
      </c>
      <c r="M1448" s="415">
        <v>33910.22</v>
      </c>
      <c r="N1448" s="415">
        <v>129058.82</v>
      </c>
      <c r="O1448" s="415">
        <v>63339.12</v>
      </c>
      <c r="P1448" s="415">
        <v>62340.98</v>
      </c>
      <c r="Q1448" s="481">
        <f t="shared" si="68"/>
        <v>-80000</v>
      </c>
    </row>
    <row r="1449" spans="1:17" outlineLevel="2" x14ac:dyDescent="0.3">
      <c r="A1449" s="366" t="str">
        <f>IFERROR(VLOOKUP(RIGHT(E1449,3)+0,[1]SchLocTable!$A$2:$B$47,2,FALSE)," ")</f>
        <v>Tisdale</v>
      </c>
      <c r="B1449" s="366" t="str">
        <f>VLOOKUP(VALUE(D1449),$D$3:F$106,3,FALSE)</f>
        <v>Performing Arts</v>
      </c>
      <c r="C1449" t="s">
        <v>314</v>
      </c>
      <c r="D1449">
        <v>814</v>
      </c>
      <c r="E1449" t="s">
        <v>621</v>
      </c>
      <c r="F1449" t="s">
        <v>321</v>
      </c>
      <c r="G1449" t="s">
        <v>319</v>
      </c>
      <c r="H1449" s="502">
        <v>52917</v>
      </c>
      <c r="I1449" s="415">
        <v>32400</v>
      </c>
      <c r="J1449" s="415">
        <v>0</v>
      </c>
      <c r="K1449" s="415">
        <v>0</v>
      </c>
      <c r="L1449" s="415">
        <v>0</v>
      </c>
      <c r="M1449" s="415">
        <v>6780.15</v>
      </c>
      <c r="N1449" s="415">
        <v>40485.9</v>
      </c>
      <c r="O1449" s="415">
        <v>29175.55</v>
      </c>
      <c r="P1449" s="415">
        <v>25157.01</v>
      </c>
      <c r="Q1449" s="481">
        <f t="shared" si="68"/>
        <v>-32400</v>
      </c>
    </row>
    <row r="1450" spans="1:17" outlineLevel="2" x14ac:dyDescent="0.3">
      <c r="A1450" s="366" t="str">
        <f>IFERROR(VLOOKUP(RIGHT(E1450,3)+0,[1]SchLocTable!$A$2:$B$47,2,FALSE)," ")</f>
        <v>Tisdale</v>
      </c>
      <c r="B1450" s="366" t="str">
        <f>VLOOKUP(VALUE(D1450),$D$3:F$106,3,FALSE)</f>
        <v>Performing Arts</v>
      </c>
      <c r="C1450" t="s">
        <v>314</v>
      </c>
      <c r="D1450">
        <v>814</v>
      </c>
      <c r="E1450" t="s">
        <v>621</v>
      </c>
      <c r="F1450" t="s">
        <v>320</v>
      </c>
      <c r="G1450" t="s">
        <v>319</v>
      </c>
      <c r="H1450" s="502">
        <v>52360</v>
      </c>
      <c r="I1450" s="415">
        <v>1160</v>
      </c>
      <c r="J1450" s="415">
        <v>0</v>
      </c>
      <c r="K1450" s="415">
        <v>0</v>
      </c>
      <c r="L1450" s="415">
        <v>797.4</v>
      </c>
      <c r="M1450" s="415">
        <v>455.67</v>
      </c>
      <c r="N1450" s="415">
        <v>1713.2</v>
      </c>
      <c r="O1450" s="415">
        <v>807.99</v>
      </c>
      <c r="P1450" s="415">
        <v>813.19</v>
      </c>
      <c r="Q1450" s="481">
        <f t="shared" si="68"/>
        <v>-1160</v>
      </c>
    </row>
    <row r="1451" spans="1:17" outlineLevel="2" x14ac:dyDescent="0.3">
      <c r="A1451" s="366" t="str">
        <f>IFERROR(VLOOKUP(RIGHT(E1451,3)+0,[1]SchLocTable!$A$2:$B$47,2,FALSE)," ")</f>
        <v>Tisdale</v>
      </c>
      <c r="B1451" s="366" t="str">
        <f>VLOOKUP(VALUE(D1451),$D$3:F$106,3,FALSE)</f>
        <v>Performing Arts</v>
      </c>
      <c r="C1451" t="s">
        <v>314</v>
      </c>
      <c r="D1451">
        <v>814</v>
      </c>
      <c r="E1451" t="s">
        <v>621</v>
      </c>
      <c r="F1451" t="s">
        <v>324</v>
      </c>
      <c r="G1451" t="s">
        <v>319</v>
      </c>
      <c r="H1451" s="502">
        <v>52385</v>
      </c>
      <c r="I1451" s="415">
        <v>0</v>
      </c>
      <c r="J1451" s="415">
        <v>0</v>
      </c>
      <c r="K1451" s="415">
        <v>0</v>
      </c>
      <c r="L1451" s="415">
        <v>155</v>
      </c>
      <c r="M1451" s="415">
        <v>93</v>
      </c>
      <c r="N1451" s="415">
        <v>0</v>
      </c>
      <c r="O1451" s="415">
        <v>0</v>
      </c>
      <c r="P1451" s="415">
        <v>0</v>
      </c>
      <c r="Q1451" s="481">
        <f t="shared" si="68"/>
        <v>0</v>
      </c>
    </row>
    <row r="1452" spans="1:17" outlineLevel="2" x14ac:dyDescent="0.3">
      <c r="A1452" s="366" t="str">
        <f>IFERROR(VLOOKUP(RIGHT(E1452,3)+0,[1]SchLocTable!$A$2:$B$47,2,FALSE)," ")</f>
        <v>Read</v>
      </c>
      <c r="B1452" s="366" t="str">
        <f>VLOOKUP(VALUE(D1452),$D$3:F$106,3,FALSE)</f>
        <v>Performing Arts</v>
      </c>
      <c r="C1452" t="s">
        <v>314</v>
      </c>
      <c r="D1452">
        <v>814</v>
      </c>
      <c r="E1452" t="s">
        <v>622</v>
      </c>
      <c r="F1452" t="s">
        <v>316</v>
      </c>
      <c r="G1452">
        <v>3</v>
      </c>
      <c r="H1452" s="502">
        <v>51000</v>
      </c>
      <c r="I1452" s="415">
        <v>248218.89055000001</v>
      </c>
      <c r="J1452" s="415">
        <v>83938</v>
      </c>
      <c r="K1452" s="415">
        <v>77802.06</v>
      </c>
      <c r="L1452" s="415">
        <v>78002.94</v>
      </c>
      <c r="M1452" s="415">
        <v>117185.43</v>
      </c>
      <c r="N1452" s="415">
        <v>57346.12</v>
      </c>
      <c r="O1452" s="415">
        <v>73533.119999999995</v>
      </c>
      <c r="P1452" s="415">
        <v>93846.65</v>
      </c>
      <c r="Q1452" s="481">
        <f t="shared" si="68"/>
        <v>-164280.89055000001</v>
      </c>
    </row>
    <row r="1453" spans="1:17" outlineLevel="2" x14ac:dyDescent="0.3">
      <c r="A1453" s="366" t="str">
        <f>IFERROR(VLOOKUP(RIGHT(E1453,3)+0,[1]SchLocTable!$A$2:$B$47,2,FALSE)," ")</f>
        <v>Read</v>
      </c>
      <c r="B1453" s="366" t="str">
        <f>VLOOKUP(VALUE(D1453),$D$3:F$106,3,FALSE)</f>
        <v>Performing Arts</v>
      </c>
      <c r="C1453" t="s">
        <v>314</v>
      </c>
      <c r="D1453">
        <v>814</v>
      </c>
      <c r="E1453" t="s">
        <v>622</v>
      </c>
      <c r="F1453" t="s">
        <v>321</v>
      </c>
      <c r="G1453" t="s">
        <v>319</v>
      </c>
      <c r="H1453" s="502">
        <v>52917</v>
      </c>
      <c r="I1453" s="415">
        <v>80444.66399999999</v>
      </c>
      <c r="J1453" s="415">
        <v>12979</v>
      </c>
      <c r="K1453" s="415">
        <v>11844</v>
      </c>
      <c r="L1453" s="415">
        <v>12797.66</v>
      </c>
      <c r="M1453" s="415">
        <v>20915.02</v>
      </c>
      <c r="N1453" s="415">
        <v>10177.23</v>
      </c>
      <c r="O1453" s="415">
        <v>15484.56</v>
      </c>
      <c r="P1453" s="415">
        <v>27385.05</v>
      </c>
      <c r="Q1453" s="481">
        <f t="shared" si="68"/>
        <v>-67465.66399999999</v>
      </c>
    </row>
    <row r="1454" spans="1:17" outlineLevel="2" x14ac:dyDescent="0.3">
      <c r="A1454" s="366" t="str">
        <f>IFERROR(VLOOKUP(RIGHT(E1454,3)+0,[1]SchLocTable!$A$2:$B$47,2,FALSE)," ")</f>
        <v>Read</v>
      </c>
      <c r="B1454" s="366" t="str">
        <f>VLOOKUP(VALUE(D1454),$D$3:F$106,3,FALSE)</f>
        <v>Performing Arts</v>
      </c>
      <c r="C1454" t="s">
        <v>314</v>
      </c>
      <c r="D1454">
        <v>814</v>
      </c>
      <c r="E1454" t="s">
        <v>622</v>
      </c>
      <c r="F1454" t="s">
        <v>320</v>
      </c>
      <c r="G1454" t="s">
        <v>319</v>
      </c>
      <c r="H1454" s="502">
        <v>52360</v>
      </c>
      <c r="I1454" s="415">
        <v>3599.1739129750003</v>
      </c>
      <c r="J1454" s="415">
        <v>1160</v>
      </c>
      <c r="K1454" s="415">
        <v>1074</v>
      </c>
      <c r="L1454" s="415">
        <v>1064.83</v>
      </c>
      <c r="M1454" s="415">
        <v>1605.57</v>
      </c>
      <c r="N1454" s="415">
        <v>791.7</v>
      </c>
      <c r="O1454" s="415">
        <v>1007.41</v>
      </c>
      <c r="P1454" s="415">
        <v>1258.24</v>
      </c>
      <c r="Q1454" s="481">
        <f t="shared" si="68"/>
        <v>-2439.1739129750003</v>
      </c>
    </row>
    <row r="1455" spans="1:17" outlineLevel="2" x14ac:dyDescent="0.3">
      <c r="A1455" s="366" t="str">
        <f>IFERROR(VLOOKUP(RIGHT(E1455,3)+0,[1]SchLocTable!$A$2:$B$47,2,FALSE)," ")</f>
        <v>Read</v>
      </c>
      <c r="B1455" s="366" t="str">
        <f>VLOOKUP(VALUE(D1455),$D$3:F$106,3,FALSE)</f>
        <v>Performing Arts</v>
      </c>
      <c r="C1455" t="s">
        <v>314</v>
      </c>
      <c r="D1455">
        <v>814</v>
      </c>
      <c r="E1455" t="s">
        <v>622</v>
      </c>
      <c r="F1455" t="s">
        <v>324</v>
      </c>
      <c r="G1455" t="s">
        <v>319</v>
      </c>
      <c r="H1455" s="502">
        <v>52385</v>
      </c>
      <c r="I1455" s="415">
        <v>0</v>
      </c>
      <c r="J1455" s="415">
        <v>0</v>
      </c>
      <c r="K1455" s="415">
        <v>0</v>
      </c>
      <c r="L1455" s="415">
        <v>305.79000000000002</v>
      </c>
      <c r="M1455" s="415">
        <v>0</v>
      </c>
      <c r="N1455" s="415">
        <v>0</v>
      </c>
      <c r="O1455" s="415">
        <v>1057.42</v>
      </c>
      <c r="P1455" s="415">
        <v>0</v>
      </c>
      <c r="Q1455" s="481">
        <f t="shared" si="68"/>
        <v>0</v>
      </c>
    </row>
    <row r="1456" spans="1:17" outlineLevel="2" x14ac:dyDescent="0.3">
      <c r="A1456" s="366" t="str">
        <f>IFERROR(VLOOKUP(RIGHT(E1456,3)+0,[1]SchLocTable!$A$2:$B$47,2,FALSE)," ")</f>
        <v>Roosevelt</v>
      </c>
      <c r="B1456" s="366" t="str">
        <f>VLOOKUP(VALUE(D1456),$D$3:F$106,3,FALSE)</f>
        <v>Performing Arts</v>
      </c>
      <c r="C1456" t="s">
        <v>314</v>
      </c>
      <c r="D1456">
        <v>814</v>
      </c>
      <c r="E1456" t="s">
        <v>623</v>
      </c>
      <c r="F1456" t="s">
        <v>316</v>
      </c>
      <c r="G1456">
        <v>2</v>
      </c>
      <c r="H1456" s="502">
        <v>51000</v>
      </c>
      <c r="I1456" s="415">
        <v>129753.29648999998</v>
      </c>
      <c r="J1456" s="415">
        <v>54299</v>
      </c>
      <c r="K1456" s="415">
        <v>52561.95</v>
      </c>
      <c r="L1456" s="415">
        <v>50321.04</v>
      </c>
      <c r="M1456" s="415">
        <v>99011.9</v>
      </c>
      <c r="N1456" s="415">
        <v>97548.88</v>
      </c>
      <c r="O1456" s="415">
        <v>96106.92</v>
      </c>
      <c r="P1456" s="415">
        <v>94593.98</v>
      </c>
      <c r="Q1456" s="481">
        <f t="shared" si="68"/>
        <v>-75454.296489999979</v>
      </c>
    </row>
    <row r="1457" spans="1:17" outlineLevel="2" x14ac:dyDescent="0.3">
      <c r="A1457" s="366" t="str">
        <f>IFERROR(VLOOKUP(RIGHT(E1457,3)+0,[1]SchLocTable!$A$2:$B$47,2,FALSE)," ")</f>
        <v>Roosevelt</v>
      </c>
      <c r="B1457" s="366" t="str">
        <f>VLOOKUP(VALUE(D1457),$D$3:F$106,3,FALSE)</f>
        <v>Performing Arts</v>
      </c>
      <c r="C1457" t="s">
        <v>314</v>
      </c>
      <c r="D1457">
        <v>814</v>
      </c>
      <c r="E1457" t="s">
        <v>623</v>
      </c>
      <c r="F1457" t="s">
        <v>321</v>
      </c>
      <c r="G1457" t="s">
        <v>319</v>
      </c>
      <c r="H1457" s="502">
        <v>52917</v>
      </c>
      <c r="I1457" s="415">
        <v>16158.491999999998</v>
      </c>
      <c r="J1457" s="415">
        <v>428.19</v>
      </c>
      <c r="K1457" s="415">
        <v>271.95999999999998</v>
      </c>
      <c r="L1457" s="415">
        <v>0</v>
      </c>
      <c r="M1457" s="415">
        <v>32449.200000000001</v>
      </c>
      <c r="N1457" s="415">
        <v>30308.67</v>
      </c>
      <c r="O1457" s="415">
        <v>29077.5</v>
      </c>
      <c r="P1457" s="415">
        <v>27385.05</v>
      </c>
      <c r="Q1457" s="481">
        <f t="shared" si="68"/>
        <v>-15730.301999999998</v>
      </c>
    </row>
    <row r="1458" spans="1:17" outlineLevel="2" x14ac:dyDescent="0.3">
      <c r="A1458" s="366" t="str">
        <f>IFERROR(VLOOKUP(RIGHT(E1458,3)+0,[1]SchLocTable!$A$2:$B$47,2,FALSE)," ")</f>
        <v>Roosevelt</v>
      </c>
      <c r="B1458" s="366" t="str">
        <f>VLOOKUP(VALUE(D1458),$D$3:F$106,3,FALSE)</f>
        <v>Performing Arts</v>
      </c>
      <c r="C1458" t="s">
        <v>314</v>
      </c>
      <c r="D1458">
        <v>814</v>
      </c>
      <c r="E1458" t="s">
        <v>623</v>
      </c>
      <c r="F1458" t="s">
        <v>318</v>
      </c>
      <c r="G1458" t="s">
        <v>319</v>
      </c>
      <c r="H1458" s="502">
        <v>51140</v>
      </c>
      <c r="I1458" s="415">
        <v>0</v>
      </c>
      <c r="J1458" s="415">
        <v>0</v>
      </c>
      <c r="K1458" s="415">
        <v>0</v>
      </c>
      <c r="L1458" s="415">
        <v>0</v>
      </c>
      <c r="M1458" s="415">
        <v>2400</v>
      </c>
      <c r="N1458" s="415">
        <v>1200</v>
      </c>
      <c r="O1458" s="415">
        <v>1200</v>
      </c>
      <c r="P1458" s="415">
        <v>1100</v>
      </c>
      <c r="Q1458" s="481">
        <f t="shared" si="68"/>
        <v>0</v>
      </c>
    </row>
    <row r="1459" spans="1:17" outlineLevel="2" x14ac:dyDescent="0.3">
      <c r="A1459" s="366" t="str">
        <f>IFERROR(VLOOKUP(RIGHT(E1459,3)+0,[1]SchLocTable!$A$2:$B$47,2,FALSE)," ")</f>
        <v>Roosevelt</v>
      </c>
      <c r="B1459" s="366" t="str">
        <f>VLOOKUP(VALUE(D1459),$D$3:F$106,3,FALSE)</f>
        <v>Performing Arts</v>
      </c>
      <c r="C1459" t="s">
        <v>314</v>
      </c>
      <c r="D1459">
        <v>814</v>
      </c>
      <c r="E1459" t="s">
        <v>623</v>
      </c>
      <c r="F1459" t="s">
        <v>320</v>
      </c>
      <c r="G1459" t="s">
        <v>319</v>
      </c>
      <c r="H1459" s="502">
        <v>52360</v>
      </c>
      <c r="I1459" s="415">
        <v>1881.4227991049997</v>
      </c>
      <c r="J1459" s="415">
        <v>786</v>
      </c>
      <c r="K1459" s="415">
        <v>761.43</v>
      </c>
      <c r="L1459" s="415">
        <v>729.66</v>
      </c>
      <c r="M1459" s="415">
        <v>1504.67</v>
      </c>
      <c r="N1459" s="415">
        <v>1313.53</v>
      </c>
      <c r="O1459" s="415">
        <v>1300.52</v>
      </c>
      <c r="P1459" s="415">
        <v>1285.03</v>
      </c>
      <c r="Q1459" s="481">
        <f t="shared" si="68"/>
        <v>-1095.4227991049997</v>
      </c>
    </row>
    <row r="1460" spans="1:17" outlineLevel="2" x14ac:dyDescent="0.3">
      <c r="A1460" s="366" t="str">
        <f>IFERROR(VLOOKUP(RIGHT(E1460,3)+0,[1]SchLocTable!$A$2:$B$47,2,FALSE)," ")</f>
        <v>Roosevelt</v>
      </c>
      <c r="B1460" s="366" t="str">
        <f>VLOOKUP(VALUE(D1460),$D$3:F$106,3,FALSE)</f>
        <v>Performing Arts</v>
      </c>
      <c r="C1460" t="s">
        <v>314</v>
      </c>
      <c r="D1460">
        <v>814</v>
      </c>
      <c r="E1460" t="s">
        <v>623</v>
      </c>
      <c r="F1460" t="s">
        <v>329</v>
      </c>
      <c r="G1460" t="s">
        <v>319</v>
      </c>
      <c r="H1460" s="502">
        <v>51154</v>
      </c>
      <c r="I1460" s="415">
        <v>0</v>
      </c>
      <c r="J1460" s="415">
        <v>0</v>
      </c>
      <c r="K1460" s="415">
        <v>0</v>
      </c>
      <c r="L1460" s="415">
        <v>0</v>
      </c>
      <c r="M1460" s="415">
        <v>11375</v>
      </c>
      <c r="N1460" s="415">
        <v>0</v>
      </c>
      <c r="O1460" s="415">
        <v>0</v>
      </c>
      <c r="P1460" s="415">
        <v>0</v>
      </c>
      <c r="Q1460" s="481">
        <f t="shared" si="68"/>
        <v>0</v>
      </c>
    </row>
    <row r="1461" spans="1:17" outlineLevel="2" x14ac:dyDescent="0.3">
      <c r="A1461" s="366" t="str">
        <f>IFERROR(VLOOKUP(RIGHT(E1461,3)+0,[1]SchLocTable!$A$2:$B$47,2,FALSE)," ")</f>
        <v>Bridgeport Learning Center</v>
      </c>
      <c r="B1461" s="366" t="str">
        <f>VLOOKUP(VALUE(D1461),$D$3:F$106,3,FALSE)</f>
        <v>Performing Arts</v>
      </c>
      <c r="C1461" t="s">
        <v>314</v>
      </c>
      <c r="D1461">
        <v>814</v>
      </c>
      <c r="E1461" t="s">
        <v>1320</v>
      </c>
      <c r="F1461" t="s">
        <v>316</v>
      </c>
      <c r="G1461" t="s">
        <v>319</v>
      </c>
      <c r="H1461" s="502">
        <v>51000</v>
      </c>
      <c r="I1461" s="415">
        <v>80000</v>
      </c>
      <c r="J1461" s="415">
        <v>0</v>
      </c>
      <c r="K1461" s="415"/>
      <c r="L1461" s="415">
        <v>0</v>
      </c>
      <c r="M1461" s="415">
        <v>0</v>
      </c>
      <c r="N1461" s="415">
        <v>0</v>
      </c>
      <c r="O1461" s="415">
        <v>0</v>
      </c>
      <c r="P1461" s="415">
        <v>0</v>
      </c>
      <c r="Q1461" s="481">
        <f t="shared" si="68"/>
        <v>-80000</v>
      </c>
    </row>
    <row r="1462" spans="1:17" outlineLevel="2" x14ac:dyDescent="0.3">
      <c r="A1462" s="366" t="str">
        <f>IFERROR(VLOOKUP(RIGHT(E1462,3)+0,[1]SchLocTable!$A$2:$B$47,2,FALSE)," ")</f>
        <v>Bridgeport Learning Center</v>
      </c>
      <c r="B1462" s="366" t="str">
        <f>VLOOKUP(VALUE(D1462),$D$3:F$106,3,FALSE)</f>
        <v>Performing Arts</v>
      </c>
      <c r="C1462" t="s">
        <v>314</v>
      </c>
      <c r="D1462">
        <v>814</v>
      </c>
      <c r="E1462" t="s">
        <v>1320</v>
      </c>
      <c r="F1462" t="s">
        <v>321</v>
      </c>
      <c r="G1462" t="s">
        <v>319</v>
      </c>
      <c r="H1462" s="502">
        <v>52917</v>
      </c>
      <c r="I1462" s="415">
        <v>32400</v>
      </c>
      <c r="J1462" s="415">
        <v>0</v>
      </c>
      <c r="K1462" s="415"/>
      <c r="L1462" s="415">
        <v>0</v>
      </c>
      <c r="M1462" s="415">
        <v>0</v>
      </c>
      <c r="N1462" s="415">
        <v>0</v>
      </c>
      <c r="O1462" s="415">
        <v>0</v>
      </c>
      <c r="P1462" s="415">
        <v>0</v>
      </c>
      <c r="Q1462" s="481">
        <f t="shared" si="68"/>
        <v>-32400</v>
      </c>
    </row>
    <row r="1463" spans="1:17" outlineLevel="2" x14ac:dyDescent="0.3">
      <c r="A1463" s="366" t="str">
        <f>IFERROR(VLOOKUP(RIGHT(E1463,3)+0,[1]SchLocTable!$A$2:$B$47,2,FALSE)," ")</f>
        <v>Bridgeport Learning Center</v>
      </c>
      <c r="B1463" s="366" t="str">
        <f>VLOOKUP(VALUE(D1463),$D$3:F$106,3,FALSE)</f>
        <v>Performing Arts</v>
      </c>
      <c r="C1463" t="s">
        <v>314</v>
      </c>
      <c r="D1463">
        <v>814</v>
      </c>
      <c r="E1463" t="s">
        <v>1320</v>
      </c>
      <c r="F1463" t="s">
        <v>320</v>
      </c>
      <c r="G1463" t="s">
        <v>319</v>
      </c>
      <c r="H1463" s="502">
        <v>52360</v>
      </c>
      <c r="I1463" s="415">
        <v>1160</v>
      </c>
      <c r="J1463" s="415">
        <v>0</v>
      </c>
      <c r="K1463" s="415"/>
      <c r="L1463" s="415">
        <v>0</v>
      </c>
      <c r="M1463" s="415">
        <v>0</v>
      </c>
      <c r="N1463" s="415">
        <v>0</v>
      </c>
      <c r="O1463" s="415">
        <v>0</v>
      </c>
      <c r="P1463" s="415">
        <v>0</v>
      </c>
      <c r="Q1463" s="481">
        <f t="shared" si="68"/>
        <v>-1160</v>
      </c>
    </row>
    <row r="1464" spans="1:17" outlineLevel="2" x14ac:dyDescent="0.3">
      <c r="A1464" s="366" t="str">
        <f>IFERROR(VLOOKUP(RIGHT(E1464,3)+0,[1]SchLocTable!$A$2:$B$47,2,FALSE)," ")</f>
        <v>Bridgeport Learning Center</v>
      </c>
      <c r="B1464" s="366" t="str">
        <f>VLOOKUP(VALUE(D1464),$D$3:F$106,3,FALSE)</f>
        <v>Performing Arts</v>
      </c>
      <c r="C1464" t="s">
        <v>314</v>
      </c>
      <c r="D1464">
        <v>814</v>
      </c>
      <c r="E1464" t="s">
        <v>1320</v>
      </c>
      <c r="F1464" t="s">
        <v>392</v>
      </c>
      <c r="G1464" t="s">
        <v>319</v>
      </c>
      <c r="H1464" s="502">
        <v>52504</v>
      </c>
      <c r="I1464" s="415">
        <v>0</v>
      </c>
      <c r="J1464" s="415">
        <v>0</v>
      </c>
      <c r="K1464" s="415"/>
      <c r="L1464" s="415">
        <v>0</v>
      </c>
      <c r="M1464" s="415">
        <v>0</v>
      </c>
      <c r="N1464" s="415">
        <v>0</v>
      </c>
      <c r="O1464" s="415">
        <v>0</v>
      </c>
      <c r="P1464" s="415">
        <v>0</v>
      </c>
      <c r="Q1464" s="481">
        <f t="shared" si="68"/>
        <v>0</v>
      </c>
    </row>
    <row r="1465" spans="1:17" outlineLevel="2" x14ac:dyDescent="0.3">
      <c r="A1465" s="366" t="str">
        <f>IFERROR(VLOOKUP(RIGHT(E1465,3)+0,[1]SchLocTable!$A$2:$B$47,2,FALSE)," ")</f>
        <v>Waltersville</v>
      </c>
      <c r="B1465" s="366" t="str">
        <f>VLOOKUP(VALUE(D1465),$D$3:F$106,3,FALSE)</f>
        <v>Performing Arts</v>
      </c>
      <c r="C1465" t="s">
        <v>314</v>
      </c>
      <c r="D1465">
        <v>814</v>
      </c>
      <c r="E1465" t="s">
        <v>624</v>
      </c>
      <c r="F1465" t="s">
        <v>316</v>
      </c>
      <c r="G1465" t="s">
        <v>319</v>
      </c>
      <c r="H1465" s="502">
        <v>51000</v>
      </c>
      <c r="I1465" s="415">
        <v>67275</v>
      </c>
      <c r="J1465" s="415">
        <v>23574.3</v>
      </c>
      <c r="K1465" s="415">
        <v>0</v>
      </c>
      <c r="L1465" s="415">
        <v>0</v>
      </c>
      <c r="M1465" s="415">
        <v>23574.3</v>
      </c>
      <c r="N1465" s="415">
        <v>97548.99</v>
      </c>
      <c r="O1465" s="415">
        <v>0</v>
      </c>
      <c r="P1465" s="415">
        <v>0</v>
      </c>
      <c r="Q1465" s="481">
        <f t="shared" si="68"/>
        <v>-43700.7</v>
      </c>
    </row>
    <row r="1466" spans="1:17" outlineLevel="2" x14ac:dyDescent="0.3">
      <c r="A1466" s="366" t="str">
        <f>IFERROR(VLOOKUP(RIGHT(E1466,3)+0,[1]SchLocTable!$A$2:$B$47,2,FALSE)," ")</f>
        <v>Waltersville</v>
      </c>
      <c r="B1466" s="366" t="str">
        <f>VLOOKUP(VALUE(D1466),$D$3:F$106,3,FALSE)</f>
        <v>Performing Arts</v>
      </c>
      <c r="C1466" t="s">
        <v>314</v>
      </c>
      <c r="D1466">
        <v>814</v>
      </c>
      <c r="E1466" t="s">
        <v>624</v>
      </c>
      <c r="F1466" t="s">
        <v>321</v>
      </c>
      <c r="G1466" t="s">
        <v>319</v>
      </c>
      <c r="H1466" s="502">
        <v>52917</v>
      </c>
      <c r="I1466" s="415">
        <v>0</v>
      </c>
      <c r="J1466" s="415">
        <v>0</v>
      </c>
      <c r="K1466" s="415">
        <v>0</v>
      </c>
      <c r="L1466" s="415">
        <v>0</v>
      </c>
      <c r="M1466" s="415">
        <v>7726</v>
      </c>
      <c r="N1466" s="415">
        <v>30308.67</v>
      </c>
      <c r="O1466" s="415">
        <v>0</v>
      </c>
      <c r="P1466" s="415">
        <v>0</v>
      </c>
      <c r="Q1466" s="481">
        <f t="shared" si="68"/>
        <v>0</v>
      </c>
    </row>
    <row r="1467" spans="1:17" outlineLevel="2" x14ac:dyDescent="0.3">
      <c r="A1467" s="366" t="str">
        <f>IFERROR(VLOOKUP(RIGHT(E1467,3)+0,[1]SchLocTable!$A$2:$B$47,2,FALSE)," ")</f>
        <v>Waltersville</v>
      </c>
      <c r="B1467" s="366" t="str">
        <f>VLOOKUP(VALUE(D1467),$D$3:F$106,3,FALSE)</f>
        <v>Performing Arts</v>
      </c>
      <c r="C1467" t="s">
        <v>314</v>
      </c>
      <c r="D1467">
        <v>814</v>
      </c>
      <c r="E1467" t="s">
        <v>624</v>
      </c>
      <c r="F1467" t="s">
        <v>318</v>
      </c>
      <c r="G1467" t="s">
        <v>319</v>
      </c>
      <c r="H1467" s="502">
        <v>51140</v>
      </c>
      <c r="I1467" s="415">
        <v>0</v>
      </c>
      <c r="J1467" s="415">
        <v>0</v>
      </c>
      <c r="K1467" s="415">
        <v>0</v>
      </c>
      <c r="L1467" s="415">
        <v>0</v>
      </c>
      <c r="M1467" s="415">
        <v>1100</v>
      </c>
      <c r="N1467" s="415">
        <v>1100</v>
      </c>
      <c r="O1467" s="415">
        <v>0</v>
      </c>
      <c r="P1467" s="415">
        <v>0</v>
      </c>
      <c r="Q1467" s="481">
        <f t="shared" si="68"/>
        <v>0</v>
      </c>
    </row>
    <row r="1468" spans="1:17" outlineLevel="2" x14ac:dyDescent="0.3">
      <c r="A1468" s="366" t="str">
        <f>IFERROR(VLOOKUP(RIGHT(E1468,3)+0,[1]SchLocTable!$A$2:$B$47,2,FALSE)," ")</f>
        <v>Waltersville</v>
      </c>
      <c r="B1468" s="366" t="str">
        <f>VLOOKUP(VALUE(D1468),$D$3:F$106,3,FALSE)</f>
        <v>Performing Arts</v>
      </c>
      <c r="C1468" t="s">
        <v>314</v>
      </c>
      <c r="D1468">
        <v>814</v>
      </c>
      <c r="E1468" t="s">
        <v>624</v>
      </c>
      <c r="F1468" t="s">
        <v>320</v>
      </c>
      <c r="G1468" t="s">
        <v>319</v>
      </c>
      <c r="H1468" s="502">
        <v>52360</v>
      </c>
      <c r="I1468" s="415">
        <v>975.48750000000007</v>
      </c>
      <c r="J1468" s="415">
        <v>326.64999999999998</v>
      </c>
      <c r="K1468" s="415">
        <v>0</v>
      </c>
      <c r="L1468" s="415">
        <v>0</v>
      </c>
      <c r="M1468" s="415">
        <v>326.64999999999998</v>
      </c>
      <c r="N1468" s="415">
        <v>1312.09</v>
      </c>
      <c r="O1468" s="415">
        <v>0</v>
      </c>
      <c r="P1468" s="415">
        <v>0</v>
      </c>
      <c r="Q1468" s="481">
        <f t="shared" si="68"/>
        <v>-648.83750000000009</v>
      </c>
    </row>
    <row r="1469" spans="1:17" outlineLevel="2" x14ac:dyDescent="0.3">
      <c r="A1469" s="366" t="str">
        <f>IFERROR(VLOOKUP(RIGHT(E1469,3)+0,[1]SchLocTable!$A$2:$B$47,2,FALSE)," ")</f>
        <v>Waltersville</v>
      </c>
      <c r="B1469" s="366" t="str">
        <f>VLOOKUP(VALUE(D1469),$D$3:F$106,3,FALSE)</f>
        <v>Performing Arts</v>
      </c>
      <c r="C1469" t="s">
        <v>314</v>
      </c>
      <c r="D1469">
        <v>814</v>
      </c>
      <c r="E1469" t="s">
        <v>624</v>
      </c>
      <c r="F1469" t="s">
        <v>324</v>
      </c>
      <c r="G1469" t="s">
        <v>319</v>
      </c>
      <c r="H1469" s="502">
        <v>52385</v>
      </c>
      <c r="I1469" s="415">
        <v>8201.0499999999993</v>
      </c>
      <c r="J1469" s="415">
        <v>0</v>
      </c>
      <c r="K1469" s="415">
        <v>0</v>
      </c>
      <c r="L1469" s="415">
        <v>0</v>
      </c>
      <c r="M1469" s="415">
        <v>0</v>
      </c>
      <c r="N1469" s="415">
        <v>0</v>
      </c>
      <c r="O1469" s="415">
        <v>0</v>
      </c>
      <c r="P1469" s="415">
        <v>0</v>
      </c>
      <c r="Q1469" s="481">
        <f t="shared" si="68"/>
        <v>-8201.0499999999993</v>
      </c>
    </row>
    <row r="1470" spans="1:17" outlineLevel="2" x14ac:dyDescent="0.3">
      <c r="A1470" s="366" t="str">
        <f>IFERROR(VLOOKUP(RIGHT(E1470,3)+0,[1]SchLocTable!$A$2:$B$47,2,FALSE)," ")</f>
        <v>Claytor</v>
      </c>
      <c r="B1470" s="366" t="str">
        <f>VLOOKUP(VALUE(D1470),$D$3:F$106,3,FALSE)</f>
        <v>Performing Arts</v>
      </c>
      <c r="C1470" t="s">
        <v>314</v>
      </c>
      <c r="D1470">
        <v>814</v>
      </c>
      <c r="E1470" t="s">
        <v>625</v>
      </c>
      <c r="F1470" t="s">
        <v>316</v>
      </c>
      <c r="G1470">
        <v>1</v>
      </c>
      <c r="H1470" s="502">
        <v>51000</v>
      </c>
      <c r="I1470" s="415">
        <v>64054.33008</v>
      </c>
      <c r="J1470" s="415">
        <v>52750</v>
      </c>
      <c r="K1470" s="415">
        <v>53191.51</v>
      </c>
      <c r="L1470" s="415">
        <v>46250</v>
      </c>
      <c r="M1470" s="415">
        <v>46000</v>
      </c>
      <c r="N1470" s="415">
        <v>26000</v>
      </c>
      <c r="O1470" s="415">
        <v>63339.12</v>
      </c>
      <c r="P1470" s="415">
        <v>62341.02</v>
      </c>
      <c r="Q1470" s="481">
        <f t="shared" si="68"/>
        <v>-11304.33008</v>
      </c>
    </row>
    <row r="1471" spans="1:17" outlineLevel="2" x14ac:dyDescent="0.3">
      <c r="A1471" s="366" t="str">
        <f>IFERROR(VLOOKUP(RIGHT(E1471,3)+0,[1]SchLocTable!$A$2:$B$47,2,FALSE)," ")</f>
        <v>Claytor</v>
      </c>
      <c r="B1471" s="366" t="str">
        <f>VLOOKUP(VALUE(D1471),$D$3:F$106,3,FALSE)</f>
        <v>Performing Arts</v>
      </c>
      <c r="C1471" t="s">
        <v>314</v>
      </c>
      <c r="D1471">
        <v>814</v>
      </c>
      <c r="E1471" t="s">
        <v>625</v>
      </c>
      <c r="F1471" t="s">
        <v>321</v>
      </c>
      <c r="G1471" t="s">
        <v>319</v>
      </c>
      <c r="H1471" s="502">
        <v>52917</v>
      </c>
      <c r="I1471" s="415">
        <v>15644.663999999999</v>
      </c>
      <c r="J1471" s="415">
        <v>0</v>
      </c>
      <c r="K1471" s="415">
        <v>0</v>
      </c>
      <c r="L1471" s="415">
        <v>0</v>
      </c>
      <c r="M1471" s="415">
        <v>0</v>
      </c>
      <c r="N1471" s="415">
        <v>0</v>
      </c>
      <c r="O1471" s="415">
        <v>5567.52</v>
      </c>
      <c r="P1471" s="415">
        <v>9245.67</v>
      </c>
      <c r="Q1471" s="481">
        <f t="shared" ref="Q1471:Q1534" si="69">J1471-I1471</f>
        <v>-15644.663999999999</v>
      </c>
    </row>
    <row r="1472" spans="1:17" outlineLevel="2" x14ac:dyDescent="0.3">
      <c r="A1472" s="366" t="str">
        <f>IFERROR(VLOOKUP(RIGHT(E1472,3)+0,[1]SchLocTable!$A$2:$B$47,2,FALSE)," ")</f>
        <v>Claytor</v>
      </c>
      <c r="B1472" s="366" t="str">
        <f>VLOOKUP(VALUE(D1472),$D$3:F$106,3,FALSE)</f>
        <v>Performing Arts</v>
      </c>
      <c r="C1472" t="s">
        <v>314</v>
      </c>
      <c r="D1472">
        <v>814</v>
      </c>
      <c r="E1472" t="s">
        <v>625</v>
      </c>
      <c r="F1472" t="s">
        <v>320</v>
      </c>
      <c r="G1472" t="s">
        <v>319</v>
      </c>
      <c r="H1472" s="502">
        <v>52360</v>
      </c>
      <c r="I1472" s="415">
        <v>928.78778616</v>
      </c>
      <c r="J1472" s="415">
        <v>764.88</v>
      </c>
      <c r="K1472" s="415">
        <v>771.28</v>
      </c>
      <c r="L1472" s="415">
        <v>670.63</v>
      </c>
      <c r="M1472" s="415">
        <v>667.01</v>
      </c>
      <c r="N1472" s="415">
        <v>377</v>
      </c>
      <c r="O1472" s="415">
        <v>897.27</v>
      </c>
      <c r="P1472" s="415">
        <v>869.31</v>
      </c>
      <c r="Q1472" s="481">
        <f t="shared" si="69"/>
        <v>-163.90778616</v>
      </c>
    </row>
    <row r="1473" spans="1:17" outlineLevel="2" x14ac:dyDescent="0.3">
      <c r="A1473" s="366" t="str">
        <f>IFERROR(VLOOKUP(RIGHT(E1473,3)+0,[1]SchLocTable!$A$2:$B$47,2,FALSE)," ")</f>
        <v>Claytor</v>
      </c>
      <c r="B1473" s="366" t="str">
        <f>VLOOKUP(VALUE(D1473),$D$3:F$106,3,FALSE)</f>
        <v>Performing Arts</v>
      </c>
      <c r="C1473" t="s">
        <v>314</v>
      </c>
      <c r="D1473">
        <v>814</v>
      </c>
      <c r="E1473" t="s">
        <v>625</v>
      </c>
      <c r="F1473" t="s">
        <v>324</v>
      </c>
      <c r="G1473" t="s">
        <v>319</v>
      </c>
      <c r="H1473" s="502">
        <v>52385</v>
      </c>
      <c r="I1473" s="415">
        <v>0</v>
      </c>
      <c r="J1473" s="415">
        <v>0</v>
      </c>
      <c r="K1473" s="415">
        <v>1550</v>
      </c>
      <c r="L1473" s="415">
        <v>2867.5</v>
      </c>
      <c r="M1473" s="415">
        <v>2852</v>
      </c>
      <c r="N1473" s="415">
        <v>1612</v>
      </c>
      <c r="O1473" s="415">
        <v>0</v>
      </c>
      <c r="P1473" s="415">
        <v>0</v>
      </c>
      <c r="Q1473" s="481">
        <f t="shared" si="69"/>
        <v>0</v>
      </c>
    </row>
    <row r="1474" spans="1:17" outlineLevel="2" x14ac:dyDescent="0.3">
      <c r="A1474" s="366" t="str">
        <f>IFERROR(VLOOKUP(RIGHT(E1474,3)+0,[1]SchLocTable!$A$2:$B$47,2,FALSE)," ")</f>
        <v>Johnson</v>
      </c>
      <c r="B1474" s="366" t="str">
        <f>VLOOKUP(VALUE(D1474),$D$3:F$106,3,FALSE)</f>
        <v>Performing Arts</v>
      </c>
      <c r="C1474" t="s">
        <v>314</v>
      </c>
      <c r="D1474">
        <v>814</v>
      </c>
      <c r="E1474" t="s">
        <v>626</v>
      </c>
      <c r="F1474" t="s">
        <v>316</v>
      </c>
      <c r="G1474">
        <v>1</v>
      </c>
      <c r="H1474" s="502">
        <v>51000</v>
      </c>
      <c r="I1474" s="415">
        <v>79770.878979999994</v>
      </c>
      <c r="J1474" s="415">
        <v>75900</v>
      </c>
      <c r="K1474" s="415">
        <v>70021.899999999994</v>
      </c>
      <c r="L1474" s="415">
        <v>66494.77</v>
      </c>
      <c r="M1474" s="415">
        <v>0</v>
      </c>
      <c r="N1474" s="415">
        <v>0</v>
      </c>
      <c r="O1474" s="415">
        <v>0</v>
      </c>
      <c r="P1474" s="415">
        <v>0</v>
      </c>
      <c r="Q1474" s="481">
        <f t="shared" si="69"/>
        <v>-3870.878979999994</v>
      </c>
    </row>
    <row r="1475" spans="1:17" outlineLevel="2" x14ac:dyDescent="0.3">
      <c r="A1475" s="366" t="str">
        <f>IFERROR(VLOOKUP(RIGHT(E1475,3)+0,[1]SchLocTable!$A$2:$B$47,2,FALSE)," ")</f>
        <v>Johnson</v>
      </c>
      <c r="B1475" s="366" t="str">
        <f>VLOOKUP(VALUE(D1475),$D$3:F$106,3,FALSE)</f>
        <v>Performing Arts</v>
      </c>
      <c r="C1475" t="s">
        <v>314</v>
      </c>
      <c r="D1475">
        <v>814</v>
      </c>
      <c r="E1475" t="s">
        <v>626</v>
      </c>
      <c r="F1475" t="s">
        <v>321</v>
      </c>
      <c r="G1475" t="s">
        <v>319</v>
      </c>
      <c r="H1475" s="502">
        <v>52917</v>
      </c>
      <c r="I1475" s="415">
        <v>15644.663999999999</v>
      </c>
      <c r="J1475" s="415">
        <v>13037.22</v>
      </c>
      <c r="K1475" s="415">
        <v>11844</v>
      </c>
      <c r="L1475" s="415">
        <v>8902.7199999999993</v>
      </c>
      <c r="M1475" s="415">
        <v>0</v>
      </c>
      <c r="N1475" s="415">
        <v>0</v>
      </c>
      <c r="O1475" s="415">
        <v>0</v>
      </c>
      <c r="P1475" s="415">
        <v>0</v>
      </c>
      <c r="Q1475" s="481">
        <f t="shared" si="69"/>
        <v>-2607.4439999999995</v>
      </c>
    </row>
    <row r="1476" spans="1:17" outlineLevel="2" x14ac:dyDescent="0.3">
      <c r="A1476" s="366" t="str">
        <f>IFERROR(VLOOKUP(RIGHT(E1476,3)+0,[1]SchLocTable!$A$2:$B$47,2,FALSE)," ")</f>
        <v>Johnson</v>
      </c>
      <c r="B1476" s="366" t="str">
        <f>VLOOKUP(VALUE(D1476),$D$3:F$106,3,FALSE)</f>
        <v>Performing Arts</v>
      </c>
      <c r="C1476" t="s">
        <v>314</v>
      </c>
      <c r="D1476">
        <v>814</v>
      </c>
      <c r="E1476" t="s">
        <v>626</v>
      </c>
      <c r="F1476" t="s">
        <v>320</v>
      </c>
      <c r="G1476" t="s">
        <v>319</v>
      </c>
      <c r="H1476" s="502">
        <v>52360</v>
      </c>
      <c r="I1476" s="415">
        <v>1156.67774521</v>
      </c>
      <c r="J1476" s="415">
        <v>1030</v>
      </c>
      <c r="K1476" s="415">
        <v>964.76</v>
      </c>
      <c r="L1476" s="415">
        <v>927.29</v>
      </c>
      <c r="M1476" s="415">
        <v>0</v>
      </c>
      <c r="N1476" s="415">
        <v>0</v>
      </c>
      <c r="O1476" s="415">
        <v>0</v>
      </c>
      <c r="P1476" s="415">
        <v>0</v>
      </c>
      <c r="Q1476" s="481">
        <f t="shared" si="69"/>
        <v>-126.67774521000001</v>
      </c>
    </row>
    <row r="1477" spans="1:17" outlineLevel="2" x14ac:dyDescent="0.3">
      <c r="A1477" s="366" t="str">
        <f>IFERROR(VLOOKUP(RIGHT(E1477,3)+0,[1]SchLocTable!$A$2:$B$47,2,FALSE)," ")</f>
        <v>Winthrop</v>
      </c>
      <c r="B1477" s="366" t="str">
        <f>VLOOKUP(VALUE(D1477),$D$3:F$106,3,FALSE)</f>
        <v>Performing Arts</v>
      </c>
      <c r="C1477" t="s">
        <v>314</v>
      </c>
      <c r="D1477">
        <v>814</v>
      </c>
      <c r="E1477" t="s">
        <v>627</v>
      </c>
      <c r="F1477" t="s">
        <v>316</v>
      </c>
      <c r="G1477">
        <v>1</v>
      </c>
      <c r="H1477" s="502">
        <v>51000</v>
      </c>
      <c r="I1477" s="415">
        <v>89761.811099999992</v>
      </c>
      <c r="J1477" s="415">
        <v>85406</v>
      </c>
      <c r="K1477" s="415">
        <v>81363.100000000006</v>
      </c>
      <c r="L1477" s="415">
        <v>10756.5</v>
      </c>
      <c r="M1477" s="415">
        <v>83258.8</v>
      </c>
      <c r="N1477" s="415">
        <v>81952.38</v>
      </c>
      <c r="O1477" s="415">
        <v>83106.92</v>
      </c>
      <c r="P1477" s="415">
        <v>81798.080000000002</v>
      </c>
      <c r="Q1477" s="481">
        <f t="shared" si="69"/>
        <v>-4355.8110999999917</v>
      </c>
    </row>
    <row r="1478" spans="1:17" outlineLevel="2" x14ac:dyDescent="0.3">
      <c r="A1478" s="366" t="str">
        <f>IFERROR(VLOOKUP(RIGHT(E1478,3)+0,[1]SchLocTable!$A$2:$B$47,2,FALSE)," ")</f>
        <v>Winthrop</v>
      </c>
      <c r="B1478" s="366" t="str">
        <f>VLOOKUP(VALUE(D1478),$D$3:F$106,3,FALSE)</f>
        <v>Performing Arts</v>
      </c>
      <c r="C1478" t="s">
        <v>314</v>
      </c>
      <c r="D1478">
        <v>814</v>
      </c>
      <c r="E1478" t="s">
        <v>627</v>
      </c>
      <c r="F1478" t="s">
        <v>321</v>
      </c>
      <c r="G1478" t="s">
        <v>319</v>
      </c>
      <c r="H1478" s="502">
        <v>52917</v>
      </c>
      <c r="I1478" s="415">
        <v>46330.955999999998</v>
      </c>
      <c r="J1478" s="415">
        <v>38609.129999999997</v>
      </c>
      <c r="K1478" s="415">
        <v>35075.879999999997</v>
      </c>
      <c r="L1478" s="415">
        <v>0</v>
      </c>
      <c r="M1478" s="415">
        <v>11384.73</v>
      </c>
      <c r="N1478" s="415">
        <v>10712.73</v>
      </c>
      <c r="O1478" s="415">
        <v>10241.67</v>
      </c>
      <c r="P1478" s="415">
        <v>9693.6</v>
      </c>
      <c r="Q1478" s="481">
        <f t="shared" si="69"/>
        <v>-7721.8260000000009</v>
      </c>
    </row>
    <row r="1479" spans="1:17" outlineLevel="2" x14ac:dyDescent="0.3">
      <c r="A1479" s="366" t="str">
        <f>IFERROR(VLOOKUP(RIGHT(E1479,3)+0,[1]SchLocTable!$A$2:$B$47,2,FALSE)," ")</f>
        <v>Winthrop</v>
      </c>
      <c r="B1479" s="366" t="str">
        <f>VLOOKUP(VALUE(D1479),$D$3:F$106,3,FALSE)</f>
        <v>Performing Arts</v>
      </c>
      <c r="C1479" t="s">
        <v>314</v>
      </c>
      <c r="D1479">
        <v>814</v>
      </c>
      <c r="E1479" t="s">
        <v>627</v>
      </c>
      <c r="F1479" t="s">
        <v>318</v>
      </c>
      <c r="G1479" t="s">
        <v>319</v>
      </c>
      <c r="H1479" s="502">
        <v>51140</v>
      </c>
      <c r="I1479" s="415">
        <v>900</v>
      </c>
      <c r="J1479" s="415">
        <v>0</v>
      </c>
      <c r="K1479" s="415">
        <v>0</v>
      </c>
      <c r="L1479" s="415">
        <v>0</v>
      </c>
      <c r="M1479" s="415">
        <v>900</v>
      </c>
      <c r="N1479" s="415">
        <v>0</v>
      </c>
      <c r="O1479" s="415">
        <v>0</v>
      </c>
      <c r="P1479" s="415">
        <v>0</v>
      </c>
      <c r="Q1479" s="481">
        <f t="shared" si="69"/>
        <v>-900</v>
      </c>
    </row>
    <row r="1480" spans="1:17" outlineLevel="2" x14ac:dyDescent="0.3">
      <c r="A1480" s="366" t="str">
        <f>IFERROR(VLOOKUP(RIGHT(E1480,3)+0,[1]SchLocTable!$A$2:$B$47,2,FALSE)," ")</f>
        <v>Winthrop</v>
      </c>
      <c r="B1480" s="366" t="str">
        <f>VLOOKUP(VALUE(D1480),$D$3:F$106,3,FALSE)</f>
        <v>Performing Arts</v>
      </c>
      <c r="C1480" t="s">
        <v>314</v>
      </c>
      <c r="D1480">
        <v>814</v>
      </c>
      <c r="E1480" t="s">
        <v>627</v>
      </c>
      <c r="F1480" t="s">
        <v>320</v>
      </c>
      <c r="G1480" t="s">
        <v>319</v>
      </c>
      <c r="H1480" s="502">
        <v>52360</v>
      </c>
      <c r="I1480" s="415">
        <v>1301.54626095</v>
      </c>
      <c r="J1480" s="415">
        <v>1042</v>
      </c>
      <c r="K1480" s="415">
        <v>1030.04</v>
      </c>
      <c r="L1480" s="415">
        <v>155.97</v>
      </c>
      <c r="M1480" s="415">
        <v>1319.53</v>
      </c>
      <c r="N1480" s="415">
        <v>1247.82</v>
      </c>
      <c r="O1480" s="415">
        <v>1166.67</v>
      </c>
      <c r="P1480" s="415">
        <v>1150.72</v>
      </c>
      <c r="Q1480" s="481">
        <f t="shared" si="69"/>
        <v>-259.54626095000003</v>
      </c>
    </row>
    <row r="1481" spans="1:17" outlineLevel="2" x14ac:dyDescent="0.3">
      <c r="A1481" s="366" t="str">
        <f>IFERROR(VLOOKUP(RIGHT(E1481,3)+0,[1]SchLocTable!$A$2:$B$47,2,FALSE)," ")</f>
        <v>Cross</v>
      </c>
      <c r="B1481" s="366" t="str">
        <f>VLOOKUP(VALUE(D1481),$D$3:F$106,3,FALSE)</f>
        <v>Performing Arts</v>
      </c>
      <c r="C1481" t="s">
        <v>314</v>
      </c>
      <c r="D1481">
        <v>814</v>
      </c>
      <c r="E1481" t="s">
        <v>628</v>
      </c>
      <c r="F1481" t="s">
        <v>316</v>
      </c>
      <c r="G1481">
        <v>2</v>
      </c>
      <c r="H1481" s="502">
        <v>51000</v>
      </c>
      <c r="I1481" s="415">
        <v>130623.60107999999</v>
      </c>
      <c r="J1481" s="415">
        <v>60946</v>
      </c>
      <c r="K1481" s="415">
        <v>57918.9</v>
      </c>
      <c r="L1481" s="415">
        <v>130142.22</v>
      </c>
      <c r="M1481" s="415">
        <v>116826.1</v>
      </c>
      <c r="N1481" s="415">
        <v>66331.320000000007</v>
      </c>
      <c r="O1481" s="415">
        <v>75148.92</v>
      </c>
      <c r="P1481" s="415">
        <v>73964.94</v>
      </c>
      <c r="Q1481" s="481">
        <f t="shared" si="69"/>
        <v>-69677.601079999993</v>
      </c>
    </row>
    <row r="1482" spans="1:17" outlineLevel="2" x14ac:dyDescent="0.3">
      <c r="A1482" s="366" t="str">
        <f>IFERROR(VLOOKUP(RIGHT(E1482,3)+0,[1]SchLocTable!$A$2:$B$47,2,FALSE)," ")</f>
        <v>Cross</v>
      </c>
      <c r="B1482" s="366" t="str">
        <f>VLOOKUP(VALUE(D1482),$D$3:F$106,3,FALSE)</f>
        <v>Performing Arts</v>
      </c>
      <c r="C1482" t="s">
        <v>314</v>
      </c>
      <c r="D1482">
        <v>814</v>
      </c>
      <c r="E1482" t="s">
        <v>628</v>
      </c>
      <c r="F1482" t="s">
        <v>321</v>
      </c>
      <c r="G1482" t="s">
        <v>319</v>
      </c>
      <c r="H1482" s="502">
        <v>52917</v>
      </c>
      <c r="I1482" s="415">
        <v>47955.96</v>
      </c>
      <c r="J1482" s="415">
        <v>15950</v>
      </c>
      <c r="K1482" s="415">
        <v>11747.4</v>
      </c>
      <c r="L1482" s="415">
        <v>46156.95</v>
      </c>
      <c r="M1482" s="415">
        <v>42301.65</v>
      </c>
      <c r="N1482" s="415">
        <v>30308.67</v>
      </c>
      <c r="O1482" s="415">
        <v>0</v>
      </c>
      <c r="P1482" s="415">
        <v>0</v>
      </c>
      <c r="Q1482" s="481">
        <f t="shared" si="69"/>
        <v>-32005.96</v>
      </c>
    </row>
    <row r="1483" spans="1:17" outlineLevel="2" x14ac:dyDescent="0.3">
      <c r="A1483" s="366" t="str">
        <f>IFERROR(VLOOKUP(RIGHT(E1483,3)+0,[1]SchLocTable!$A$2:$B$47,2,FALSE)," ")</f>
        <v>Cross</v>
      </c>
      <c r="B1483" s="366" t="str">
        <f>VLOOKUP(VALUE(D1483),$D$3:F$106,3,FALSE)</f>
        <v>Performing Arts</v>
      </c>
      <c r="C1483" t="s">
        <v>314</v>
      </c>
      <c r="D1483">
        <v>814</v>
      </c>
      <c r="E1483" t="s">
        <v>628</v>
      </c>
      <c r="F1483" t="s">
        <v>320</v>
      </c>
      <c r="G1483" t="s">
        <v>319</v>
      </c>
      <c r="H1483" s="502">
        <v>52360</v>
      </c>
      <c r="I1483" s="415">
        <v>1894.04221566</v>
      </c>
      <c r="J1483" s="415">
        <v>813</v>
      </c>
      <c r="K1483" s="415">
        <v>789.51</v>
      </c>
      <c r="L1483" s="415">
        <v>1695.72</v>
      </c>
      <c r="M1483" s="415">
        <v>1523.44</v>
      </c>
      <c r="N1483" s="415">
        <v>843.49</v>
      </c>
      <c r="O1483" s="415">
        <v>1089.6600000000001</v>
      </c>
      <c r="P1483" s="415">
        <v>1072.49</v>
      </c>
      <c r="Q1483" s="481">
        <f t="shared" si="69"/>
        <v>-1081.04221566</v>
      </c>
    </row>
    <row r="1484" spans="1:17" outlineLevel="2" x14ac:dyDescent="0.3">
      <c r="A1484" s="366" t="str">
        <f>IFERROR(VLOOKUP(RIGHT(E1484,3)+0,[1]SchLocTable!$A$2:$B$47,2,FALSE)," ")</f>
        <v>Blackham</v>
      </c>
      <c r="B1484" s="366" t="str">
        <f>VLOOKUP(VALUE(D1484),$D$3:F$106,3,FALSE)</f>
        <v>Performing Arts</v>
      </c>
      <c r="C1484" t="s">
        <v>314</v>
      </c>
      <c r="D1484">
        <v>814</v>
      </c>
      <c r="E1484" t="s">
        <v>629</v>
      </c>
      <c r="F1484" t="s">
        <v>316</v>
      </c>
      <c r="G1484">
        <v>3</v>
      </c>
      <c r="H1484" s="502">
        <v>51000</v>
      </c>
      <c r="I1484" s="415">
        <v>254482.70039000001</v>
      </c>
      <c r="J1484" s="415">
        <v>166015.89000000001</v>
      </c>
      <c r="K1484" s="415">
        <v>213239.15</v>
      </c>
      <c r="L1484" s="415">
        <v>173102.09</v>
      </c>
      <c r="M1484" s="415">
        <v>204069.66</v>
      </c>
      <c r="N1484" s="415">
        <v>190771.88</v>
      </c>
      <c r="O1484" s="415">
        <v>176152.08</v>
      </c>
      <c r="P1484" s="415">
        <v>165170.20000000001</v>
      </c>
      <c r="Q1484" s="481">
        <f t="shared" si="69"/>
        <v>-88466.810389999999</v>
      </c>
    </row>
    <row r="1485" spans="1:17" outlineLevel="2" x14ac:dyDescent="0.3">
      <c r="A1485" s="366" t="str">
        <f>IFERROR(VLOOKUP(RIGHT(E1485,3)+0,[1]SchLocTable!$A$2:$B$47,2,FALSE)," ")</f>
        <v>Blackham</v>
      </c>
      <c r="B1485" s="366" t="str">
        <f>VLOOKUP(VALUE(D1485),$D$3:F$106,3,FALSE)</f>
        <v>Performing Arts</v>
      </c>
      <c r="C1485" t="s">
        <v>314</v>
      </c>
      <c r="D1485">
        <v>814</v>
      </c>
      <c r="E1485" t="s">
        <v>629</v>
      </c>
      <c r="F1485" t="s">
        <v>321</v>
      </c>
      <c r="G1485" t="s">
        <v>319</v>
      </c>
      <c r="H1485" s="502">
        <v>52917</v>
      </c>
      <c r="I1485" s="415">
        <v>94375.62</v>
      </c>
      <c r="J1485" s="415">
        <v>51646.35</v>
      </c>
      <c r="K1485" s="415">
        <v>58667.28</v>
      </c>
      <c r="L1485" s="415">
        <v>39614.730000000003</v>
      </c>
      <c r="M1485" s="415">
        <v>81883.210000000006</v>
      </c>
      <c r="N1485" s="415">
        <v>60617.34</v>
      </c>
      <c r="O1485" s="415">
        <v>58155</v>
      </c>
      <c r="P1485" s="415">
        <v>44020.62</v>
      </c>
      <c r="Q1485" s="481">
        <f t="shared" si="69"/>
        <v>-42729.27</v>
      </c>
    </row>
    <row r="1486" spans="1:17" outlineLevel="2" x14ac:dyDescent="0.3">
      <c r="A1486" s="366" t="str">
        <f>IFERROR(VLOOKUP(RIGHT(E1486,3)+0,[1]SchLocTable!$A$2:$B$47,2,FALSE)," ")</f>
        <v>Blackham</v>
      </c>
      <c r="B1486" s="366" t="str">
        <f>VLOOKUP(VALUE(D1486),$D$3:F$106,3,FALSE)</f>
        <v>Performing Arts</v>
      </c>
      <c r="C1486" t="s">
        <v>314</v>
      </c>
      <c r="D1486">
        <v>814</v>
      </c>
      <c r="E1486" t="s">
        <v>629</v>
      </c>
      <c r="F1486" t="s">
        <v>318</v>
      </c>
      <c r="G1486" t="s">
        <v>319</v>
      </c>
      <c r="H1486" s="502">
        <v>51140</v>
      </c>
      <c r="I1486" s="415">
        <v>1100</v>
      </c>
      <c r="J1486" s="415">
        <v>0</v>
      </c>
      <c r="K1486" s="415">
        <v>1100</v>
      </c>
      <c r="L1486" s="415">
        <v>1100</v>
      </c>
      <c r="M1486" s="415">
        <v>900</v>
      </c>
      <c r="N1486" s="415">
        <v>900</v>
      </c>
      <c r="O1486" s="415">
        <v>900</v>
      </c>
      <c r="P1486" s="415">
        <v>900</v>
      </c>
      <c r="Q1486" s="481">
        <f t="shared" si="69"/>
        <v>-1100</v>
      </c>
    </row>
    <row r="1487" spans="1:17" outlineLevel="2" x14ac:dyDescent="0.3">
      <c r="A1487" s="366" t="str">
        <f>IFERROR(VLOOKUP(RIGHT(E1487,3)+0,[1]SchLocTable!$A$2:$B$47,2,FALSE)," ")</f>
        <v>Blackham</v>
      </c>
      <c r="B1487" s="366" t="str">
        <f>VLOOKUP(VALUE(D1487),$D$3:F$106,3,FALSE)</f>
        <v>Performing Arts</v>
      </c>
      <c r="C1487" t="s">
        <v>314</v>
      </c>
      <c r="D1487">
        <v>814</v>
      </c>
      <c r="E1487" t="s">
        <v>629</v>
      </c>
      <c r="F1487" t="s">
        <v>320</v>
      </c>
      <c r="G1487" t="s">
        <v>319</v>
      </c>
      <c r="H1487" s="502">
        <v>52360</v>
      </c>
      <c r="I1487" s="415">
        <v>3689.9991556550003</v>
      </c>
      <c r="J1487" s="415">
        <v>2374.7800000000002</v>
      </c>
      <c r="K1487" s="415">
        <v>2857.33</v>
      </c>
      <c r="L1487" s="415">
        <v>2361.88</v>
      </c>
      <c r="M1487" s="415">
        <v>2634.88</v>
      </c>
      <c r="N1487" s="415">
        <v>2542.59</v>
      </c>
      <c r="O1487" s="415">
        <v>2346.38</v>
      </c>
      <c r="P1487" s="415">
        <v>2242.37</v>
      </c>
      <c r="Q1487" s="481">
        <f t="shared" si="69"/>
        <v>-1315.2191556550001</v>
      </c>
    </row>
    <row r="1488" spans="1:17" outlineLevel="2" x14ac:dyDescent="0.3">
      <c r="A1488" s="366" t="str">
        <f>IFERROR(VLOOKUP(RIGHT(E1488,3)+0,[1]SchLocTable!$A$2:$B$47,2,FALSE)," ")</f>
        <v>Blackham</v>
      </c>
      <c r="B1488" s="366" t="str">
        <f>VLOOKUP(VALUE(D1488),$D$3:F$106,3,FALSE)</f>
        <v>Performing Arts</v>
      </c>
      <c r="C1488" t="s">
        <v>314</v>
      </c>
      <c r="D1488">
        <v>814</v>
      </c>
      <c r="E1488" t="s">
        <v>629</v>
      </c>
      <c r="F1488" t="s">
        <v>324</v>
      </c>
      <c r="G1488" t="s">
        <v>319</v>
      </c>
      <c r="H1488" s="502">
        <v>52385</v>
      </c>
      <c r="I1488" s="415">
        <v>0</v>
      </c>
      <c r="J1488" s="415">
        <v>0</v>
      </c>
      <c r="K1488" s="415">
        <v>0</v>
      </c>
      <c r="L1488" s="415">
        <v>1457.01</v>
      </c>
      <c r="M1488" s="415">
        <v>0</v>
      </c>
      <c r="N1488" s="415">
        <v>0</v>
      </c>
      <c r="O1488" s="415">
        <v>0</v>
      </c>
      <c r="P1488" s="415">
        <v>0</v>
      </c>
      <c r="Q1488" s="481">
        <f t="shared" si="69"/>
        <v>0</v>
      </c>
    </row>
    <row r="1489" spans="1:17" outlineLevel="2" x14ac:dyDescent="0.3">
      <c r="A1489" s="366" t="str">
        <f>IFERROR(VLOOKUP(RIGHT(E1489,3)+0,[1]SchLocTable!$A$2:$B$47,2,FALSE)," ")</f>
        <v>Dunbar</v>
      </c>
      <c r="B1489" s="366" t="str">
        <f>VLOOKUP(VALUE(D1489),$D$3:F$106,3,FALSE)</f>
        <v>Performing Arts</v>
      </c>
      <c r="C1489" t="s">
        <v>314</v>
      </c>
      <c r="D1489">
        <v>814</v>
      </c>
      <c r="E1489" t="s">
        <v>630</v>
      </c>
      <c r="F1489" t="s">
        <v>316</v>
      </c>
      <c r="G1489">
        <v>1</v>
      </c>
      <c r="H1489" s="502">
        <v>51000</v>
      </c>
      <c r="I1489" s="415">
        <v>67275</v>
      </c>
      <c r="J1489" s="415">
        <v>0</v>
      </c>
      <c r="K1489" s="415">
        <v>45500</v>
      </c>
      <c r="L1489" s="415">
        <v>0</v>
      </c>
      <c r="M1489" s="415">
        <v>0</v>
      </c>
      <c r="N1489" s="415">
        <v>0</v>
      </c>
      <c r="O1489" s="415">
        <v>0</v>
      </c>
      <c r="P1489" s="415">
        <v>0</v>
      </c>
      <c r="Q1489" s="481">
        <f t="shared" si="69"/>
        <v>-67275</v>
      </c>
    </row>
    <row r="1490" spans="1:17" outlineLevel="2" x14ac:dyDescent="0.3">
      <c r="A1490" s="366" t="str">
        <f>IFERROR(VLOOKUP(RIGHT(E1490,3)+0,[1]SchLocTable!$A$2:$B$47,2,FALSE)," ")</f>
        <v>Dunbar</v>
      </c>
      <c r="B1490" s="366" t="str">
        <f>VLOOKUP(VALUE(D1490),$D$3:F$106,3,FALSE)</f>
        <v>Performing Arts</v>
      </c>
      <c r="C1490" t="s">
        <v>314</v>
      </c>
      <c r="D1490">
        <v>814</v>
      </c>
      <c r="E1490" t="s">
        <v>630</v>
      </c>
      <c r="F1490" t="s">
        <v>321</v>
      </c>
      <c r="G1490" t="s">
        <v>319</v>
      </c>
      <c r="H1490" s="502">
        <v>52917</v>
      </c>
      <c r="I1490" s="415">
        <v>0</v>
      </c>
      <c r="J1490" s="415">
        <v>0</v>
      </c>
      <c r="K1490" s="415">
        <v>12306.8</v>
      </c>
      <c r="L1490" s="415">
        <v>0</v>
      </c>
      <c r="M1490" s="415">
        <v>0</v>
      </c>
      <c r="N1490" s="415">
        <v>0</v>
      </c>
      <c r="O1490" s="415">
        <v>0</v>
      </c>
      <c r="P1490" s="415">
        <v>0</v>
      </c>
      <c r="Q1490" s="481">
        <f t="shared" si="69"/>
        <v>0</v>
      </c>
    </row>
    <row r="1491" spans="1:17" outlineLevel="2" x14ac:dyDescent="0.3">
      <c r="A1491" s="366" t="str">
        <f>IFERROR(VLOOKUP(RIGHT(E1491,3)+0,[1]SchLocTable!$A$2:$B$47,2,FALSE)," ")</f>
        <v>Dunbar</v>
      </c>
      <c r="B1491" s="366" t="str">
        <f>VLOOKUP(VALUE(D1491),$D$3:F$106,3,FALSE)</f>
        <v>Performing Arts</v>
      </c>
      <c r="C1491" t="s">
        <v>314</v>
      </c>
      <c r="D1491">
        <v>814</v>
      </c>
      <c r="E1491" t="s">
        <v>630</v>
      </c>
      <c r="F1491" t="s">
        <v>320</v>
      </c>
      <c r="G1491" t="s">
        <v>319</v>
      </c>
      <c r="H1491" s="502">
        <v>52360</v>
      </c>
      <c r="I1491" s="415">
        <v>975.48750000000007</v>
      </c>
      <c r="J1491" s="415">
        <v>0</v>
      </c>
      <c r="K1491" s="415">
        <v>607.04</v>
      </c>
      <c r="L1491" s="415">
        <v>0</v>
      </c>
      <c r="M1491" s="415">
        <v>0</v>
      </c>
      <c r="N1491" s="415">
        <v>0</v>
      </c>
      <c r="O1491" s="415">
        <v>0</v>
      </c>
      <c r="P1491" s="415">
        <v>0</v>
      </c>
      <c r="Q1491" s="481">
        <f t="shared" si="69"/>
        <v>-975.48750000000007</v>
      </c>
    </row>
    <row r="1492" spans="1:17" outlineLevel="2" x14ac:dyDescent="0.3">
      <c r="A1492" s="366" t="str">
        <f>IFERROR(VLOOKUP(RIGHT(E1492,3)+0,[1]SchLocTable!$A$2:$B$47,2,FALSE)," ")</f>
        <v>Dunbar</v>
      </c>
      <c r="B1492" s="366" t="str">
        <f>VLOOKUP(VALUE(D1492),$D$3:F$106,3,FALSE)</f>
        <v>Performing Arts</v>
      </c>
      <c r="C1492" t="s">
        <v>314</v>
      </c>
      <c r="D1492">
        <v>814</v>
      </c>
      <c r="E1492" t="s">
        <v>630</v>
      </c>
      <c r="F1492" t="s">
        <v>324</v>
      </c>
      <c r="G1492" t="s">
        <v>319</v>
      </c>
      <c r="H1492" s="502">
        <v>52385</v>
      </c>
      <c r="I1492" s="415">
        <v>4171.05</v>
      </c>
      <c r="J1492" s="415">
        <v>0</v>
      </c>
      <c r="K1492" s="415">
        <v>2595.64</v>
      </c>
      <c r="L1492" s="415">
        <v>0</v>
      </c>
      <c r="M1492" s="415">
        <v>0</v>
      </c>
      <c r="N1492" s="415">
        <v>0</v>
      </c>
      <c r="O1492" s="415">
        <v>0</v>
      </c>
      <c r="P1492" s="415">
        <v>0</v>
      </c>
      <c r="Q1492" s="481">
        <f t="shared" si="69"/>
        <v>-4171.05</v>
      </c>
    </row>
    <row r="1493" spans="1:17" outlineLevel="2" x14ac:dyDescent="0.3">
      <c r="A1493" s="366" t="str">
        <f>IFERROR(VLOOKUP(RIGHT(E1493,3)+0,[1]SchLocTable!$A$2:$B$47,2,FALSE)," ")</f>
        <v>Curiale</v>
      </c>
      <c r="B1493" s="366" t="str">
        <f>VLOOKUP(VALUE(D1493),$D$3:F$106,3,FALSE)</f>
        <v>Performing Arts</v>
      </c>
      <c r="C1493" t="s">
        <v>314</v>
      </c>
      <c r="D1493">
        <v>814</v>
      </c>
      <c r="E1493" t="s">
        <v>631</v>
      </c>
      <c r="F1493" t="s">
        <v>316</v>
      </c>
      <c r="G1493">
        <v>1</v>
      </c>
      <c r="H1493" s="502">
        <v>51000</v>
      </c>
      <c r="I1493" s="415">
        <v>67234.52996</v>
      </c>
      <c r="J1493" s="415">
        <v>63972</v>
      </c>
      <c r="K1493" s="415">
        <v>60782.25</v>
      </c>
      <c r="L1493" s="415">
        <v>57346.12</v>
      </c>
      <c r="M1493" s="415">
        <v>62152.09</v>
      </c>
      <c r="N1493" s="415">
        <v>99294.07</v>
      </c>
      <c r="O1493" s="415">
        <v>102708.29</v>
      </c>
      <c r="P1493" s="415">
        <v>100694.23</v>
      </c>
      <c r="Q1493" s="481">
        <f t="shared" si="69"/>
        <v>-3262.5299599999998</v>
      </c>
    </row>
    <row r="1494" spans="1:17" outlineLevel="2" x14ac:dyDescent="0.3">
      <c r="A1494" s="366" t="str">
        <f>IFERROR(VLOOKUP(RIGHT(E1494,3)+0,[1]SchLocTable!$A$2:$B$47,2,FALSE)," ")</f>
        <v>Curiale</v>
      </c>
      <c r="B1494" s="366" t="str">
        <f>VLOOKUP(VALUE(D1494),$D$3:F$106,3,FALSE)</f>
        <v>Performing Arts</v>
      </c>
      <c r="C1494" t="s">
        <v>314</v>
      </c>
      <c r="D1494">
        <v>814</v>
      </c>
      <c r="E1494" t="s">
        <v>631</v>
      </c>
      <c r="F1494" t="s">
        <v>321</v>
      </c>
      <c r="G1494" t="s">
        <v>319</v>
      </c>
      <c r="H1494" s="502">
        <v>52917</v>
      </c>
      <c r="I1494" s="415">
        <v>15644.663999999999</v>
      </c>
      <c r="J1494" s="415">
        <v>13037.22</v>
      </c>
      <c r="K1494" s="415">
        <v>11844</v>
      </c>
      <c r="L1494" s="415">
        <v>11684.82</v>
      </c>
      <c r="M1494" s="415">
        <v>14718.96</v>
      </c>
      <c r="N1494" s="415">
        <v>29239.17</v>
      </c>
      <c r="O1494" s="415">
        <v>19635.36</v>
      </c>
      <c r="P1494" s="415">
        <v>31431.96</v>
      </c>
      <c r="Q1494" s="481">
        <f t="shared" si="69"/>
        <v>-2607.4439999999995</v>
      </c>
    </row>
    <row r="1495" spans="1:17" outlineLevel="2" x14ac:dyDescent="0.3">
      <c r="A1495" s="366" t="str">
        <f>IFERROR(VLOOKUP(RIGHT(E1495,3)+0,[1]SchLocTable!$A$2:$B$47,2,FALSE)," ")</f>
        <v>Curiale</v>
      </c>
      <c r="B1495" s="366" t="str">
        <f>VLOOKUP(VALUE(D1495),$D$3:F$106,3,FALSE)</f>
        <v>Performing Arts</v>
      </c>
      <c r="C1495" t="s">
        <v>314</v>
      </c>
      <c r="D1495">
        <v>814</v>
      </c>
      <c r="E1495" t="s">
        <v>631</v>
      </c>
      <c r="F1495" t="s">
        <v>320</v>
      </c>
      <c r="G1495" t="s">
        <v>319</v>
      </c>
      <c r="H1495" s="502">
        <v>52360</v>
      </c>
      <c r="I1495" s="415">
        <v>974.90068442000006</v>
      </c>
      <c r="J1495" s="415">
        <v>857</v>
      </c>
      <c r="K1495" s="415">
        <v>818.16</v>
      </c>
      <c r="L1495" s="415">
        <v>783.12</v>
      </c>
      <c r="M1495" s="415">
        <v>836.32</v>
      </c>
      <c r="N1495" s="415">
        <v>1325.4</v>
      </c>
      <c r="O1495" s="415">
        <v>1414.67</v>
      </c>
      <c r="P1495" s="415">
        <v>1335.2</v>
      </c>
      <c r="Q1495" s="481">
        <f t="shared" si="69"/>
        <v>-117.90068442000006</v>
      </c>
    </row>
    <row r="1496" spans="1:17" outlineLevel="2" x14ac:dyDescent="0.3">
      <c r="A1496" s="366" t="str">
        <f>IFERROR(VLOOKUP(RIGHT(E1496,3)+0,[1]SchLocTable!$A$2:$B$47,2,FALSE)," ")</f>
        <v>Bassick HS</v>
      </c>
      <c r="B1496" s="366" t="str">
        <f>VLOOKUP(VALUE(D1496),$D$3:F$106,3,FALSE)</f>
        <v>Performing Arts</v>
      </c>
      <c r="C1496" t="s">
        <v>314</v>
      </c>
      <c r="D1496">
        <v>814</v>
      </c>
      <c r="E1496" t="s">
        <v>632</v>
      </c>
      <c r="F1496" t="s">
        <v>316</v>
      </c>
      <c r="G1496">
        <v>1</v>
      </c>
      <c r="H1496" s="502">
        <v>51000</v>
      </c>
      <c r="I1496" s="415">
        <v>100258.00096</v>
      </c>
      <c r="J1496" s="415">
        <v>95393</v>
      </c>
      <c r="K1496" s="415">
        <v>93293.98</v>
      </c>
      <c r="L1496" s="415">
        <v>98760.4</v>
      </c>
      <c r="M1496" s="415">
        <v>48817.08</v>
      </c>
      <c r="N1496" s="415">
        <v>59893.93</v>
      </c>
      <c r="O1496" s="415">
        <v>56917.9</v>
      </c>
      <c r="P1496" s="415">
        <v>56021.94</v>
      </c>
      <c r="Q1496" s="481">
        <f t="shared" si="69"/>
        <v>-4865.0009600000049</v>
      </c>
    </row>
    <row r="1497" spans="1:17" outlineLevel="2" x14ac:dyDescent="0.3">
      <c r="A1497" s="366" t="str">
        <f>IFERROR(VLOOKUP(RIGHT(E1497,3)+0,[1]SchLocTable!$A$2:$B$47,2,FALSE)," ")</f>
        <v>Bassick HS</v>
      </c>
      <c r="B1497" s="366" t="str">
        <f>VLOOKUP(VALUE(D1497),$D$3:F$106,3,FALSE)</f>
        <v>Performing Arts</v>
      </c>
      <c r="C1497" t="s">
        <v>314</v>
      </c>
      <c r="D1497">
        <v>814</v>
      </c>
      <c r="E1497" t="s">
        <v>632</v>
      </c>
      <c r="F1497" t="s">
        <v>321</v>
      </c>
      <c r="G1497" t="s">
        <v>319</v>
      </c>
      <c r="H1497" s="502">
        <v>52917</v>
      </c>
      <c r="I1497" s="415">
        <v>0</v>
      </c>
      <c r="J1497" s="415">
        <v>0</v>
      </c>
      <c r="K1497" s="415">
        <v>0</v>
      </c>
      <c r="L1497" s="415">
        <v>10450</v>
      </c>
      <c r="M1497" s="415">
        <v>360.99</v>
      </c>
      <c r="N1497" s="415">
        <v>9210.6200000000008</v>
      </c>
      <c r="O1497" s="415">
        <v>9393.69</v>
      </c>
      <c r="P1497" s="415">
        <v>5865.02</v>
      </c>
      <c r="Q1497" s="481">
        <f t="shared" si="69"/>
        <v>0</v>
      </c>
    </row>
    <row r="1498" spans="1:17" outlineLevel="2" x14ac:dyDescent="0.3">
      <c r="A1498" s="366" t="str">
        <f>IFERROR(VLOOKUP(RIGHT(E1498,3)+0,[1]SchLocTable!$A$2:$B$47,2,FALSE)," ")</f>
        <v>Bassick HS</v>
      </c>
      <c r="B1498" s="366" t="str">
        <f>VLOOKUP(VALUE(D1498),$D$3:F$106,3,FALSE)</f>
        <v>Performing Arts</v>
      </c>
      <c r="C1498" t="s">
        <v>314</v>
      </c>
      <c r="D1498">
        <v>814</v>
      </c>
      <c r="E1498" t="s">
        <v>632</v>
      </c>
      <c r="F1498" t="s">
        <v>320</v>
      </c>
      <c r="G1498" t="s">
        <v>319</v>
      </c>
      <c r="H1498" s="502">
        <v>52360</v>
      </c>
      <c r="I1498" s="415">
        <v>1453.7410139200001</v>
      </c>
      <c r="J1498" s="415">
        <v>1383</v>
      </c>
      <c r="K1498" s="415">
        <v>1352.76</v>
      </c>
      <c r="L1498" s="415">
        <v>1388.55</v>
      </c>
      <c r="M1498" s="415">
        <v>706.94</v>
      </c>
      <c r="N1498" s="415">
        <v>832.43</v>
      </c>
      <c r="O1498" s="415">
        <v>789.1</v>
      </c>
      <c r="P1498" s="415">
        <v>788.1</v>
      </c>
      <c r="Q1498" s="481">
        <f t="shared" si="69"/>
        <v>-70.741013920000114</v>
      </c>
    </row>
    <row r="1499" spans="1:17" outlineLevel="2" x14ac:dyDescent="0.3">
      <c r="A1499" s="366" t="str">
        <f>IFERROR(VLOOKUP(RIGHT(E1499,3)+0,[1]SchLocTable!$A$2:$B$47,2,FALSE)," ")</f>
        <v>Bassick HS</v>
      </c>
      <c r="B1499" s="366" t="str">
        <f>VLOOKUP(VALUE(D1499),$D$3:F$106,3,FALSE)</f>
        <v>Performing Arts</v>
      </c>
      <c r="C1499" t="s">
        <v>314</v>
      </c>
      <c r="D1499">
        <v>814</v>
      </c>
      <c r="E1499" t="s">
        <v>632</v>
      </c>
      <c r="F1499" t="s">
        <v>324</v>
      </c>
      <c r="G1499" t="s">
        <v>319</v>
      </c>
      <c r="H1499" s="502">
        <v>52385</v>
      </c>
      <c r="I1499" s="415">
        <v>0</v>
      </c>
      <c r="J1499" s="415">
        <v>0</v>
      </c>
      <c r="K1499" s="415">
        <v>0</v>
      </c>
      <c r="L1499" s="415">
        <v>1542.25</v>
      </c>
      <c r="M1499" s="415">
        <v>0</v>
      </c>
      <c r="N1499" s="415">
        <v>53.89</v>
      </c>
      <c r="O1499" s="415">
        <v>0</v>
      </c>
      <c r="P1499" s="415">
        <v>0</v>
      </c>
      <c r="Q1499" s="481">
        <f t="shared" si="69"/>
        <v>0</v>
      </c>
    </row>
    <row r="1500" spans="1:17" outlineLevel="2" x14ac:dyDescent="0.3">
      <c r="A1500" s="366" t="str">
        <f>IFERROR(VLOOKUP(RIGHT(E1500,3)+0,[1]SchLocTable!$A$2:$B$47,2,FALSE)," ")</f>
        <v>Central HS</v>
      </c>
      <c r="B1500" s="366" t="str">
        <f>VLOOKUP(VALUE(D1500),$D$3:F$106,3,FALSE)</f>
        <v>Performing Arts</v>
      </c>
      <c r="C1500" t="s">
        <v>314</v>
      </c>
      <c r="D1500">
        <v>814</v>
      </c>
      <c r="E1500" t="s">
        <v>633</v>
      </c>
      <c r="F1500" t="s">
        <v>316</v>
      </c>
      <c r="G1500">
        <v>2</v>
      </c>
      <c r="H1500" s="502">
        <v>51000</v>
      </c>
      <c r="I1500" s="415">
        <v>210686.49738999997</v>
      </c>
      <c r="J1500" s="415">
        <v>200463</v>
      </c>
      <c r="K1500" s="415">
        <v>196052.02</v>
      </c>
      <c r="L1500" s="415">
        <v>191737.99</v>
      </c>
      <c r="M1500" s="415">
        <v>89892.92</v>
      </c>
      <c r="N1500" s="415">
        <v>186112.94</v>
      </c>
      <c r="O1500" s="415">
        <v>183361.88</v>
      </c>
      <c r="P1500" s="415">
        <v>180475.1</v>
      </c>
      <c r="Q1500" s="481">
        <f t="shared" si="69"/>
        <v>-10223.497389999975</v>
      </c>
    </row>
    <row r="1501" spans="1:17" outlineLevel="2" x14ac:dyDescent="0.3">
      <c r="A1501" s="366" t="str">
        <f>IFERROR(VLOOKUP(RIGHT(E1501,3)+0,[1]SchLocTable!$A$2:$B$47,2,FALSE)," ")</f>
        <v>Central HS</v>
      </c>
      <c r="B1501" s="366" t="str">
        <f>VLOOKUP(VALUE(D1501),$D$3:F$106,3,FALSE)</f>
        <v>Performing Arts</v>
      </c>
      <c r="C1501" t="s">
        <v>314</v>
      </c>
      <c r="D1501">
        <v>814</v>
      </c>
      <c r="E1501" t="s">
        <v>633</v>
      </c>
      <c r="F1501" t="s">
        <v>321</v>
      </c>
      <c r="G1501" t="s">
        <v>319</v>
      </c>
      <c r="H1501" s="502">
        <v>52917</v>
      </c>
      <c r="I1501" s="415">
        <v>92661.911999999997</v>
      </c>
      <c r="J1501" s="415">
        <v>77218.259999999995</v>
      </c>
      <c r="K1501" s="415">
        <v>70151.759999999995</v>
      </c>
      <c r="L1501" s="415">
        <v>69213.899999999994</v>
      </c>
      <c r="M1501" s="415">
        <v>32449.200000000001</v>
      </c>
      <c r="N1501" s="415">
        <v>40541.550000000003</v>
      </c>
      <c r="O1501" s="415">
        <v>38895.18</v>
      </c>
      <c r="P1501" s="415">
        <v>36630.720000000001</v>
      </c>
      <c r="Q1501" s="481">
        <f t="shared" si="69"/>
        <v>-15443.652000000002</v>
      </c>
    </row>
    <row r="1502" spans="1:17" outlineLevel="2" x14ac:dyDescent="0.3">
      <c r="A1502" s="366" t="str">
        <f>IFERROR(VLOOKUP(RIGHT(E1502,3)+0,[1]SchLocTable!$A$2:$B$47,2,FALSE)," ")</f>
        <v>Central HS</v>
      </c>
      <c r="B1502" s="366" t="str">
        <f>VLOOKUP(VALUE(D1502),$D$3:F$106,3,FALSE)</f>
        <v>Performing Arts</v>
      </c>
      <c r="C1502" t="s">
        <v>314</v>
      </c>
      <c r="D1502">
        <v>814</v>
      </c>
      <c r="E1502" t="s">
        <v>633</v>
      </c>
      <c r="F1502" t="s">
        <v>318</v>
      </c>
      <c r="G1502" t="s">
        <v>319</v>
      </c>
      <c r="H1502" s="502">
        <v>51140</v>
      </c>
      <c r="I1502" s="415">
        <v>2500</v>
      </c>
      <c r="J1502" s="415">
        <v>0</v>
      </c>
      <c r="K1502" s="415">
        <v>2500</v>
      </c>
      <c r="L1502" s="415">
        <v>2400</v>
      </c>
      <c r="M1502" s="415">
        <v>1200</v>
      </c>
      <c r="N1502" s="415">
        <v>1200</v>
      </c>
      <c r="O1502" s="415">
        <v>1200</v>
      </c>
      <c r="P1502" s="415">
        <v>1200</v>
      </c>
      <c r="Q1502" s="481">
        <f t="shared" si="69"/>
        <v>-2500</v>
      </c>
    </row>
    <row r="1503" spans="1:17" outlineLevel="2" x14ac:dyDescent="0.3">
      <c r="A1503" s="366" t="str">
        <f>IFERROR(VLOOKUP(RIGHT(E1503,3)+0,[1]SchLocTable!$A$2:$B$47,2,FALSE)," ")</f>
        <v>Central HS</v>
      </c>
      <c r="B1503" s="366" t="str">
        <f>VLOOKUP(VALUE(D1503),$D$3:F$106,3,FALSE)</f>
        <v>Performing Arts</v>
      </c>
      <c r="C1503" t="s">
        <v>314</v>
      </c>
      <c r="D1503">
        <v>814</v>
      </c>
      <c r="E1503" t="s">
        <v>633</v>
      </c>
      <c r="F1503" t="s">
        <v>320</v>
      </c>
      <c r="G1503" t="s">
        <v>319</v>
      </c>
      <c r="H1503" s="502">
        <v>52360</v>
      </c>
      <c r="I1503" s="415">
        <v>3054.9542121550003</v>
      </c>
      <c r="J1503" s="415">
        <v>2565</v>
      </c>
      <c r="K1503" s="415">
        <v>2579.56</v>
      </c>
      <c r="L1503" s="415">
        <v>2528.39</v>
      </c>
      <c r="M1503" s="415">
        <v>1185.76</v>
      </c>
      <c r="N1503" s="415">
        <v>2557.75</v>
      </c>
      <c r="O1503" s="415">
        <v>2528.4299999999998</v>
      </c>
      <c r="P1503" s="415">
        <v>2497.13</v>
      </c>
      <c r="Q1503" s="481">
        <f t="shared" si="69"/>
        <v>-489.95421215500028</v>
      </c>
    </row>
    <row r="1504" spans="1:17" outlineLevel="2" x14ac:dyDescent="0.3">
      <c r="A1504" s="366" t="str">
        <f>IFERROR(VLOOKUP(RIGHT(E1504,3)+0,[1]SchLocTable!$A$2:$B$47,2,FALSE)," ")</f>
        <v>Harding HS</v>
      </c>
      <c r="B1504" s="366" t="str">
        <f>VLOOKUP(VALUE(D1504),$D$3:F$106,3,FALSE)</f>
        <v>Performing Arts</v>
      </c>
      <c r="C1504" t="s">
        <v>314</v>
      </c>
      <c r="D1504">
        <v>814</v>
      </c>
      <c r="E1504" t="s">
        <v>634</v>
      </c>
      <c r="F1504" t="s">
        <v>316</v>
      </c>
      <c r="G1504">
        <v>2</v>
      </c>
      <c r="H1504" s="502">
        <v>51000</v>
      </c>
      <c r="I1504" s="415">
        <v>170670.84951</v>
      </c>
      <c r="J1504" s="415">
        <v>162389</v>
      </c>
      <c r="K1504" s="415">
        <v>129177.49</v>
      </c>
      <c r="L1504" s="415">
        <v>151583.91</v>
      </c>
      <c r="M1504" s="415">
        <v>112339.03</v>
      </c>
      <c r="N1504" s="415">
        <v>154558.85999999999</v>
      </c>
      <c r="O1504" s="415">
        <v>190694.02</v>
      </c>
      <c r="P1504" s="415">
        <v>135621.09</v>
      </c>
      <c r="Q1504" s="481">
        <f t="shared" si="69"/>
        <v>-8281.84951</v>
      </c>
    </row>
    <row r="1505" spans="1:17" outlineLevel="2" x14ac:dyDescent="0.3">
      <c r="A1505" s="366" t="str">
        <f>IFERROR(VLOOKUP(RIGHT(E1505,3)+0,[1]SchLocTable!$A$2:$B$47,2,FALSE)," ")</f>
        <v>Harding HS</v>
      </c>
      <c r="B1505" s="366" t="str">
        <f>VLOOKUP(VALUE(D1505),$D$3:F$106,3,FALSE)</f>
        <v>Performing Arts</v>
      </c>
      <c r="C1505" t="s">
        <v>314</v>
      </c>
      <c r="D1505">
        <v>814</v>
      </c>
      <c r="E1505" t="s">
        <v>634</v>
      </c>
      <c r="F1505" t="s">
        <v>321</v>
      </c>
      <c r="G1505" t="s">
        <v>319</v>
      </c>
      <c r="H1505" s="502">
        <v>52917</v>
      </c>
      <c r="I1505" s="415">
        <v>46330.955999999998</v>
      </c>
      <c r="J1505" s="415">
        <v>38731.449999999997</v>
      </c>
      <c r="K1505" s="415">
        <v>36080.04</v>
      </c>
      <c r="L1505" s="415">
        <v>35878.92</v>
      </c>
      <c r="M1505" s="415">
        <v>43393.56</v>
      </c>
      <c r="N1505" s="415">
        <v>57693.63</v>
      </c>
      <c r="O1505" s="415">
        <v>67972.679999999993</v>
      </c>
      <c r="P1505" s="415">
        <v>36630.720000000001</v>
      </c>
      <c r="Q1505" s="481">
        <f t="shared" si="69"/>
        <v>-7599.5060000000012</v>
      </c>
    </row>
    <row r="1506" spans="1:17" outlineLevel="2" x14ac:dyDescent="0.3">
      <c r="A1506" s="366" t="str">
        <f>IFERROR(VLOOKUP(RIGHT(E1506,3)+0,[1]SchLocTable!$A$2:$B$47,2,FALSE)," ")</f>
        <v>Harding HS</v>
      </c>
      <c r="B1506" s="366" t="str">
        <f>VLOOKUP(VALUE(D1506),$D$3:F$106,3,FALSE)</f>
        <v>Performing Arts</v>
      </c>
      <c r="C1506" t="s">
        <v>314</v>
      </c>
      <c r="D1506">
        <v>814</v>
      </c>
      <c r="E1506" t="s">
        <v>634</v>
      </c>
      <c r="F1506" t="s">
        <v>320</v>
      </c>
      <c r="G1506" t="s">
        <v>319</v>
      </c>
      <c r="H1506" s="502">
        <v>52360</v>
      </c>
      <c r="I1506" s="415">
        <v>2474.7273178949999</v>
      </c>
      <c r="J1506" s="415">
        <v>2183</v>
      </c>
      <c r="K1506" s="415">
        <v>1720.68</v>
      </c>
      <c r="L1506" s="415">
        <v>2051.41</v>
      </c>
      <c r="M1506" s="415">
        <v>1454.03</v>
      </c>
      <c r="N1506" s="415">
        <v>2199.42</v>
      </c>
      <c r="O1506" s="415">
        <v>2525.75</v>
      </c>
      <c r="P1506" s="415">
        <v>1848.2</v>
      </c>
      <c r="Q1506" s="481">
        <f t="shared" si="69"/>
        <v>-291.72731789499994</v>
      </c>
    </row>
    <row r="1507" spans="1:17" outlineLevel="2" x14ac:dyDescent="0.3">
      <c r="A1507" s="366" t="str">
        <f>IFERROR(VLOOKUP(RIGHT(E1507,3)+0,[1]SchLocTable!$A$2:$B$47,2,FALSE)," ")</f>
        <v xml:space="preserve"> </v>
      </c>
      <c r="B1507" s="366" t="str">
        <f>VLOOKUP(VALUE(D1507),$D$3:F$106,3,FALSE)</f>
        <v>English</v>
      </c>
      <c r="C1507" t="s">
        <v>314</v>
      </c>
      <c r="D1507">
        <v>815</v>
      </c>
      <c r="E1507" t="s">
        <v>635</v>
      </c>
      <c r="F1507" t="s">
        <v>316</v>
      </c>
      <c r="G1507">
        <v>1</v>
      </c>
      <c r="H1507" s="502">
        <v>51000</v>
      </c>
      <c r="I1507" s="415">
        <v>110428.46490000001</v>
      </c>
      <c r="J1507" s="415">
        <v>105069.9</v>
      </c>
      <c r="K1507" s="415">
        <v>102757.98</v>
      </c>
      <c r="L1507" s="415">
        <v>100497.02</v>
      </c>
      <c r="M1507" s="415">
        <v>90488.89</v>
      </c>
      <c r="N1507" s="415">
        <v>0</v>
      </c>
      <c r="O1507" s="415">
        <v>0</v>
      </c>
      <c r="P1507" s="415">
        <v>0</v>
      </c>
      <c r="Q1507" s="481">
        <f t="shared" si="69"/>
        <v>-5358.5649000000121</v>
      </c>
    </row>
    <row r="1508" spans="1:17" outlineLevel="2" x14ac:dyDescent="0.3">
      <c r="A1508" s="366" t="str">
        <f>IFERROR(VLOOKUP(RIGHT(E1508,3)+0,[1]SchLocTable!$A$2:$B$47,2,FALSE)," ")</f>
        <v xml:space="preserve"> </v>
      </c>
      <c r="B1508" s="366" t="str">
        <f>VLOOKUP(VALUE(D1508),$D$3:F$106,3,FALSE)</f>
        <v>English</v>
      </c>
      <c r="C1508" t="s">
        <v>314</v>
      </c>
      <c r="D1508">
        <v>815</v>
      </c>
      <c r="E1508" t="s">
        <v>635</v>
      </c>
      <c r="F1508" t="s">
        <v>321</v>
      </c>
      <c r="G1508" t="s">
        <v>319</v>
      </c>
      <c r="H1508" s="502">
        <v>52917</v>
      </c>
      <c r="I1508" s="415">
        <v>37644.263999999996</v>
      </c>
      <c r="J1508" s="415">
        <v>31370.22</v>
      </c>
      <c r="K1508" s="415">
        <v>28478.1</v>
      </c>
      <c r="L1508" s="415">
        <v>28076.37</v>
      </c>
      <c r="M1508" s="415">
        <v>22856.03</v>
      </c>
      <c r="N1508" s="415">
        <v>0</v>
      </c>
      <c r="O1508" s="415">
        <v>0</v>
      </c>
      <c r="P1508" s="415">
        <v>0</v>
      </c>
      <c r="Q1508" s="481">
        <f t="shared" si="69"/>
        <v>-6274.0439999999944</v>
      </c>
    </row>
    <row r="1509" spans="1:17" outlineLevel="2" x14ac:dyDescent="0.3">
      <c r="A1509" s="366" t="str">
        <f>IFERROR(VLOOKUP(RIGHT(E1509,3)+0,[1]SchLocTable!$A$2:$B$47,2,FALSE)," ")</f>
        <v xml:space="preserve"> </v>
      </c>
      <c r="B1509" s="366" t="str">
        <f>VLOOKUP(VALUE(D1509),$D$3:F$106,3,FALSE)</f>
        <v>English</v>
      </c>
      <c r="C1509" t="s">
        <v>314</v>
      </c>
      <c r="D1509">
        <v>815</v>
      </c>
      <c r="E1509" t="s">
        <v>635</v>
      </c>
      <c r="F1509" t="s">
        <v>318</v>
      </c>
      <c r="G1509" t="s">
        <v>319</v>
      </c>
      <c r="H1509" s="502">
        <v>51140</v>
      </c>
      <c r="I1509" s="415">
        <v>1200</v>
      </c>
      <c r="J1509" s="415">
        <v>0</v>
      </c>
      <c r="K1509" s="415">
        <v>1200</v>
      </c>
      <c r="L1509" s="415">
        <v>1200</v>
      </c>
      <c r="M1509" s="415">
        <v>1100</v>
      </c>
      <c r="N1509" s="415">
        <v>0</v>
      </c>
      <c r="O1509" s="415">
        <v>0</v>
      </c>
      <c r="P1509" s="415">
        <v>0</v>
      </c>
      <c r="Q1509" s="481">
        <f t="shared" si="69"/>
        <v>-1200</v>
      </c>
    </row>
    <row r="1510" spans="1:17" outlineLevel="2" x14ac:dyDescent="0.3">
      <c r="A1510" s="366" t="str">
        <f>IFERROR(VLOOKUP(RIGHT(E1510,3)+0,[1]SchLocTable!$A$2:$B$47,2,FALSE)," ")</f>
        <v xml:space="preserve"> </v>
      </c>
      <c r="B1510" s="366" t="str">
        <f>VLOOKUP(VALUE(D1510),$D$3:F$106,3,FALSE)</f>
        <v>English</v>
      </c>
      <c r="C1510" t="s">
        <v>314</v>
      </c>
      <c r="D1510">
        <v>815</v>
      </c>
      <c r="E1510" t="s">
        <v>635</v>
      </c>
      <c r="F1510" t="s">
        <v>320</v>
      </c>
      <c r="G1510" t="s">
        <v>319</v>
      </c>
      <c r="H1510" s="502">
        <v>52360</v>
      </c>
      <c r="I1510" s="415">
        <v>1601.2127410500002</v>
      </c>
      <c r="J1510" s="415">
        <v>1503.75</v>
      </c>
      <c r="K1510" s="415">
        <v>1385.52</v>
      </c>
      <c r="L1510" s="415">
        <v>1357.99</v>
      </c>
      <c r="M1510" s="415">
        <v>1238.4000000000001</v>
      </c>
      <c r="N1510" s="415">
        <v>0</v>
      </c>
      <c r="O1510" s="415">
        <v>0</v>
      </c>
      <c r="P1510" s="415">
        <v>0</v>
      </c>
      <c r="Q1510" s="481">
        <f t="shared" si="69"/>
        <v>-97.462741050000204</v>
      </c>
    </row>
    <row r="1511" spans="1:17" outlineLevel="2" x14ac:dyDescent="0.3">
      <c r="A1511" s="366" t="str">
        <f>IFERROR(VLOOKUP(RIGHT(E1511,3)+0,[1]SchLocTable!$A$2:$B$47,2,FALSE)," ")</f>
        <v>Barnum</v>
      </c>
      <c r="B1511" s="366" t="str">
        <f>VLOOKUP(VALUE(D1511),$D$3:F$106,3,FALSE)</f>
        <v>English</v>
      </c>
      <c r="C1511" t="s">
        <v>314</v>
      </c>
      <c r="D1511">
        <v>815</v>
      </c>
      <c r="E1511" t="s">
        <v>636</v>
      </c>
      <c r="F1511" t="s">
        <v>316</v>
      </c>
      <c r="G1511">
        <v>1</v>
      </c>
      <c r="H1511" s="502">
        <v>51000</v>
      </c>
      <c r="I1511" s="415">
        <v>58375.587899999999</v>
      </c>
      <c r="J1511" s="415">
        <v>0</v>
      </c>
      <c r="K1511" s="415">
        <v>32695.95</v>
      </c>
      <c r="L1511" s="415">
        <v>54993.120000000003</v>
      </c>
      <c r="M1511" s="415">
        <v>52618.559999999998</v>
      </c>
      <c r="N1511" s="415">
        <v>50536.08</v>
      </c>
      <c r="O1511" s="415">
        <v>48170.98</v>
      </c>
      <c r="P1511" s="415">
        <v>47412.04</v>
      </c>
      <c r="Q1511" s="481">
        <f t="shared" si="69"/>
        <v>-58375.587899999999</v>
      </c>
    </row>
    <row r="1512" spans="1:17" outlineLevel="2" x14ac:dyDescent="0.3">
      <c r="A1512" s="366" t="str">
        <f>IFERROR(VLOOKUP(RIGHT(E1512,3)+0,[1]SchLocTable!$A$2:$B$47,2,FALSE)," ")</f>
        <v>Barnum</v>
      </c>
      <c r="B1512" s="366" t="str">
        <f>VLOOKUP(VALUE(D1512),$D$3:F$106,3,FALSE)</f>
        <v>English</v>
      </c>
      <c r="C1512" t="s">
        <v>314</v>
      </c>
      <c r="D1512">
        <v>815</v>
      </c>
      <c r="E1512" t="s">
        <v>636</v>
      </c>
      <c r="F1512" t="s">
        <v>321</v>
      </c>
      <c r="G1512" t="s">
        <v>319</v>
      </c>
      <c r="H1512" s="502">
        <v>52917</v>
      </c>
      <c r="I1512" s="415">
        <v>15644.663999999999</v>
      </c>
      <c r="J1512" s="415">
        <v>0</v>
      </c>
      <c r="K1512" s="415">
        <v>8289.4</v>
      </c>
      <c r="L1512" s="415">
        <v>12240.9</v>
      </c>
      <c r="M1512" s="415">
        <v>11612.79</v>
      </c>
      <c r="N1512" s="415">
        <v>10788.96</v>
      </c>
      <c r="O1512" s="415">
        <v>10410.5</v>
      </c>
      <c r="P1512" s="415">
        <v>9954.2099999999991</v>
      </c>
      <c r="Q1512" s="481">
        <f t="shared" si="69"/>
        <v>-15644.663999999999</v>
      </c>
    </row>
    <row r="1513" spans="1:17" outlineLevel="2" x14ac:dyDescent="0.3">
      <c r="A1513" s="366" t="str">
        <f>IFERROR(VLOOKUP(RIGHT(E1513,3)+0,[1]SchLocTable!$A$2:$B$47,2,FALSE)," ")</f>
        <v>Barnum</v>
      </c>
      <c r="B1513" s="366" t="str">
        <f>VLOOKUP(VALUE(D1513),$D$3:F$106,3,FALSE)</f>
        <v>English</v>
      </c>
      <c r="C1513" t="s">
        <v>314</v>
      </c>
      <c r="D1513">
        <v>815</v>
      </c>
      <c r="E1513" t="s">
        <v>636</v>
      </c>
      <c r="F1513" t="s">
        <v>320</v>
      </c>
      <c r="G1513" t="s">
        <v>319</v>
      </c>
      <c r="H1513" s="502">
        <v>52360</v>
      </c>
      <c r="I1513" s="415">
        <v>846.44602455000006</v>
      </c>
      <c r="J1513" s="415">
        <v>0</v>
      </c>
      <c r="K1513" s="415">
        <v>439.34</v>
      </c>
      <c r="L1513" s="415">
        <v>747.58</v>
      </c>
      <c r="M1513" s="415">
        <v>717.13</v>
      </c>
      <c r="N1513" s="415">
        <v>691.4</v>
      </c>
      <c r="O1513" s="415">
        <v>659.67</v>
      </c>
      <c r="P1513" s="415">
        <v>651.70000000000005</v>
      </c>
      <c r="Q1513" s="481">
        <f t="shared" si="69"/>
        <v>-846.44602455000006</v>
      </c>
    </row>
    <row r="1514" spans="1:17" outlineLevel="2" x14ac:dyDescent="0.3">
      <c r="A1514" s="366" t="str">
        <f>IFERROR(VLOOKUP(RIGHT(E1514,3)+0,[1]SchLocTable!$A$2:$B$47,2,FALSE)," ")</f>
        <v>Barnum</v>
      </c>
      <c r="B1514" s="366" t="str">
        <f>VLOOKUP(VALUE(D1514),$D$3:F$106,3,FALSE)</f>
        <v>English</v>
      </c>
      <c r="C1514" t="s">
        <v>314</v>
      </c>
      <c r="D1514">
        <v>815</v>
      </c>
      <c r="E1514" t="s">
        <v>636</v>
      </c>
      <c r="F1514" t="s">
        <v>324</v>
      </c>
      <c r="G1514" t="s">
        <v>319</v>
      </c>
      <c r="H1514" s="502">
        <v>52385</v>
      </c>
      <c r="I1514" s="415">
        <v>0</v>
      </c>
      <c r="J1514" s="415">
        <v>0</v>
      </c>
      <c r="K1514" s="415">
        <v>0</v>
      </c>
      <c r="L1514" s="415">
        <v>0</v>
      </c>
      <c r="M1514" s="415">
        <v>0</v>
      </c>
      <c r="N1514" s="415">
        <v>0</v>
      </c>
      <c r="O1514" s="415">
        <v>0</v>
      </c>
      <c r="P1514" s="415">
        <v>0</v>
      </c>
      <c r="Q1514" s="481">
        <f t="shared" si="69"/>
        <v>0</v>
      </c>
    </row>
    <row r="1515" spans="1:17" outlineLevel="2" x14ac:dyDescent="0.3">
      <c r="A1515" s="366" t="str">
        <f>IFERROR(VLOOKUP(RIGHT(E1515,3)+0,[1]SchLocTable!$A$2:$B$47,2,FALSE)," ")</f>
        <v>Black Rock</v>
      </c>
      <c r="B1515" s="366" t="str">
        <f>VLOOKUP(VALUE(D1515),$D$3:F$106,3,FALSE)</f>
        <v>English</v>
      </c>
      <c r="C1515" t="s">
        <v>314</v>
      </c>
      <c r="D1515">
        <v>815</v>
      </c>
      <c r="E1515" t="s">
        <v>637</v>
      </c>
      <c r="F1515" t="s">
        <v>316</v>
      </c>
      <c r="G1515">
        <v>1</v>
      </c>
      <c r="H1515" s="502">
        <v>51000</v>
      </c>
      <c r="I1515" s="415">
        <v>64054.33008</v>
      </c>
      <c r="J1515" s="415">
        <v>60946</v>
      </c>
      <c r="K1515" s="415">
        <v>57918.9</v>
      </c>
      <c r="L1515" s="415">
        <v>52581.82</v>
      </c>
      <c r="M1515" s="415">
        <v>68473.08</v>
      </c>
      <c r="N1515" s="415">
        <v>64194</v>
      </c>
      <c r="O1515" s="415">
        <v>57346.12</v>
      </c>
      <c r="P1515" s="415">
        <v>56442.879999999997</v>
      </c>
      <c r="Q1515" s="481">
        <f t="shared" si="69"/>
        <v>-3108.3300799999997</v>
      </c>
    </row>
    <row r="1516" spans="1:17" outlineLevel="2" x14ac:dyDescent="0.3">
      <c r="A1516" s="366" t="str">
        <f>IFERROR(VLOOKUP(RIGHT(E1516,3)+0,[1]SchLocTable!$A$2:$B$47,2,FALSE)," ")</f>
        <v>Black Rock</v>
      </c>
      <c r="B1516" s="366" t="str">
        <f>VLOOKUP(VALUE(D1516),$D$3:F$106,3,FALSE)</f>
        <v>English</v>
      </c>
      <c r="C1516" t="s">
        <v>314</v>
      </c>
      <c r="D1516">
        <v>815</v>
      </c>
      <c r="E1516" t="s">
        <v>637</v>
      </c>
      <c r="F1516" t="s">
        <v>321</v>
      </c>
      <c r="G1516" t="s">
        <v>319</v>
      </c>
      <c r="H1516" s="502">
        <v>52917</v>
      </c>
      <c r="I1516" s="415">
        <v>0</v>
      </c>
      <c r="J1516" s="415">
        <v>0</v>
      </c>
      <c r="K1516" s="415">
        <v>0</v>
      </c>
      <c r="L1516" s="415">
        <v>0</v>
      </c>
      <c r="M1516" s="415">
        <v>428.19</v>
      </c>
      <c r="N1516" s="415">
        <v>479.64</v>
      </c>
      <c r="O1516" s="415">
        <v>7557.43</v>
      </c>
      <c r="P1516" s="415">
        <v>9245.67</v>
      </c>
      <c r="Q1516" s="481">
        <f t="shared" si="69"/>
        <v>0</v>
      </c>
    </row>
    <row r="1517" spans="1:17" outlineLevel="2" x14ac:dyDescent="0.3">
      <c r="A1517" s="366" t="str">
        <f>IFERROR(VLOOKUP(RIGHT(E1517,3)+0,[1]SchLocTable!$A$2:$B$47,2,FALSE)," ")</f>
        <v>Black Rock</v>
      </c>
      <c r="B1517" s="366" t="str">
        <f>VLOOKUP(VALUE(D1517),$D$3:F$106,3,FALSE)</f>
        <v>English</v>
      </c>
      <c r="C1517" t="s">
        <v>314</v>
      </c>
      <c r="D1517">
        <v>815</v>
      </c>
      <c r="E1517" t="s">
        <v>637</v>
      </c>
      <c r="F1517" t="s">
        <v>320</v>
      </c>
      <c r="G1517" t="s">
        <v>319</v>
      </c>
      <c r="H1517" s="502">
        <v>52360</v>
      </c>
      <c r="I1517" s="415">
        <v>928.78778616</v>
      </c>
      <c r="J1517" s="415">
        <v>884</v>
      </c>
      <c r="K1517" s="415">
        <v>839.82</v>
      </c>
      <c r="L1517" s="415">
        <v>762.46</v>
      </c>
      <c r="M1517" s="415">
        <v>991.77</v>
      </c>
      <c r="N1517" s="415">
        <v>929.58</v>
      </c>
      <c r="O1517" s="415">
        <v>802.94</v>
      </c>
      <c r="P1517" s="415">
        <v>783.79</v>
      </c>
      <c r="Q1517" s="481">
        <f t="shared" si="69"/>
        <v>-44.787786159999996</v>
      </c>
    </row>
    <row r="1518" spans="1:17" outlineLevel="2" x14ac:dyDescent="0.3">
      <c r="A1518" s="366" t="str">
        <f>IFERROR(VLOOKUP(RIGHT(E1518,3)+0,[1]SchLocTable!$A$2:$B$47,2,FALSE)," ")</f>
        <v>Black Rock</v>
      </c>
      <c r="B1518" s="366" t="str">
        <f>VLOOKUP(VALUE(D1518),$D$3:F$106,3,FALSE)</f>
        <v>English</v>
      </c>
      <c r="C1518" t="s">
        <v>314</v>
      </c>
      <c r="D1518">
        <v>815</v>
      </c>
      <c r="E1518" t="s">
        <v>637</v>
      </c>
      <c r="F1518" t="s">
        <v>324</v>
      </c>
      <c r="G1518" t="s">
        <v>319</v>
      </c>
      <c r="H1518" s="502">
        <v>52385</v>
      </c>
      <c r="I1518" s="415">
        <v>0</v>
      </c>
      <c r="J1518" s="415">
        <v>0</v>
      </c>
      <c r="K1518" s="415">
        <v>0</v>
      </c>
      <c r="L1518" s="415">
        <v>2286.2600000000002</v>
      </c>
      <c r="M1518" s="415">
        <v>0</v>
      </c>
      <c r="N1518" s="415">
        <v>0</v>
      </c>
      <c r="O1518" s="415">
        <v>0</v>
      </c>
      <c r="P1518" s="415">
        <v>0</v>
      </c>
      <c r="Q1518" s="481">
        <f t="shared" si="69"/>
        <v>0</v>
      </c>
    </row>
    <row r="1519" spans="1:17" outlineLevel="2" x14ac:dyDescent="0.3">
      <c r="A1519" s="366" t="str">
        <f>IFERROR(VLOOKUP(RIGHT(E1519,3)+0,[1]SchLocTable!$A$2:$B$47,2,FALSE)," ")</f>
        <v>Bryant</v>
      </c>
      <c r="B1519" s="366" t="str">
        <f>VLOOKUP(VALUE(D1519),$D$3:F$106,3,FALSE)</f>
        <v>English</v>
      </c>
      <c r="C1519" t="s">
        <v>314</v>
      </c>
      <c r="D1519">
        <v>815</v>
      </c>
      <c r="E1519" t="s">
        <v>1311</v>
      </c>
      <c r="F1519" t="s">
        <v>316</v>
      </c>
      <c r="G1519" t="s">
        <v>319</v>
      </c>
      <c r="H1519" s="502">
        <v>51000</v>
      </c>
      <c r="I1519" s="415">
        <v>100258.00096</v>
      </c>
      <c r="J1519" s="415">
        <v>0</v>
      </c>
      <c r="K1519" s="415">
        <v>0</v>
      </c>
      <c r="L1519" s="415">
        <v>0</v>
      </c>
      <c r="M1519" s="415">
        <v>0</v>
      </c>
      <c r="N1519" s="415">
        <v>0</v>
      </c>
      <c r="O1519" s="415">
        <v>0</v>
      </c>
      <c r="P1519" s="415">
        <v>0</v>
      </c>
      <c r="Q1519" s="481">
        <f t="shared" si="69"/>
        <v>-100258.00096</v>
      </c>
    </row>
    <row r="1520" spans="1:17" outlineLevel="2" x14ac:dyDescent="0.3">
      <c r="A1520" s="366" t="str">
        <f>IFERROR(VLOOKUP(RIGHT(E1520,3)+0,[1]SchLocTable!$A$2:$B$47,2,FALSE)," ")</f>
        <v>Bryant</v>
      </c>
      <c r="B1520" s="366" t="str">
        <f>VLOOKUP(VALUE(D1520),$D$3:F$106,3,FALSE)</f>
        <v>English</v>
      </c>
      <c r="C1520" t="s">
        <v>314</v>
      </c>
      <c r="D1520">
        <v>815</v>
      </c>
      <c r="E1520" t="s">
        <v>1311</v>
      </c>
      <c r="F1520" t="s">
        <v>321</v>
      </c>
      <c r="G1520" t="s">
        <v>319</v>
      </c>
      <c r="H1520" s="502">
        <v>52917</v>
      </c>
      <c r="I1520" s="415">
        <v>15644.663999999999</v>
      </c>
      <c r="J1520" s="415">
        <v>0</v>
      </c>
      <c r="K1520" s="415">
        <v>0</v>
      </c>
      <c r="L1520" s="415">
        <v>0</v>
      </c>
      <c r="M1520" s="415">
        <v>0</v>
      </c>
      <c r="N1520" s="415">
        <v>0</v>
      </c>
      <c r="O1520" s="415">
        <v>0</v>
      </c>
      <c r="P1520" s="415">
        <v>0</v>
      </c>
      <c r="Q1520" s="481">
        <f t="shared" si="69"/>
        <v>-15644.663999999999</v>
      </c>
    </row>
    <row r="1521" spans="1:17" outlineLevel="2" x14ac:dyDescent="0.3">
      <c r="A1521" s="366" t="str">
        <f>IFERROR(VLOOKUP(RIGHT(E1521,3)+0,[1]SchLocTable!$A$2:$B$47,2,FALSE)," ")</f>
        <v>Bryant</v>
      </c>
      <c r="B1521" s="366" t="str">
        <f>VLOOKUP(VALUE(D1521),$D$3:F$106,3,FALSE)</f>
        <v>English</v>
      </c>
      <c r="C1521" t="s">
        <v>314</v>
      </c>
      <c r="D1521">
        <v>815</v>
      </c>
      <c r="E1521" t="s">
        <v>1311</v>
      </c>
      <c r="F1521" t="s">
        <v>320</v>
      </c>
      <c r="G1521" t="s">
        <v>319</v>
      </c>
      <c r="H1521" s="502">
        <v>52360</v>
      </c>
      <c r="I1521" s="415">
        <v>1453.7410139200001</v>
      </c>
      <c r="J1521" s="415">
        <v>0</v>
      </c>
      <c r="K1521" s="415">
        <v>0</v>
      </c>
      <c r="L1521" s="415">
        <v>0</v>
      </c>
      <c r="M1521" s="415">
        <v>0</v>
      </c>
      <c r="N1521" s="415">
        <v>0</v>
      </c>
      <c r="O1521" s="415">
        <v>0</v>
      </c>
      <c r="P1521" s="415">
        <v>0</v>
      </c>
      <c r="Q1521" s="481">
        <f t="shared" si="69"/>
        <v>-1453.7410139200001</v>
      </c>
    </row>
    <row r="1522" spans="1:17" outlineLevel="2" x14ac:dyDescent="0.3">
      <c r="A1522" s="366" t="str">
        <f>IFERROR(VLOOKUP(RIGHT(E1522,3)+0,[1]SchLocTable!$A$2:$B$47,2,FALSE)," ")</f>
        <v>Columbus</v>
      </c>
      <c r="B1522" s="366" t="str">
        <f>VLOOKUP(VALUE(D1522),$D$3:F$106,3,FALSE)</f>
        <v>English</v>
      </c>
      <c r="C1522" t="s">
        <v>314</v>
      </c>
      <c r="D1522">
        <v>815</v>
      </c>
      <c r="E1522" t="s">
        <v>638</v>
      </c>
      <c r="F1522" t="s">
        <v>316</v>
      </c>
      <c r="G1522" t="s">
        <v>319</v>
      </c>
      <c r="H1522" s="502">
        <v>51000</v>
      </c>
      <c r="I1522" s="415">
        <v>80000</v>
      </c>
      <c r="J1522" s="415">
        <v>0</v>
      </c>
      <c r="K1522" s="415">
        <v>20719.86</v>
      </c>
      <c r="L1522" s="415">
        <v>83106.92</v>
      </c>
      <c r="M1522" s="415">
        <v>77032.02</v>
      </c>
      <c r="N1522" s="415">
        <v>72752.94</v>
      </c>
      <c r="O1522" s="415">
        <v>68473.08</v>
      </c>
      <c r="P1522" s="415">
        <v>52069.94</v>
      </c>
      <c r="Q1522" s="481">
        <f t="shared" si="69"/>
        <v>-80000</v>
      </c>
    </row>
    <row r="1523" spans="1:17" outlineLevel="2" x14ac:dyDescent="0.3">
      <c r="A1523" s="366" t="str">
        <f>IFERROR(VLOOKUP(RIGHT(E1523,3)+0,[1]SchLocTable!$A$2:$B$47,2,FALSE)," ")</f>
        <v>Columbus</v>
      </c>
      <c r="B1523" s="366" t="str">
        <f>VLOOKUP(VALUE(D1523),$D$3:F$106,3,FALSE)</f>
        <v>English</v>
      </c>
      <c r="C1523" t="s">
        <v>314</v>
      </c>
      <c r="D1523">
        <v>815</v>
      </c>
      <c r="E1523" t="s">
        <v>638</v>
      </c>
      <c r="F1523" t="s">
        <v>320</v>
      </c>
      <c r="G1523" t="s">
        <v>319</v>
      </c>
      <c r="H1523" s="502">
        <v>52360</v>
      </c>
      <c r="I1523" s="415">
        <v>1160</v>
      </c>
      <c r="J1523" s="415">
        <v>0</v>
      </c>
      <c r="K1523" s="415">
        <v>300.44</v>
      </c>
      <c r="L1523" s="415">
        <v>1205.06</v>
      </c>
      <c r="M1523" s="415">
        <v>1116.97</v>
      </c>
      <c r="N1523" s="415">
        <v>1054.8699999999999</v>
      </c>
      <c r="O1523" s="415">
        <v>992.86</v>
      </c>
      <c r="P1523" s="415">
        <v>720.38</v>
      </c>
      <c r="Q1523" s="481">
        <f t="shared" si="69"/>
        <v>-1160</v>
      </c>
    </row>
    <row r="1524" spans="1:17" outlineLevel="2" x14ac:dyDescent="0.3">
      <c r="A1524" s="366" t="str">
        <f>IFERROR(VLOOKUP(RIGHT(E1524,3)+0,[1]SchLocTable!$A$2:$B$47,2,FALSE)," ")</f>
        <v>Physical Science HS</v>
      </c>
      <c r="B1524" s="366" t="str">
        <f>VLOOKUP(VALUE(D1524),$D$3:F$106,3,FALSE)</f>
        <v>English</v>
      </c>
      <c r="C1524" t="s">
        <v>314</v>
      </c>
      <c r="D1524">
        <v>815</v>
      </c>
      <c r="E1524" t="s">
        <v>639</v>
      </c>
      <c r="F1524" t="s">
        <v>316</v>
      </c>
      <c r="G1524">
        <v>2</v>
      </c>
      <c r="H1524" s="502">
        <v>51000</v>
      </c>
      <c r="I1524" s="415">
        <v>221645.2849</v>
      </c>
      <c r="J1524" s="415">
        <v>210890</v>
      </c>
      <c r="K1524" s="415">
        <v>206266.06</v>
      </c>
      <c r="L1524" s="415">
        <v>194470</v>
      </c>
      <c r="M1524" s="415">
        <v>168645</v>
      </c>
      <c r="N1524" s="415">
        <v>0</v>
      </c>
      <c r="O1524" s="415">
        <v>0</v>
      </c>
      <c r="P1524" s="415">
        <v>112732.1</v>
      </c>
      <c r="Q1524" s="481">
        <f t="shared" si="69"/>
        <v>-10755.284899999999</v>
      </c>
    </row>
    <row r="1525" spans="1:17" outlineLevel="2" x14ac:dyDescent="0.3">
      <c r="A1525" s="366" t="str">
        <f>IFERROR(VLOOKUP(RIGHT(E1525,3)+0,[1]SchLocTable!$A$2:$B$47,2,FALSE)," ")</f>
        <v>Physical Science HS</v>
      </c>
      <c r="B1525" s="366" t="str">
        <f>VLOOKUP(VALUE(D1525),$D$3:F$106,3,FALSE)</f>
        <v>English</v>
      </c>
      <c r="C1525" t="s">
        <v>314</v>
      </c>
      <c r="D1525">
        <v>815</v>
      </c>
      <c r="E1525" t="s">
        <v>639</v>
      </c>
      <c r="F1525" t="s">
        <v>321</v>
      </c>
      <c r="G1525" t="s">
        <v>319</v>
      </c>
      <c r="H1525" s="502">
        <v>52917</v>
      </c>
      <c r="I1525" s="415">
        <v>92661.911999999997</v>
      </c>
      <c r="J1525" s="415">
        <v>77218.259999999995</v>
      </c>
      <c r="K1525" s="415">
        <v>70151.759999999995</v>
      </c>
      <c r="L1525" s="415">
        <v>70382.44</v>
      </c>
      <c r="M1525" s="415">
        <v>69729.03</v>
      </c>
      <c r="N1525" s="415">
        <v>0</v>
      </c>
      <c r="O1525" s="415">
        <v>0</v>
      </c>
      <c r="P1525" s="415">
        <v>27479.9</v>
      </c>
      <c r="Q1525" s="481">
        <f t="shared" si="69"/>
        <v>-15443.652000000002</v>
      </c>
    </row>
    <row r="1526" spans="1:17" outlineLevel="2" x14ac:dyDescent="0.3">
      <c r="A1526" s="366" t="str">
        <f>IFERROR(VLOOKUP(RIGHT(E1526,3)+0,[1]SchLocTable!$A$2:$B$47,2,FALSE)," ")</f>
        <v>Physical Science HS</v>
      </c>
      <c r="B1526" s="366" t="str">
        <f>VLOOKUP(VALUE(D1526),$D$3:F$106,3,FALSE)</f>
        <v>English</v>
      </c>
      <c r="C1526" t="s">
        <v>314</v>
      </c>
      <c r="D1526">
        <v>815</v>
      </c>
      <c r="E1526" t="s">
        <v>639</v>
      </c>
      <c r="F1526" t="s">
        <v>318</v>
      </c>
      <c r="G1526" t="s">
        <v>319</v>
      </c>
      <c r="H1526" s="502">
        <v>51140</v>
      </c>
      <c r="I1526" s="415">
        <v>1100</v>
      </c>
      <c r="J1526" s="415">
        <v>0</v>
      </c>
      <c r="K1526" s="415">
        <v>900</v>
      </c>
      <c r="L1526" s="415">
        <v>900</v>
      </c>
      <c r="M1526" s="415">
        <v>0</v>
      </c>
      <c r="N1526" s="415">
        <v>0</v>
      </c>
      <c r="O1526" s="415">
        <v>0</v>
      </c>
      <c r="P1526" s="415">
        <v>0</v>
      </c>
      <c r="Q1526" s="481">
        <f t="shared" si="69"/>
        <v>-1100</v>
      </c>
    </row>
    <row r="1527" spans="1:17" outlineLevel="2" x14ac:dyDescent="0.3">
      <c r="A1527" s="366" t="str">
        <f>IFERROR(VLOOKUP(RIGHT(E1527,3)+0,[1]SchLocTable!$A$2:$B$47,2,FALSE)," ")</f>
        <v>Physical Science HS</v>
      </c>
      <c r="B1527" s="366" t="str">
        <f>VLOOKUP(VALUE(D1527),$D$3:F$106,3,FALSE)</f>
        <v>English</v>
      </c>
      <c r="C1527" t="s">
        <v>314</v>
      </c>
      <c r="D1527">
        <v>815</v>
      </c>
      <c r="E1527" t="s">
        <v>639</v>
      </c>
      <c r="F1527" t="s">
        <v>320</v>
      </c>
      <c r="G1527" t="s">
        <v>319</v>
      </c>
      <c r="H1527" s="502">
        <v>52360</v>
      </c>
      <c r="I1527" s="415">
        <v>3213.85663105</v>
      </c>
      <c r="J1527" s="415">
        <v>2655</v>
      </c>
      <c r="K1527" s="415">
        <v>2704.47</v>
      </c>
      <c r="L1527" s="415">
        <v>2832.87</v>
      </c>
      <c r="M1527" s="415">
        <v>2445.35</v>
      </c>
      <c r="N1527" s="415">
        <v>0</v>
      </c>
      <c r="O1527" s="415">
        <v>0</v>
      </c>
      <c r="P1527" s="415">
        <v>0</v>
      </c>
      <c r="Q1527" s="481">
        <f t="shared" si="69"/>
        <v>-558.85663105000003</v>
      </c>
    </row>
    <row r="1528" spans="1:17" outlineLevel="2" x14ac:dyDescent="0.3">
      <c r="A1528" s="366" t="str">
        <f>IFERROR(VLOOKUP(RIGHT(E1528,3)+0,[1]SchLocTable!$A$2:$B$47,2,FALSE)," ")</f>
        <v>Marin</v>
      </c>
      <c r="B1528" s="366" t="str">
        <f>VLOOKUP(VALUE(D1528),$D$3:F$106,3,FALSE)</f>
        <v>English</v>
      </c>
      <c r="C1528" t="s">
        <v>314</v>
      </c>
      <c r="D1528">
        <v>815</v>
      </c>
      <c r="E1528" t="s">
        <v>640</v>
      </c>
      <c r="F1528" t="s">
        <v>316</v>
      </c>
      <c r="G1528">
        <v>2</v>
      </c>
      <c r="H1528" s="502">
        <v>51000</v>
      </c>
      <c r="I1528" s="415">
        <v>134296.63286000001</v>
      </c>
      <c r="J1528" s="415">
        <v>127779.86</v>
      </c>
      <c r="K1528" s="415">
        <v>162451.9</v>
      </c>
      <c r="L1528" s="415">
        <v>155435.01999999999</v>
      </c>
      <c r="M1528" s="415">
        <v>110681.82</v>
      </c>
      <c r="N1528" s="415">
        <v>105797.78</v>
      </c>
      <c r="O1528" s="415">
        <v>96193.37</v>
      </c>
      <c r="P1528" s="415">
        <v>95882.02</v>
      </c>
      <c r="Q1528" s="481">
        <f t="shared" si="69"/>
        <v>-6516.7728600000119</v>
      </c>
    </row>
    <row r="1529" spans="1:17" outlineLevel="2" x14ac:dyDescent="0.3">
      <c r="A1529" s="366" t="str">
        <f>IFERROR(VLOOKUP(RIGHT(E1529,3)+0,[1]SchLocTable!$A$2:$B$47,2,FALSE)," ")</f>
        <v>Marin</v>
      </c>
      <c r="B1529" s="366" t="str">
        <f>VLOOKUP(VALUE(D1529),$D$3:F$106,3,FALSE)</f>
        <v>English</v>
      </c>
      <c r="C1529" t="s">
        <v>314</v>
      </c>
      <c r="D1529">
        <v>815</v>
      </c>
      <c r="E1529" t="s">
        <v>640</v>
      </c>
      <c r="F1529" t="s">
        <v>321</v>
      </c>
      <c r="G1529" t="s">
        <v>319</v>
      </c>
      <c r="H1529" s="502">
        <v>52917</v>
      </c>
      <c r="I1529" s="415">
        <v>31289.327999999998</v>
      </c>
      <c r="J1529" s="415">
        <v>13037.22</v>
      </c>
      <c r="K1529" s="415">
        <v>23688</v>
      </c>
      <c r="L1529" s="415">
        <v>16692.599999999999</v>
      </c>
      <c r="M1529" s="415">
        <v>14087.25</v>
      </c>
      <c r="N1529" s="415">
        <v>10232.879999999999</v>
      </c>
      <c r="O1529" s="415">
        <v>9817.68</v>
      </c>
      <c r="P1529" s="415">
        <v>9245.67</v>
      </c>
      <c r="Q1529" s="481">
        <f t="shared" si="69"/>
        <v>-18252.108</v>
      </c>
    </row>
    <row r="1530" spans="1:17" outlineLevel="2" x14ac:dyDescent="0.3">
      <c r="A1530" s="366" t="str">
        <f>IFERROR(VLOOKUP(RIGHT(E1530,3)+0,[1]SchLocTable!$A$2:$B$47,2,FALSE)," ")</f>
        <v>Marin</v>
      </c>
      <c r="B1530" s="366" t="str">
        <f>VLOOKUP(VALUE(D1530),$D$3:F$106,3,FALSE)</f>
        <v>English</v>
      </c>
      <c r="C1530" t="s">
        <v>314</v>
      </c>
      <c r="D1530">
        <v>815</v>
      </c>
      <c r="E1530" t="s">
        <v>640</v>
      </c>
      <c r="F1530" t="s">
        <v>318</v>
      </c>
      <c r="G1530" t="s">
        <v>319</v>
      </c>
      <c r="H1530" s="502">
        <v>51140</v>
      </c>
      <c r="I1530" s="415">
        <v>0</v>
      </c>
      <c r="J1530" s="415">
        <v>0</v>
      </c>
      <c r="K1530" s="415">
        <v>900</v>
      </c>
      <c r="L1530" s="415">
        <v>900</v>
      </c>
      <c r="M1530" s="415">
        <v>900</v>
      </c>
      <c r="N1530" s="415">
        <v>900</v>
      </c>
      <c r="O1530" s="415">
        <v>0</v>
      </c>
      <c r="P1530" s="415">
        <v>0</v>
      </c>
      <c r="Q1530" s="481">
        <f t="shared" si="69"/>
        <v>0</v>
      </c>
    </row>
    <row r="1531" spans="1:17" outlineLevel="2" x14ac:dyDescent="0.3">
      <c r="A1531" s="366" t="str">
        <f>IFERROR(VLOOKUP(RIGHT(E1531,3)+0,[1]SchLocTable!$A$2:$B$47,2,FALSE)," ")</f>
        <v>Marin</v>
      </c>
      <c r="B1531" s="366" t="str">
        <f>VLOOKUP(VALUE(D1531),$D$3:F$106,3,FALSE)</f>
        <v>English</v>
      </c>
      <c r="C1531" t="s">
        <v>314</v>
      </c>
      <c r="D1531">
        <v>815</v>
      </c>
      <c r="E1531" t="s">
        <v>640</v>
      </c>
      <c r="F1531" t="s">
        <v>320</v>
      </c>
      <c r="G1531" t="s">
        <v>319</v>
      </c>
      <c r="H1531" s="502">
        <v>52360</v>
      </c>
      <c r="I1531" s="415">
        <v>1947.30117647</v>
      </c>
      <c r="J1531" s="415">
        <v>1844.61</v>
      </c>
      <c r="K1531" s="415">
        <v>2267.46</v>
      </c>
      <c r="L1531" s="415">
        <v>2197.7199999999998</v>
      </c>
      <c r="M1531" s="415">
        <v>1561.15</v>
      </c>
      <c r="N1531" s="415">
        <v>1507.16</v>
      </c>
      <c r="O1531" s="415">
        <v>1357.5</v>
      </c>
      <c r="P1531" s="415">
        <v>1355.66</v>
      </c>
      <c r="Q1531" s="481">
        <f t="shared" si="69"/>
        <v>-102.69117647000007</v>
      </c>
    </row>
    <row r="1532" spans="1:17" outlineLevel="2" x14ac:dyDescent="0.3">
      <c r="A1532" s="366" t="str">
        <f>IFERROR(VLOOKUP(RIGHT(E1532,3)+0,[1]SchLocTable!$A$2:$B$47,2,FALSE)," ")</f>
        <v>Hooker</v>
      </c>
      <c r="B1532" s="366" t="str">
        <f>VLOOKUP(VALUE(D1532),$D$3:F$106,3,FALSE)</f>
        <v>English</v>
      </c>
      <c r="C1532" t="s">
        <v>314</v>
      </c>
      <c r="D1532">
        <v>815</v>
      </c>
      <c r="E1532" t="s">
        <v>641</v>
      </c>
      <c r="F1532" t="s">
        <v>316</v>
      </c>
      <c r="G1532">
        <v>2</v>
      </c>
      <c r="H1532" s="502">
        <v>51000</v>
      </c>
      <c r="I1532" s="415">
        <v>186731.12796000001</v>
      </c>
      <c r="J1532" s="415">
        <v>55543</v>
      </c>
      <c r="K1532" s="415">
        <v>68013.539999999994</v>
      </c>
      <c r="L1532" s="415">
        <v>81615.539999999994</v>
      </c>
      <c r="M1532" s="415">
        <v>0</v>
      </c>
      <c r="N1532" s="415">
        <v>0</v>
      </c>
      <c r="O1532" s="415">
        <v>0</v>
      </c>
      <c r="P1532" s="415">
        <v>0</v>
      </c>
      <c r="Q1532" s="481">
        <f t="shared" si="69"/>
        <v>-131188.12796000001</v>
      </c>
    </row>
    <row r="1533" spans="1:17" outlineLevel="2" x14ac:dyDescent="0.3">
      <c r="A1533" s="366" t="str">
        <f>IFERROR(VLOOKUP(RIGHT(E1533,3)+0,[1]SchLocTable!$A$2:$B$47,2,FALSE)," ")</f>
        <v>Hooker</v>
      </c>
      <c r="B1533" s="366" t="str">
        <f>VLOOKUP(VALUE(D1533),$D$3:F$106,3,FALSE)</f>
        <v>English</v>
      </c>
      <c r="C1533" t="s">
        <v>314</v>
      </c>
      <c r="D1533">
        <v>815</v>
      </c>
      <c r="E1533" t="s">
        <v>641</v>
      </c>
      <c r="F1533" t="s">
        <v>321</v>
      </c>
      <c r="G1533" t="s">
        <v>319</v>
      </c>
      <c r="H1533" s="502">
        <v>52917</v>
      </c>
      <c r="I1533" s="415">
        <v>61975.619999999995</v>
      </c>
      <c r="J1533" s="415">
        <v>12979</v>
      </c>
      <c r="K1533" s="415">
        <v>18852.599999999999</v>
      </c>
      <c r="L1533" s="415">
        <v>46301.38</v>
      </c>
      <c r="M1533" s="415">
        <v>0</v>
      </c>
      <c r="N1533" s="415">
        <v>0</v>
      </c>
      <c r="O1533" s="415">
        <v>0</v>
      </c>
      <c r="P1533" s="415">
        <v>0</v>
      </c>
      <c r="Q1533" s="481">
        <f t="shared" si="69"/>
        <v>-48996.619999999995</v>
      </c>
    </row>
    <row r="1534" spans="1:17" outlineLevel="2" x14ac:dyDescent="0.3">
      <c r="A1534" s="366" t="str">
        <f>IFERROR(VLOOKUP(RIGHT(E1534,3)+0,[1]SchLocTable!$A$2:$B$47,2,FALSE)," ")</f>
        <v>Hooker</v>
      </c>
      <c r="B1534" s="366" t="str">
        <f>VLOOKUP(VALUE(D1534),$D$3:F$106,3,FALSE)</f>
        <v>English</v>
      </c>
      <c r="C1534" t="s">
        <v>314</v>
      </c>
      <c r="D1534">
        <v>815</v>
      </c>
      <c r="E1534" t="s">
        <v>641</v>
      </c>
      <c r="F1534" t="s">
        <v>320</v>
      </c>
      <c r="G1534" t="s">
        <v>319</v>
      </c>
      <c r="H1534" s="502">
        <v>52360</v>
      </c>
      <c r="I1534" s="415">
        <v>2707.6013554200003</v>
      </c>
      <c r="J1534" s="415">
        <v>748</v>
      </c>
      <c r="K1534" s="415">
        <v>905.63</v>
      </c>
      <c r="L1534" s="415">
        <v>990.62</v>
      </c>
      <c r="M1534" s="415">
        <v>0</v>
      </c>
      <c r="N1534" s="415">
        <v>0</v>
      </c>
      <c r="O1534" s="415">
        <v>0</v>
      </c>
      <c r="P1534" s="415">
        <v>0</v>
      </c>
      <c r="Q1534" s="481">
        <f t="shared" si="69"/>
        <v>-1959.6013554200003</v>
      </c>
    </row>
    <row r="1535" spans="1:17" outlineLevel="2" x14ac:dyDescent="0.3">
      <c r="A1535" s="366" t="str">
        <f>IFERROR(VLOOKUP(RIGHT(E1535,3)+0,[1]SchLocTable!$A$2:$B$47,2,FALSE)," ")</f>
        <v>Hooker</v>
      </c>
      <c r="B1535" s="366" t="str">
        <f>VLOOKUP(VALUE(D1535),$D$3:F$106,3,FALSE)</f>
        <v>English</v>
      </c>
      <c r="C1535" t="s">
        <v>314</v>
      </c>
      <c r="D1535">
        <v>815</v>
      </c>
      <c r="E1535" t="s">
        <v>641</v>
      </c>
      <c r="F1535" t="s">
        <v>324</v>
      </c>
      <c r="G1535" t="s">
        <v>319</v>
      </c>
      <c r="H1535" s="502">
        <v>52385</v>
      </c>
      <c r="I1535" s="415">
        <v>0</v>
      </c>
      <c r="J1535" s="415">
        <v>0</v>
      </c>
      <c r="K1535" s="415">
        <v>496.11</v>
      </c>
      <c r="L1535" s="415">
        <v>2352.25</v>
      </c>
      <c r="M1535" s="415">
        <v>0</v>
      </c>
      <c r="N1535" s="415">
        <v>0</v>
      </c>
      <c r="O1535" s="415">
        <v>0</v>
      </c>
      <c r="P1535" s="415">
        <v>0</v>
      </c>
      <c r="Q1535" s="481">
        <f t="shared" ref="Q1535:Q1598" si="70">J1535-I1535</f>
        <v>0</v>
      </c>
    </row>
    <row r="1536" spans="1:17" outlineLevel="2" x14ac:dyDescent="0.3">
      <c r="A1536" s="366" t="str">
        <f>IFERROR(VLOOKUP(RIGHT(E1536,3)+0,[1]SchLocTable!$A$2:$B$47,2,FALSE)," ")</f>
        <v>Batalla</v>
      </c>
      <c r="B1536" s="366" t="str">
        <f>VLOOKUP(VALUE(D1536),$D$3:F$106,3,FALSE)</f>
        <v>English</v>
      </c>
      <c r="C1536" t="s">
        <v>314</v>
      </c>
      <c r="D1536">
        <v>815</v>
      </c>
      <c r="E1536" t="s">
        <v>642</v>
      </c>
      <c r="F1536" t="s">
        <v>316</v>
      </c>
      <c r="G1536">
        <v>3</v>
      </c>
      <c r="H1536" s="502">
        <v>51000</v>
      </c>
      <c r="I1536" s="415">
        <v>208107.29385999998</v>
      </c>
      <c r="J1536" s="415">
        <v>121891</v>
      </c>
      <c r="K1536" s="415">
        <v>116489.1</v>
      </c>
      <c r="L1536" s="415">
        <v>110249.1</v>
      </c>
      <c r="M1536" s="415">
        <v>88258.31</v>
      </c>
      <c r="N1536" s="415">
        <v>101206.86</v>
      </c>
      <c r="O1536" s="415">
        <v>96988.06</v>
      </c>
      <c r="P1536" s="415">
        <v>97788.08</v>
      </c>
      <c r="Q1536" s="481">
        <f t="shared" si="70"/>
        <v>-86216.293859999976</v>
      </c>
    </row>
    <row r="1537" spans="1:17" outlineLevel="2" x14ac:dyDescent="0.3">
      <c r="A1537" s="366" t="str">
        <f>IFERROR(VLOOKUP(RIGHT(E1537,3)+0,[1]SchLocTable!$A$2:$B$47,2,FALSE)," ")</f>
        <v>Batalla</v>
      </c>
      <c r="B1537" s="366" t="str">
        <f>VLOOKUP(VALUE(D1537),$D$3:F$106,3,FALSE)</f>
        <v>English</v>
      </c>
      <c r="C1537" t="s">
        <v>314</v>
      </c>
      <c r="D1537">
        <v>815</v>
      </c>
      <c r="E1537" t="s">
        <v>642</v>
      </c>
      <c r="F1537" t="s">
        <v>321</v>
      </c>
      <c r="G1537" t="s">
        <v>319</v>
      </c>
      <c r="H1537" s="502">
        <v>52917</v>
      </c>
      <c r="I1537" s="415">
        <v>85688.927999999985</v>
      </c>
      <c r="J1537" s="415">
        <v>44407.44</v>
      </c>
      <c r="K1537" s="415">
        <v>40322.1</v>
      </c>
      <c r="L1537" s="415">
        <v>30875.19</v>
      </c>
      <c r="M1537" s="415">
        <v>32449.200000000001</v>
      </c>
      <c r="N1537" s="415">
        <v>40485.9</v>
      </c>
      <c r="O1537" s="415">
        <v>38895.18</v>
      </c>
      <c r="P1537" s="415">
        <v>27385.05</v>
      </c>
      <c r="Q1537" s="481">
        <f t="shared" si="70"/>
        <v>-41281.487999999983</v>
      </c>
    </row>
    <row r="1538" spans="1:17" outlineLevel="2" x14ac:dyDescent="0.3">
      <c r="A1538" s="366" t="str">
        <f>IFERROR(VLOOKUP(RIGHT(E1538,3)+0,[1]SchLocTable!$A$2:$B$47,2,FALSE)," ")</f>
        <v>Batalla</v>
      </c>
      <c r="B1538" s="366" t="str">
        <f>VLOOKUP(VALUE(D1538),$D$3:F$106,3,FALSE)</f>
        <v>English</v>
      </c>
      <c r="C1538" t="s">
        <v>314</v>
      </c>
      <c r="D1538">
        <v>815</v>
      </c>
      <c r="E1538" t="s">
        <v>642</v>
      </c>
      <c r="F1538" t="s">
        <v>320</v>
      </c>
      <c r="G1538" t="s">
        <v>319</v>
      </c>
      <c r="H1538" s="502">
        <v>52360</v>
      </c>
      <c r="I1538" s="415">
        <v>3017.5557609699999</v>
      </c>
      <c r="J1538" s="415">
        <v>1526</v>
      </c>
      <c r="K1538" s="415">
        <v>1516.65</v>
      </c>
      <c r="L1538" s="415">
        <v>1470.56</v>
      </c>
      <c r="M1538" s="415">
        <v>1149.01</v>
      </c>
      <c r="N1538" s="415">
        <v>1309.3800000000001</v>
      </c>
      <c r="O1538" s="415">
        <v>1258.6099999999999</v>
      </c>
      <c r="P1538" s="415">
        <v>1315.39</v>
      </c>
      <c r="Q1538" s="481">
        <f t="shared" si="70"/>
        <v>-1491.5557609699999</v>
      </c>
    </row>
    <row r="1539" spans="1:17" outlineLevel="2" x14ac:dyDescent="0.3">
      <c r="A1539" s="366" t="str">
        <f>IFERROR(VLOOKUP(RIGHT(E1539,3)+0,[1]SchLocTable!$A$2:$B$47,2,FALSE)," ")</f>
        <v>Batalla</v>
      </c>
      <c r="B1539" s="366" t="str">
        <f>VLOOKUP(VALUE(D1539),$D$3:F$106,3,FALSE)</f>
        <v>English</v>
      </c>
      <c r="C1539" t="s">
        <v>314</v>
      </c>
      <c r="D1539">
        <v>815</v>
      </c>
      <c r="E1539" t="s">
        <v>642</v>
      </c>
      <c r="F1539" t="s">
        <v>324</v>
      </c>
      <c r="G1539" t="s">
        <v>319</v>
      </c>
      <c r="H1539" s="502">
        <v>52385</v>
      </c>
      <c r="I1539" s="415">
        <v>0</v>
      </c>
      <c r="J1539" s="415">
        <v>0</v>
      </c>
      <c r="K1539" s="415">
        <v>0</v>
      </c>
      <c r="L1539" s="415">
        <v>0</v>
      </c>
      <c r="M1539" s="415">
        <v>279</v>
      </c>
      <c r="N1539" s="415">
        <v>0</v>
      </c>
      <c r="O1539" s="415">
        <v>0</v>
      </c>
      <c r="P1539" s="415">
        <v>0</v>
      </c>
      <c r="Q1539" s="481">
        <f t="shared" si="70"/>
        <v>0</v>
      </c>
    </row>
    <row r="1540" spans="1:17" outlineLevel="2" x14ac:dyDescent="0.3">
      <c r="A1540" s="366" t="str">
        <f>IFERROR(VLOOKUP(RIGHT(E1540,3)+0,[1]SchLocTable!$A$2:$B$47,2,FALSE)," ")</f>
        <v>Info Tech HS</v>
      </c>
      <c r="B1540" s="366" t="str">
        <f>VLOOKUP(VALUE(D1540),$D$3:F$106,3,FALSE)</f>
        <v>English</v>
      </c>
      <c r="C1540" t="s">
        <v>314</v>
      </c>
      <c r="D1540">
        <v>815</v>
      </c>
      <c r="E1540" t="s">
        <v>643</v>
      </c>
      <c r="F1540" t="s">
        <v>316</v>
      </c>
      <c r="G1540">
        <v>2</v>
      </c>
      <c r="H1540" s="502">
        <v>51000</v>
      </c>
      <c r="I1540" s="415">
        <v>174482.79498000001</v>
      </c>
      <c r="J1540" s="415">
        <v>166016</v>
      </c>
      <c r="K1540" s="415">
        <v>152074</v>
      </c>
      <c r="L1540" s="415">
        <v>110271.24</v>
      </c>
      <c r="M1540" s="415">
        <v>22226.16</v>
      </c>
      <c r="N1540" s="415">
        <v>109949.9</v>
      </c>
      <c r="O1540" s="415">
        <v>109653.22</v>
      </c>
      <c r="P1540" s="415">
        <v>46069.94</v>
      </c>
      <c r="Q1540" s="481">
        <f t="shared" si="70"/>
        <v>-8466.794980000006</v>
      </c>
    </row>
    <row r="1541" spans="1:17" outlineLevel="2" x14ac:dyDescent="0.3">
      <c r="A1541" s="366" t="str">
        <f>IFERROR(VLOOKUP(RIGHT(E1541,3)+0,[1]SchLocTable!$A$2:$B$47,2,FALSE)," ")</f>
        <v>Info Tech HS</v>
      </c>
      <c r="B1541" s="366" t="str">
        <f>VLOOKUP(VALUE(D1541),$D$3:F$106,3,FALSE)</f>
        <v>English</v>
      </c>
      <c r="C1541" t="s">
        <v>314</v>
      </c>
      <c r="D1541">
        <v>815</v>
      </c>
      <c r="E1541" t="s">
        <v>643</v>
      </c>
      <c r="F1541" t="s">
        <v>321</v>
      </c>
      <c r="G1541" t="s">
        <v>319</v>
      </c>
      <c r="H1541" s="502">
        <v>52917</v>
      </c>
      <c r="I1541" s="415">
        <v>53288.927999999993</v>
      </c>
      <c r="J1541" s="415">
        <v>44407.44</v>
      </c>
      <c r="K1541" s="415">
        <v>40322.1</v>
      </c>
      <c r="L1541" s="415">
        <v>36276.21</v>
      </c>
      <c r="M1541" s="415">
        <v>5062.68</v>
      </c>
      <c r="N1541" s="415">
        <v>11192.37</v>
      </c>
      <c r="O1541" s="415">
        <v>63605.66</v>
      </c>
      <c r="P1541" s="415">
        <v>10141.950000000001</v>
      </c>
      <c r="Q1541" s="481">
        <f t="shared" si="70"/>
        <v>-8881.4879999999903</v>
      </c>
    </row>
    <row r="1542" spans="1:17" outlineLevel="2" x14ac:dyDescent="0.3">
      <c r="A1542" s="366" t="str">
        <f>IFERROR(VLOOKUP(RIGHT(E1542,3)+0,[1]SchLocTable!$A$2:$B$47,2,FALSE)," ")</f>
        <v>Info Tech HS</v>
      </c>
      <c r="B1542" s="366" t="str">
        <f>VLOOKUP(VALUE(D1542),$D$3:F$106,3,FALSE)</f>
        <v>English</v>
      </c>
      <c r="C1542" t="s">
        <v>314</v>
      </c>
      <c r="D1542">
        <v>815</v>
      </c>
      <c r="E1542" t="s">
        <v>643</v>
      </c>
      <c r="F1542" t="s">
        <v>320</v>
      </c>
      <c r="G1542" t="s">
        <v>319</v>
      </c>
      <c r="H1542" s="502">
        <v>52360</v>
      </c>
      <c r="I1542" s="415">
        <v>2530.0005272100002</v>
      </c>
      <c r="J1542" s="415">
        <v>2166</v>
      </c>
      <c r="K1542" s="415">
        <v>2032.64</v>
      </c>
      <c r="L1542" s="415">
        <v>871.78</v>
      </c>
      <c r="M1542" s="415">
        <v>302.42</v>
      </c>
      <c r="N1542" s="415">
        <v>782.9</v>
      </c>
      <c r="O1542" s="415">
        <v>2227.56</v>
      </c>
      <c r="P1542" s="415">
        <v>718.94</v>
      </c>
      <c r="Q1542" s="481">
        <f t="shared" si="70"/>
        <v>-364.0005272100002</v>
      </c>
    </row>
    <row r="1543" spans="1:17" outlineLevel="2" x14ac:dyDescent="0.3">
      <c r="A1543" s="366" t="str">
        <f>IFERROR(VLOOKUP(RIGHT(E1543,3)+0,[1]SchLocTable!$A$2:$B$47,2,FALSE)," ")</f>
        <v>BMA HS</v>
      </c>
      <c r="B1543" s="366" t="str">
        <f>VLOOKUP(VALUE(D1543),$D$3:F$106,3,FALSE)</f>
        <v>English</v>
      </c>
      <c r="C1543" t="s">
        <v>314</v>
      </c>
      <c r="D1543">
        <v>815</v>
      </c>
      <c r="E1543" t="s">
        <v>644</v>
      </c>
      <c r="F1543" t="s">
        <v>316</v>
      </c>
      <c r="G1543">
        <v>4</v>
      </c>
      <c r="H1543" s="502">
        <v>51000</v>
      </c>
      <c r="I1543" s="415">
        <v>324849.06018999999</v>
      </c>
      <c r="J1543" s="415">
        <v>213054</v>
      </c>
      <c r="K1543" s="415">
        <v>286499.98</v>
      </c>
      <c r="L1543" s="415">
        <v>255751.66</v>
      </c>
      <c r="M1543" s="415">
        <v>123163.94</v>
      </c>
      <c r="N1543" s="415">
        <v>343145.81</v>
      </c>
      <c r="O1543" s="415">
        <v>285694.74</v>
      </c>
      <c r="P1543" s="415">
        <v>378145.37</v>
      </c>
      <c r="Q1543" s="481">
        <f t="shared" si="70"/>
        <v>-111795.06018999999</v>
      </c>
    </row>
    <row r="1544" spans="1:17" outlineLevel="2" x14ac:dyDescent="0.3">
      <c r="A1544" s="366" t="str">
        <f>IFERROR(VLOOKUP(RIGHT(E1544,3)+0,[1]SchLocTable!$A$2:$B$47,2,FALSE)," ")</f>
        <v>BMA HS</v>
      </c>
      <c r="B1544" s="366" t="str">
        <f>VLOOKUP(VALUE(D1544),$D$3:F$106,3,FALSE)</f>
        <v>English</v>
      </c>
      <c r="C1544" t="s">
        <v>314</v>
      </c>
      <c r="D1544">
        <v>815</v>
      </c>
      <c r="E1544" t="s">
        <v>644</v>
      </c>
      <c r="F1544" t="s">
        <v>334</v>
      </c>
      <c r="G1544" t="s">
        <v>319</v>
      </c>
      <c r="H1544" s="502">
        <v>51400</v>
      </c>
      <c r="I1544" s="415">
        <v>0</v>
      </c>
      <c r="J1544" s="415">
        <v>0</v>
      </c>
      <c r="K1544" s="415">
        <v>0</v>
      </c>
      <c r="L1544" s="415">
        <v>500</v>
      </c>
      <c r="M1544" s="415">
        <v>0</v>
      </c>
      <c r="N1544" s="415">
        <v>0</v>
      </c>
      <c r="O1544" s="415">
        <v>0</v>
      </c>
      <c r="P1544" s="415">
        <v>0</v>
      </c>
      <c r="Q1544" s="481">
        <f t="shared" si="70"/>
        <v>0</v>
      </c>
    </row>
    <row r="1545" spans="1:17" outlineLevel="2" x14ac:dyDescent="0.3">
      <c r="A1545" s="366" t="str">
        <f>IFERROR(VLOOKUP(RIGHT(E1545,3)+0,[1]SchLocTable!$A$2:$B$47,2,FALSE)," ")</f>
        <v>BMA HS</v>
      </c>
      <c r="B1545" s="366" t="str">
        <f>VLOOKUP(VALUE(D1545),$D$3:F$106,3,FALSE)</f>
        <v>English</v>
      </c>
      <c r="C1545" t="s">
        <v>314</v>
      </c>
      <c r="D1545">
        <v>815</v>
      </c>
      <c r="E1545" t="s">
        <v>644</v>
      </c>
      <c r="F1545" t="s">
        <v>321</v>
      </c>
      <c r="G1545" t="s">
        <v>319</v>
      </c>
      <c r="H1545" s="502">
        <v>52917</v>
      </c>
      <c r="I1545" s="415">
        <v>123862.53599999999</v>
      </c>
      <c r="J1545" s="415">
        <v>103218.78</v>
      </c>
      <c r="K1545" s="415">
        <v>93743.16</v>
      </c>
      <c r="L1545" s="415">
        <v>84187.66</v>
      </c>
      <c r="M1545" s="415">
        <v>30234.92</v>
      </c>
      <c r="N1545" s="415">
        <v>93969.18</v>
      </c>
      <c r="O1545" s="415">
        <v>73323.62</v>
      </c>
      <c r="P1545" s="415">
        <v>80567.37</v>
      </c>
      <c r="Q1545" s="481">
        <f t="shared" si="70"/>
        <v>-20643.755999999994</v>
      </c>
    </row>
    <row r="1546" spans="1:17" outlineLevel="2" x14ac:dyDescent="0.3">
      <c r="A1546" s="366" t="str">
        <f>IFERROR(VLOOKUP(RIGHT(E1546,3)+0,[1]SchLocTable!$A$2:$B$47,2,FALSE)," ")</f>
        <v>BMA HS</v>
      </c>
      <c r="B1546" s="366" t="str">
        <f>VLOOKUP(VALUE(D1546),$D$3:F$106,3,FALSE)</f>
        <v>English</v>
      </c>
      <c r="C1546" t="s">
        <v>314</v>
      </c>
      <c r="D1546">
        <v>815</v>
      </c>
      <c r="E1546" t="s">
        <v>644</v>
      </c>
      <c r="F1546" t="s">
        <v>320</v>
      </c>
      <c r="G1546" t="s">
        <v>319</v>
      </c>
      <c r="H1546" s="502">
        <v>52360</v>
      </c>
      <c r="I1546" s="415">
        <v>4710.3113727549999</v>
      </c>
      <c r="J1546" s="415">
        <v>3024.41</v>
      </c>
      <c r="K1546" s="415">
        <v>3753.95</v>
      </c>
      <c r="L1546" s="415">
        <v>3368.02</v>
      </c>
      <c r="M1546" s="415">
        <v>1529.53</v>
      </c>
      <c r="N1546" s="415">
        <v>4640.34</v>
      </c>
      <c r="O1546" s="415">
        <v>5673.1</v>
      </c>
      <c r="P1546" s="415">
        <v>5228.76</v>
      </c>
      <c r="Q1546" s="481">
        <f t="shared" si="70"/>
        <v>-1685.901372755</v>
      </c>
    </row>
    <row r="1547" spans="1:17" outlineLevel="2" x14ac:dyDescent="0.3">
      <c r="A1547" s="366" t="str">
        <f>IFERROR(VLOOKUP(RIGHT(E1547,3)+0,[1]SchLocTable!$A$2:$B$47,2,FALSE)," ")</f>
        <v>Park City Magnet</v>
      </c>
      <c r="B1547" s="366" t="str">
        <f>VLOOKUP(VALUE(D1547),$D$3:F$106,3,FALSE)</f>
        <v>English</v>
      </c>
      <c r="C1547" t="s">
        <v>314</v>
      </c>
      <c r="D1547">
        <v>815</v>
      </c>
      <c r="E1547" t="s">
        <v>645</v>
      </c>
      <c r="F1547" t="s">
        <v>316</v>
      </c>
      <c r="G1547">
        <v>1</v>
      </c>
      <c r="H1547" s="502">
        <v>51000</v>
      </c>
      <c r="I1547" s="415">
        <v>100258.00096</v>
      </c>
      <c r="J1547" s="415">
        <v>95393</v>
      </c>
      <c r="K1547" s="415">
        <v>93293.98</v>
      </c>
      <c r="L1547" s="415">
        <v>91241.02</v>
      </c>
      <c r="M1547" s="415">
        <v>89944.03</v>
      </c>
      <c r="N1547" s="415">
        <v>88564.06</v>
      </c>
      <c r="O1547" s="415">
        <v>87254.96</v>
      </c>
      <c r="P1547" s="415">
        <v>85881.12</v>
      </c>
      <c r="Q1547" s="481">
        <f t="shared" si="70"/>
        <v>-4865.0009600000049</v>
      </c>
    </row>
    <row r="1548" spans="1:17" outlineLevel="2" x14ac:dyDescent="0.3">
      <c r="A1548" s="366" t="str">
        <f>IFERROR(VLOOKUP(RIGHT(E1548,3)+0,[1]SchLocTable!$A$2:$B$47,2,FALSE)," ")</f>
        <v>Park City Magnet</v>
      </c>
      <c r="B1548" s="366" t="str">
        <f>VLOOKUP(VALUE(D1548),$D$3:F$106,3,FALSE)</f>
        <v>English</v>
      </c>
      <c r="C1548" t="s">
        <v>314</v>
      </c>
      <c r="D1548">
        <v>815</v>
      </c>
      <c r="E1548" t="s">
        <v>645</v>
      </c>
      <c r="F1548" t="s">
        <v>321</v>
      </c>
      <c r="G1548" t="s">
        <v>319</v>
      </c>
      <c r="H1548" s="502">
        <v>52917</v>
      </c>
      <c r="I1548" s="415">
        <v>15644.663999999999</v>
      </c>
      <c r="J1548" s="415">
        <v>13037.22</v>
      </c>
      <c r="K1548" s="415">
        <v>11844</v>
      </c>
      <c r="L1548" s="415">
        <v>11684.82</v>
      </c>
      <c r="M1548" s="415">
        <v>10991.22</v>
      </c>
      <c r="N1548" s="415">
        <v>10232.879999999999</v>
      </c>
      <c r="O1548" s="415">
        <v>9817.68</v>
      </c>
      <c r="P1548" s="415">
        <v>9245.67</v>
      </c>
      <c r="Q1548" s="481">
        <f t="shared" si="70"/>
        <v>-2607.4439999999995</v>
      </c>
    </row>
    <row r="1549" spans="1:17" outlineLevel="2" x14ac:dyDescent="0.3">
      <c r="A1549" s="366" t="str">
        <f>IFERROR(VLOOKUP(RIGHT(E1549,3)+0,[1]SchLocTable!$A$2:$B$47,2,FALSE)," ")</f>
        <v>Park City Magnet</v>
      </c>
      <c r="B1549" s="366" t="str">
        <f>VLOOKUP(VALUE(D1549),$D$3:F$106,3,FALSE)</f>
        <v>English</v>
      </c>
      <c r="C1549" t="s">
        <v>314</v>
      </c>
      <c r="D1549">
        <v>815</v>
      </c>
      <c r="E1549" t="s">
        <v>645</v>
      </c>
      <c r="F1549" t="s">
        <v>318</v>
      </c>
      <c r="G1549" t="s">
        <v>319</v>
      </c>
      <c r="H1549" s="502">
        <v>51140</v>
      </c>
      <c r="I1549" s="415">
        <v>1300</v>
      </c>
      <c r="J1549" s="415">
        <v>0</v>
      </c>
      <c r="K1549" s="415">
        <v>1300</v>
      </c>
      <c r="L1549" s="415">
        <v>1200</v>
      </c>
      <c r="M1549" s="415">
        <v>1200</v>
      </c>
      <c r="N1549" s="415">
        <v>1200</v>
      </c>
      <c r="O1549" s="415">
        <v>1200</v>
      </c>
      <c r="P1549" s="415">
        <v>1200</v>
      </c>
      <c r="Q1549" s="481">
        <f t="shared" si="70"/>
        <v>-1300</v>
      </c>
    </row>
    <row r="1550" spans="1:17" outlineLevel="2" x14ac:dyDescent="0.3">
      <c r="A1550" s="366" t="str">
        <f>IFERROR(VLOOKUP(RIGHT(E1550,3)+0,[1]SchLocTable!$A$2:$B$47,2,FALSE)," ")</f>
        <v>Park City Magnet</v>
      </c>
      <c r="B1550" s="366" t="str">
        <f>VLOOKUP(VALUE(D1550),$D$3:F$106,3,FALSE)</f>
        <v>English</v>
      </c>
      <c r="C1550" t="s">
        <v>314</v>
      </c>
      <c r="D1550">
        <v>815</v>
      </c>
      <c r="E1550" t="s">
        <v>645</v>
      </c>
      <c r="F1550" t="s">
        <v>320</v>
      </c>
      <c r="G1550" t="s">
        <v>319</v>
      </c>
      <c r="H1550" s="502">
        <v>52360</v>
      </c>
      <c r="I1550" s="415">
        <v>1453.7410139200001</v>
      </c>
      <c r="J1550" s="415">
        <v>1331</v>
      </c>
      <c r="K1550" s="415">
        <v>1321.04</v>
      </c>
      <c r="L1550" s="415">
        <v>1292.01</v>
      </c>
      <c r="M1550" s="415">
        <v>1259.04</v>
      </c>
      <c r="N1550" s="415">
        <v>1261.6099999999999</v>
      </c>
      <c r="O1550" s="415">
        <v>1245.31</v>
      </c>
      <c r="P1550" s="415">
        <v>1228.05</v>
      </c>
      <c r="Q1550" s="481">
        <f t="shared" si="70"/>
        <v>-122.74101392000011</v>
      </c>
    </row>
    <row r="1551" spans="1:17" outlineLevel="2" x14ac:dyDescent="0.3">
      <c r="A1551" s="366" t="str">
        <f>IFERROR(VLOOKUP(RIGHT(E1551,3)+0,[1]SchLocTable!$A$2:$B$47,2,FALSE)," ")</f>
        <v>Zoo Science HS</v>
      </c>
      <c r="B1551" s="366" t="str">
        <f>VLOOKUP(VALUE(D1551),$D$3:F$106,3,FALSE)</f>
        <v>English</v>
      </c>
      <c r="C1551" t="s">
        <v>314</v>
      </c>
      <c r="D1551">
        <v>815</v>
      </c>
      <c r="E1551" t="s">
        <v>646</v>
      </c>
      <c r="F1551" t="s">
        <v>316</v>
      </c>
      <c r="G1551">
        <v>2</v>
      </c>
      <c r="H1551" s="502">
        <v>51000</v>
      </c>
      <c r="I1551" s="415">
        <v>220856.96132999999</v>
      </c>
      <c r="J1551" s="415">
        <v>210140</v>
      </c>
      <c r="K1551" s="415">
        <v>205515.96</v>
      </c>
      <c r="L1551" s="415">
        <v>200994.02</v>
      </c>
      <c r="M1551" s="415">
        <v>210580.9</v>
      </c>
      <c r="N1551" s="415">
        <v>84223</v>
      </c>
      <c r="O1551" s="415">
        <v>85897.12</v>
      </c>
      <c r="P1551" s="415">
        <v>63497.02</v>
      </c>
      <c r="Q1551" s="481">
        <f t="shared" si="70"/>
        <v>-10716.961329999991</v>
      </c>
    </row>
    <row r="1552" spans="1:17" outlineLevel="2" x14ac:dyDescent="0.3">
      <c r="A1552" s="366" t="str">
        <f>IFERROR(VLOOKUP(RIGHT(E1552,3)+0,[1]SchLocTable!$A$2:$B$47,2,FALSE)," ")</f>
        <v>Zoo Science HS</v>
      </c>
      <c r="B1552" s="366" t="str">
        <f>VLOOKUP(VALUE(D1552),$D$3:F$106,3,FALSE)</f>
        <v>English</v>
      </c>
      <c r="C1552" t="s">
        <v>314</v>
      </c>
      <c r="D1552">
        <v>815</v>
      </c>
      <c r="E1552" t="s">
        <v>646</v>
      </c>
      <c r="F1552" t="s">
        <v>321</v>
      </c>
      <c r="G1552" t="s">
        <v>319</v>
      </c>
      <c r="H1552" s="502">
        <v>52917</v>
      </c>
      <c r="I1552" s="415">
        <v>62489.195999999996</v>
      </c>
      <c r="J1552" s="415">
        <v>52074.33</v>
      </c>
      <c r="K1552" s="415">
        <v>47359.199999999997</v>
      </c>
      <c r="L1552" s="415">
        <v>46771.62</v>
      </c>
      <c r="M1552" s="415">
        <v>11384.73</v>
      </c>
      <c r="N1552" s="415">
        <v>10712.73</v>
      </c>
      <c r="O1552" s="415">
        <v>10241.67</v>
      </c>
      <c r="P1552" s="415">
        <v>13857.83</v>
      </c>
      <c r="Q1552" s="481">
        <f t="shared" si="70"/>
        <v>-10414.865999999995</v>
      </c>
    </row>
    <row r="1553" spans="1:17" outlineLevel="2" x14ac:dyDescent="0.3">
      <c r="A1553" s="366" t="str">
        <f>IFERROR(VLOOKUP(RIGHT(E1553,3)+0,[1]SchLocTable!$A$2:$B$47,2,FALSE)," ")</f>
        <v>Zoo Science HS</v>
      </c>
      <c r="B1553" s="366" t="str">
        <f>VLOOKUP(VALUE(D1553),$D$3:F$106,3,FALSE)</f>
        <v>English</v>
      </c>
      <c r="C1553" t="s">
        <v>314</v>
      </c>
      <c r="D1553">
        <v>815</v>
      </c>
      <c r="E1553" t="s">
        <v>646</v>
      </c>
      <c r="F1553" t="s">
        <v>318</v>
      </c>
      <c r="G1553" t="s">
        <v>319</v>
      </c>
      <c r="H1553" s="502">
        <v>51140</v>
      </c>
      <c r="I1553" s="415">
        <v>2200</v>
      </c>
      <c r="J1553" s="415">
        <v>0</v>
      </c>
      <c r="K1553" s="415">
        <v>2200</v>
      </c>
      <c r="L1553" s="415">
        <v>2200</v>
      </c>
      <c r="M1553" s="415">
        <v>900</v>
      </c>
      <c r="N1553" s="415">
        <v>900</v>
      </c>
      <c r="O1553" s="415">
        <v>900</v>
      </c>
      <c r="P1553" s="415">
        <v>0</v>
      </c>
      <c r="Q1553" s="481">
        <f t="shared" si="70"/>
        <v>-2200</v>
      </c>
    </row>
    <row r="1554" spans="1:17" outlineLevel="2" x14ac:dyDescent="0.3">
      <c r="A1554" s="366" t="str">
        <f>IFERROR(VLOOKUP(RIGHT(E1554,3)+0,[1]SchLocTable!$A$2:$B$47,2,FALSE)," ")</f>
        <v>Zoo Science HS</v>
      </c>
      <c r="B1554" s="366" t="str">
        <f>VLOOKUP(VALUE(D1554),$D$3:F$106,3,FALSE)</f>
        <v>English</v>
      </c>
      <c r="C1554" t="s">
        <v>314</v>
      </c>
      <c r="D1554">
        <v>815</v>
      </c>
      <c r="E1554" t="s">
        <v>646</v>
      </c>
      <c r="F1554" t="s">
        <v>320</v>
      </c>
      <c r="G1554" t="s">
        <v>319</v>
      </c>
      <c r="H1554" s="502">
        <v>52360</v>
      </c>
      <c r="I1554" s="415">
        <v>3202.4259392849999</v>
      </c>
      <c r="J1554" s="415">
        <v>2798</v>
      </c>
      <c r="K1554" s="415">
        <v>2808.98</v>
      </c>
      <c r="L1554" s="415">
        <v>2896.69</v>
      </c>
      <c r="M1554" s="415">
        <v>3238.72</v>
      </c>
      <c r="N1554" s="415">
        <v>1323.6</v>
      </c>
      <c r="O1554" s="415">
        <v>1263.67</v>
      </c>
      <c r="P1554" s="415">
        <v>1217.3</v>
      </c>
      <c r="Q1554" s="481">
        <f t="shared" si="70"/>
        <v>-404.42593928499991</v>
      </c>
    </row>
    <row r="1555" spans="1:17" outlineLevel="2" x14ac:dyDescent="0.3">
      <c r="A1555" s="366" t="str">
        <f>IFERROR(VLOOKUP(RIGHT(E1555,3)+0,[1]SchLocTable!$A$2:$B$47,2,FALSE)," ")</f>
        <v>Classical Studies Academy</v>
      </c>
      <c r="B1555" s="366" t="str">
        <f>VLOOKUP(VALUE(D1555),$D$3:F$106,3,FALSE)</f>
        <v>English</v>
      </c>
      <c r="C1555" t="s">
        <v>314</v>
      </c>
      <c r="D1555">
        <v>815</v>
      </c>
      <c r="E1555" t="s">
        <v>647</v>
      </c>
      <c r="F1555" t="s">
        <v>316</v>
      </c>
      <c r="G1555">
        <v>1</v>
      </c>
      <c r="H1555" s="502">
        <v>51000</v>
      </c>
      <c r="I1555" s="415">
        <v>85512.618099999992</v>
      </c>
      <c r="J1555" s="415">
        <v>0</v>
      </c>
      <c r="K1555" s="415">
        <v>0</v>
      </c>
      <c r="L1555" s="415">
        <v>52041.99</v>
      </c>
      <c r="M1555" s="415">
        <v>49508.94</v>
      </c>
      <c r="N1555" s="415">
        <v>53596.08</v>
      </c>
      <c r="O1555" s="415">
        <v>0</v>
      </c>
      <c r="P1555" s="415">
        <v>87497.02</v>
      </c>
      <c r="Q1555" s="481">
        <f t="shared" si="70"/>
        <v>-85512.618099999992</v>
      </c>
    </row>
    <row r="1556" spans="1:17" outlineLevel="2" x14ac:dyDescent="0.3">
      <c r="A1556" s="366" t="str">
        <f>IFERROR(VLOOKUP(RIGHT(E1556,3)+0,[1]SchLocTable!$A$2:$B$47,2,FALSE)," ")</f>
        <v>Classical Studies Academy</v>
      </c>
      <c r="B1556" s="366" t="str">
        <f>VLOOKUP(VALUE(D1556),$D$3:F$106,3,FALSE)</f>
        <v>English</v>
      </c>
      <c r="C1556" t="s">
        <v>314</v>
      </c>
      <c r="D1556">
        <v>815</v>
      </c>
      <c r="E1556" t="s">
        <v>647</v>
      </c>
      <c r="F1556" t="s">
        <v>321</v>
      </c>
      <c r="G1556" t="s">
        <v>319</v>
      </c>
      <c r="H1556" s="502">
        <v>52917</v>
      </c>
      <c r="I1556" s="415">
        <v>0</v>
      </c>
      <c r="J1556" s="415">
        <v>0</v>
      </c>
      <c r="K1556" s="415">
        <v>0</v>
      </c>
      <c r="L1556" s="415">
        <v>11684.82</v>
      </c>
      <c r="M1556" s="415">
        <v>10956.75</v>
      </c>
      <c r="N1556" s="415">
        <v>30308.67</v>
      </c>
      <c r="O1556" s="415">
        <v>0</v>
      </c>
      <c r="P1556" s="415">
        <v>9245.67</v>
      </c>
      <c r="Q1556" s="481">
        <f t="shared" si="70"/>
        <v>0</v>
      </c>
    </row>
    <row r="1557" spans="1:17" outlineLevel="2" x14ac:dyDescent="0.3">
      <c r="A1557" s="366" t="str">
        <f>IFERROR(VLOOKUP(RIGHT(E1557,3)+0,[1]SchLocTable!$A$2:$B$47,2,FALSE)," ")</f>
        <v>Classical Studies Academy</v>
      </c>
      <c r="B1557" s="366" t="str">
        <f>VLOOKUP(VALUE(D1557),$D$3:F$106,3,FALSE)</f>
        <v>English</v>
      </c>
      <c r="C1557" t="s">
        <v>314</v>
      </c>
      <c r="D1557">
        <v>815</v>
      </c>
      <c r="E1557" t="s">
        <v>647</v>
      </c>
      <c r="F1557" t="s">
        <v>320</v>
      </c>
      <c r="G1557" t="s">
        <v>319</v>
      </c>
      <c r="H1557" s="502">
        <v>52360</v>
      </c>
      <c r="I1557" s="415">
        <v>1239.9329624499999</v>
      </c>
      <c r="J1557" s="415">
        <v>0</v>
      </c>
      <c r="K1557" s="415">
        <v>0</v>
      </c>
      <c r="L1557" s="415">
        <v>706.21</v>
      </c>
      <c r="M1557" s="415">
        <v>673.72</v>
      </c>
      <c r="N1557" s="415">
        <v>658.81</v>
      </c>
      <c r="O1557" s="415">
        <v>0</v>
      </c>
      <c r="P1557" s="415">
        <v>1247.1300000000001</v>
      </c>
      <c r="Q1557" s="481">
        <f t="shared" si="70"/>
        <v>-1239.9329624499999</v>
      </c>
    </row>
    <row r="1558" spans="1:17" outlineLevel="2" x14ac:dyDescent="0.3">
      <c r="A1558" s="366" t="str">
        <f>IFERROR(VLOOKUP(RIGHT(E1558,3)+0,[1]SchLocTable!$A$2:$B$47,2,FALSE)," ")</f>
        <v>Tisdale</v>
      </c>
      <c r="B1558" s="366" t="str">
        <f>VLOOKUP(VALUE(D1558),$D$3:F$106,3,FALSE)</f>
        <v>English</v>
      </c>
      <c r="C1558" t="s">
        <v>314</v>
      </c>
      <c r="D1558">
        <v>815</v>
      </c>
      <c r="E1558" t="s">
        <v>648</v>
      </c>
      <c r="F1558" t="s">
        <v>316</v>
      </c>
      <c r="G1558">
        <v>2</v>
      </c>
      <c r="H1558" s="502">
        <v>51000</v>
      </c>
      <c r="I1558" s="415">
        <v>199215.01105999999</v>
      </c>
      <c r="J1558" s="415">
        <v>189548</v>
      </c>
      <c r="K1558" s="415">
        <v>183080.04</v>
      </c>
      <c r="L1558" s="415">
        <v>174347.94</v>
      </c>
      <c r="M1558" s="415">
        <v>166924.94</v>
      </c>
      <c r="N1558" s="415">
        <v>161317.09</v>
      </c>
      <c r="O1558" s="415">
        <v>155728.04</v>
      </c>
      <c r="P1558" s="415">
        <v>152352.78</v>
      </c>
      <c r="Q1558" s="481">
        <f t="shared" si="70"/>
        <v>-9667.0110599999898</v>
      </c>
    </row>
    <row r="1559" spans="1:17" outlineLevel="1" x14ac:dyDescent="0.3">
      <c r="A1559" s="366" t="str">
        <f>IFERROR(VLOOKUP(RIGHT(E1559,3)+0,[1]SchLocTable!$A$2:$B$47,2,FALSE)," ")</f>
        <v>Tisdale</v>
      </c>
      <c r="B1559" s="366" t="str">
        <f>VLOOKUP(VALUE(D1559),$D$3:F$106,3,FALSE)</f>
        <v>English</v>
      </c>
      <c r="C1559" t="s">
        <v>314</v>
      </c>
      <c r="D1559">
        <v>815</v>
      </c>
      <c r="E1559" t="s">
        <v>648</v>
      </c>
      <c r="F1559" t="s">
        <v>321</v>
      </c>
      <c r="G1559" t="s">
        <v>319</v>
      </c>
      <c r="H1559" s="502">
        <v>52917</v>
      </c>
      <c r="I1559" s="415">
        <v>16921.8</v>
      </c>
      <c r="J1559" s="415">
        <v>14101.5</v>
      </c>
      <c r="K1559" s="415">
        <v>12873.42</v>
      </c>
      <c r="L1559" s="415">
        <v>12720.54</v>
      </c>
      <c r="M1559" s="415">
        <v>12040.98</v>
      </c>
      <c r="N1559" s="415">
        <v>11268.6</v>
      </c>
      <c r="O1559" s="415">
        <v>10834.49</v>
      </c>
      <c r="P1559" s="415">
        <v>10315.41</v>
      </c>
      <c r="Q1559" s="481">
        <f t="shared" si="70"/>
        <v>-2820.2999999999993</v>
      </c>
    </row>
    <row r="1560" spans="1:17" outlineLevel="2" x14ac:dyDescent="0.3">
      <c r="A1560" s="366" t="str">
        <f>IFERROR(VLOOKUP(RIGHT(E1560,3)+0,[1]SchLocTable!$A$2:$B$47,2,FALSE)," ")</f>
        <v>Tisdale</v>
      </c>
      <c r="B1560" s="366" t="str">
        <f>VLOOKUP(VALUE(D1560),$D$3:F$106,3,FALSE)</f>
        <v>English</v>
      </c>
      <c r="C1560" t="s">
        <v>314</v>
      </c>
      <c r="D1560">
        <v>815</v>
      </c>
      <c r="E1560" t="s">
        <v>648</v>
      </c>
      <c r="F1560" t="s">
        <v>318</v>
      </c>
      <c r="G1560" t="s">
        <v>319</v>
      </c>
      <c r="H1560" s="502">
        <v>51140</v>
      </c>
      <c r="I1560" s="415">
        <v>1200</v>
      </c>
      <c r="J1560" s="415">
        <v>0</v>
      </c>
      <c r="K1560" s="415">
        <v>1200</v>
      </c>
      <c r="L1560" s="415">
        <v>1100</v>
      </c>
      <c r="M1560" s="415">
        <v>1100</v>
      </c>
      <c r="N1560" s="415">
        <v>1100</v>
      </c>
      <c r="O1560" s="415">
        <v>1100</v>
      </c>
      <c r="P1560" s="415">
        <v>1100</v>
      </c>
      <c r="Q1560" s="481">
        <f t="shared" si="70"/>
        <v>-1200</v>
      </c>
    </row>
    <row r="1561" spans="1:17" outlineLevel="2" x14ac:dyDescent="0.3">
      <c r="A1561" s="366" t="str">
        <f>IFERROR(VLOOKUP(RIGHT(E1561,3)+0,[1]SchLocTable!$A$2:$B$47,2,FALSE)," ")</f>
        <v>Tisdale</v>
      </c>
      <c r="B1561" s="366" t="str">
        <f>VLOOKUP(VALUE(D1561),$D$3:F$106,3,FALSE)</f>
        <v>English</v>
      </c>
      <c r="C1561" t="s">
        <v>314</v>
      </c>
      <c r="D1561">
        <v>815</v>
      </c>
      <c r="E1561" t="s">
        <v>648</v>
      </c>
      <c r="F1561" t="s">
        <v>320</v>
      </c>
      <c r="G1561" t="s">
        <v>319</v>
      </c>
      <c r="H1561" s="502">
        <v>52360</v>
      </c>
      <c r="I1561" s="415">
        <v>2888.6176603700001</v>
      </c>
      <c r="J1561" s="415">
        <v>2692</v>
      </c>
      <c r="K1561" s="415">
        <v>2618.7600000000002</v>
      </c>
      <c r="L1561" s="415">
        <v>2492.96</v>
      </c>
      <c r="M1561" s="415">
        <v>2389.4299999999998</v>
      </c>
      <c r="N1561" s="415">
        <v>2312.4499999999998</v>
      </c>
      <c r="O1561" s="415">
        <v>2234.12</v>
      </c>
      <c r="P1561" s="415">
        <v>2188.6999999999998</v>
      </c>
      <c r="Q1561" s="481">
        <f t="shared" si="70"/>
        <v>-196.61766037000007</v>
      </c>
    </row>
    <row r="1562" spans="1:17" outlineLevel="2" x14ac:dyDescent="0.3">
      <c r="A1562" s="366" t="str">
        <f>IFERROR(VLOOKUP(RIGHT(E1562,3)+0,[1]SchLocTable!$A$2:$B$47,2,FALSE)," ")</f>
        <v>Read</v>
      </c>
      <c r="B1562" s="366" t="str">
        <f>VLOOKUP(VALUE(D1562),$D$3:F$106,3,FALSE)</f>
        <v>English</v>
      </c>
      <c r="C1562" t="s">
        <v>314</v>
      </c>
      <c r="D1562">
        <v>815</v>
      </c>
      <c r="E1562" t="s">
        <v>649</v>
      </c>
      <c r="F1562" t="s">
        <v>316</v>
      </c>
      <c r="G1562">
        <v>3</v>
      </c>
      <c r="H1562" s="502">
        <v>51000</v>
      </c>
      <c r="I1562" s="415">
        <v>264628.26312000002</v>
      </c>
      <c r="J1562" s="415">
        <v>199225</v>
      </c>
      <c r="K1562" s="415">
        <v>210948.8</v>
      </c>
      <c r="L1562" s="415">
        <v>183603.94</v>
      </c>
      <c r="M1562" s="415">
        <v>241368.42</v>
      </c>
      <c r="N1562" s="415">
        <v>127919.07</v>
      </c>
      <c r="O1562" s="415">
        <v>128815.96</v>
      </c>
      <c r="P1562" s="415">
        <v>126787.18</v>
      </c>
      <c r="Q1562" s="481">
        <f t="shared" si="70"/>
        <v>-65403.263120000018</v>
      </c>
    </row>
    <row r="1563" spans="1:17" outlineLevel="2" x14ac:dyDescent="0.3">
      <c r="A1563" s="366" t="str">
        <f>IFERROR(VLOOKUP(RIGHT(E1563,3)+0,[1]SchLocTable!$A$2:$B$47,2,FALSE)," ")</f>
        <v>Read</v>
      </c>
      <c r="B1563" s="366" t="str">
        <f>VLOOKUP(VALUE(D1563),$D$3:F$106,3,FALSE)</f>
        <v>English</v>
      </c>
      <c r="C1563" t="s">
        <v>314</v>
      </c>
      <c r="D1563">
        <v>815</v>
      </c>
      <c r="E1563" t="s">
        <v>649</v>
      </c>
      <c r="F1563" t="s">
        <v>321</v>
      </c>
      <c r="G1563" t="s">
        <v>319</v>
      </c>
      <c r="H1563" s="502">
        <v>52917</v>
      </c>
      <c r="I1563" s="415">
        <v>78133.859999999986</v>
      </c>
      <c r="J1563" s="415">
        <v>32684</v>
      </c>
      <c r="K1563" s="415">
        <v>28077.24</v>
      </c>
      <c r="L1563" s="415">
        <v>23849.49</v>
      </c>
      <c r="M1563" s="415">
        <v>31077.69</v>
      </c>
      <c r="N1563" s="415">
        <v>40541.550000000003</v>
      </c>
      <c r="O1563" s="415">
        <v>38895.18</v>
      </c>
      <c r="P1563" s="415">
        <v>18491.34</v>
      </c>
      <c r="Q1563" s="481">
        <f t="shared" si="70"/>
        <v>-45449.859999999986</v>
      </c>
    </row>
    <row r="1564" spans="1:17" outlineLevel="2" x14ac:dyDescent="0.3">
      <c r="A1564" s="366" t="str">
        <f>IFERROR(VLOOKUP(RIGHT(E1564,3)+0,[1]SchLocTable!$A$2:$B$47,2,FALSE)," ")</f>
        <v>Read</v>
      </c>
      <c r="B1564" s="366" t="str">
        <f>VLOOKUP(VALUE(D1564),$D$3:F$106,3,FALSE)</f>
        <v>English</v>
      </c>
      <c r="C1564" t="s">
        <v>314</v>
      </c>
      <c r="D1564">
        <v>815</v>
      </c>
      <c r="E1564" t="s">
        <v>649</v>
      </c>
      <c r="F1564" t="s">
        <v>318</v>
      </c>
      <c r="G1564" t="s">
        <v>319</v>
      </c>
      <c r="H1564" s="502">
        <v>51140</v>
      </c>
      <c r="I1564" s="415">
        <v>1300</v>
      </c>
      <c r="J1564" s="415">
        <v>0</v>
      </c>
      <c r="K1564" s="415">
        <v>1300</v>
      </c>
      <c r="L1564" s="415">
        <v>1300</v>
      </c>
      <c r="M1564" s="415">
        <v>1300</v>
      </c>
      <c r="N1564" s="415">
        <v>0</v>
      </c>
      <c r="O1564" s="415">
        <v>0</v>
      </c>
      <c r="P1564" s="415">
        <v>0</v>
      </c>
      <c r="Q1564" s="481">
        <f t="shared" si="70"/>
        <v>-1300</v>
      </c>
    </row>
    <row r="1565" spans="1:17" outlineLevel="2" x14ac:dyDescent="0.3">
      <c r="A1565" s="366" t="str">
        <f>IFERROR(VLOOKUP(RIGHT(E1565,3)+0,[1]SchLocTable!$A$2:$B$47,2,FALSE)," ")</f>
        <v>Read</v>
      </c>
      <c r="B1565" s="366" t="str">
        <f>VLOOKUP(VALUE(D1565),$D$3:F$106,3,FALSE)</f>
        <v>English</v>
      </c>
      <c r="C1565" t="s">
        <v>314</v>
      </c>
      <c r="D1565">
        <v>815</v>
      </c>
      <c r="E1565" t="s">
        <v>649</v>
      </c>
      <c r="F1565" t="s">
        <v>320</v>
      </c>
      <c r="G1565" t="s">
        <v>319</v>
      </c>
      <c r="H1565" s="502">
        <v>52360</v>
      </c>
      <c r="I1565" s="415">
        <v>3837.10981524</v>
      </c>
      <c r="J1565" s="415">
        <v>2765</v>
      </c>
      <c r="K1565" s="415">
        <v>2960.19</v>
      </c>
      <c r="L1565" s="415">
        <v>2567.6</v>
      </c>
      <c r="M1565" s="415">
        <v>3393.95</v>
      </c>
      <c r="N1565" s="415">
        <v>1696.53</v>
      </c>
      <c r="O1565" s="415">
        <v>1713.28</v>
      </c>
      <c r="P1565" s="415">
        <v>1756.34</v>
      </c>
      <c r="Q1565" s="481">
        <f t="shared" si="70"/>
        <v>-1072.10981524</v>
      </c>
    </row>
    <row r="1566" spans="1:17" outlineLevel="2" x14ac:dyDescent="0.3">
      <c r="A1566" s="366" t="str">
        <f>IFERROR(VLOOKUP(RIGHT(E1566,3)+0,[1]SchLocTable!$A$2:$B$47,2,FALSE)," ")</f>
        <v>Roosevelt</v>
      </c>
      <c r="B1566" s="366" t="str">
        <f>VLOOKUP(VALUE(D1566),$D$3:F$106,3,FALSE)</f>
        <v>English</v>
      </c>
      <c r="C1566" t="s">
        <v>314</v>
      </c>
      <c r="D1566">
        <v>815</v>
      </c>
      <c r="E1566" t="s">
        <v>650</v>
      </c>
      <c r="F1566" t="s">
        <v>316</v>
      </c>
      <c r="G1566">
        <v>1</v>
      </c>
      <c r="H1566" s="502">
        <v>51000</v>
      </c>
      <c r="I1566" s="415">
        <v>64054.33008</v>
      </c>
      <c r="J1566" s="415">
        <v>60946</v>
      </c>
      <c r="K1566" s="415">
        <v>57918.9</v>
      </c>
      <c r="L1566" s="415">
        <v>52042.12</v>
      </c>
      <c r="M1566" s="415">
        <v>0</v>
      </c>
      <c r="N1566" s="415">
        <v>88897.12</v>
      </c>
      <c r="O1566" s="415">
        <v>83106.92</v>
      </c>
      <c r="P1566" s="415">
        <v>82547.13</v>
      </c>
      <c r="Q1566" s="481">
        <f t="shared" si="70"/>
        <v>-3108.3300799999997</v>
      </c>
    </row>
    <row r="1567" spans="1:17" outlineLevel="2" x14ac:dyDescent="0.3">
      <c r="A1567" s="366" t="str">
        <f>IFERROR(VLOOKUP(RIGHT(E1567,3)+0,[1]SchLocTable!$A$2:$B$47,2,FALSE)," ")</f>
        <v>Roosevelt</v>
      </c>
      <c r="B1567" s="366" t="str">
        <f>VLOOKUP(VALUE(D1567),$D$3:F$106,3,FALSE)</f>
        <v>English</v>
      </c>
      <c r="C1567" t="s">
        <v>314</v>
      </c>
      <c r="D1567">
        <v>815</v>
      </c>
      <c r="E1567" t="s">
        <v>650</v>
      </c>
      <c r="F1567" t="s">
        <v>321</v>
      </c>
      <c r="G1567" t="s">
        <v>319</v>
      </c>
      <c r="H1567" s="502">
        <v>52917</v>
      </c>
      <c r="I1567" s="415">
        <v>37644.263999999996</v>
      </c>
      <c r="J1567" s="415">
        <v>1088</v>
      </c>
      <c r="K1567" s="415">
        <v>878.64</v>
      </c>
      <c r="L1567" s="415">
        <v>12469.5</v>
      </c>
      <c r="M1567" s="415">
        <v>0</v>
      </c>
      <c r="N1567" s="415">
        <v>30308.67</v>
      </c>
      <c r="O1567" s="415">
        <v>29077.5</v>
      </c>
      <c r="P1567" s="415">
        <v>27385.05</v>
      </c>
      <c r="Q1567" s="481">
        <f t="shared" si="70"/>
        <v>-36556.263999999996</v>
      </c>
    </row>
    <row r="1568" spans="1:17" outlineLevel="2" x14ac:dyDescent="0.3">
      <c r="A1568" s="366" t="str">
        <f>IFERROR(VLOOKUP(RIGHT(E1568,3)+0,[1]SchLocTable!$A$2:$B$47,2,FALSE)," ")</f>
        <v>Roosevelt</v>
      </c>
      <c r="B1568" s="366" t="str">
        <f>VLOOKUP(VALUE(D1568),$D$3:F$106,3,FALSE)</f>
        <v>English</v>
      </c>
      <c r="C1568" t="s">
        <v>314</v>
      </c>
      <c r="D1568">
        <v>815</v>
      </c>
      <c r="E1568" t="s">
        <v>650</v>
      </c>
      <c r="F1568" t="s">
        <v>320</v>
      </c>
      <c r="G1568" t="s">
        <v>319</v>
      </c>
      <c r="H1568" s="502">
        <v>52360</v>
      </c>
      <c r="I1568" s="415">
        <v>928.78778616</v>
      </c>
      <c r="J1568" s="415">
        <v>863.96</v>
      </c>
      <c r="K1568" s="415">
        <v>837.48</v>
      </c>
      <c r="L1568" s="415">
        <v>703.52</v>
      </c>
      <c r="M1568" s="415">
        <v>0</v>
      </c>
      <c r="N1568" s="415">
        <v>1170.6199999999999</v>
      </c>
      <c r="O1568" s="415">
        <v>1094.6099999999999</v>
      </c>
      <c r="P1568" s="415">
        <v>1094.4000000000001</v>
      </c>
      <c r="Q1568" s="481">
        <f t="shared" si="70"/>
        <v>-64.82778615999996</v>
      </c>
    </row>
    <row r="1569" spans="1:17" outlineLevel="1" x14ac:dyDescent="0.3">
      <c r="A1569" s="366" t="str">
        <f>IFERROR(VLOOKUP(RIGHT(E1569,3)+0,[1]SchLocTable!$A$2:$B$47,2,FALSE)," ")</f>
        <v>Waltersville</v>
      </c>
      <c r="B1569" s="366" t="str">
        <f>VLOOKUP(VALUE(D1569),$D$3:F$106,3,FALSE)</f>
        <v>English</v>
      </c>
      <c r="C1569" t="s">
        <v>314</v>
      </c>
      <c r="D1569">
        <v>815</v>
      </c>
      <c r="E1569" t="s">
        <v>651</v>
      </c>
      <c r="F1569" t="s">
        <v>316</v>
      </c>
      <c r="G1569" t="s">
        <v>319</v>
      </c>
      <c r="H1569" s="502">
        <v>51000</v>
      </c>
      <c r="I1569" s="415">
        <v>0</v>
      </c>
      <c r="J1569" s="415">
        <v>0</v>
      </c>
      <c r="K1569" s="415">
        <v>70021.899999999994</v>
      </c>
      <c r="L1569" s="415">
        <v>66331.98</v>
      </c>
      <c r="M1569" s="415">
        <v>63339.12</v>
      </c>
      <c r="N1569" s="415">
        <v>60342.879999999997</v>
      </c>
      <c r="O1569" s="415">
        <v>57346.12</v>
      </c>
      <c r="P1569" s="415">
        <v>56442.96</v>
      </c>
      <c r="Q1569" s="481">
        <f t="shared" si="70"/>
        <v>0</v>
      </c>
    </row>
    <row r="1570" spans="1:17" outlineLevel="2" x14ac:dyDescent="0.3">
      <c r="A1570" s="366" t="str">
        <f>IFERROR(VLOOKUP(RIGHT(E1570,3)+0,[1]SchLocTable!$A$2:$B$47,2,FALSE)," ")</f>
        <v>Waltersville</v>
      </c>
      <c r="B1570" s="366" t="str">
        <f>VLOOKUP(VALUE(D1570),$D$3:F$106,3,FALSE)</f>
        <v>English</v>
      </c>
      <c r="C1570" t="s">
        <v>314</v>
      </c>
      <c r="D1570">
        <v>815</v>
      </c>
      <c r="E1570" t="s">
        <v>651</v>
      </c>
      <c r="F1570" t="s">
        <v>321</v>
      </c>
      <c r="G1570" t="s">
        <v>319</v>
      </c>
      <c r="H1570" s="502">
        <v>52917</v>
      </c>
      <c r="I1570" s="415">
        <v>0</v>
      </c>
      <c r="J1570" s="415">
        <v>0</v>
      </c>
      <c r="K1570" s="415">
        <v>11844</v>
      </c>
      <c r="L1570" s="415">
        <v>11684.82</v>
      </c>
      <c r="M1570" s="415">
        <v>10956.75</v>
      </c>
      <c r="N1570" s="415">
        <v>10232.879999999999</v>
      </c>
      <c r="O1570" s="415">
        <v>9817.68</v>
      </c>
      <c r="P1570" s="415">
        <v>9245.67</v>
      </c>
      <c r="Q1570" s="481">
        <f t="shared" si="70"/>
        <v>0</v>
      </c>
    </row>
    <row r="1571" spans="1:17" outlineLevel="2" x14ac:dyDescent="0.3">
      <c r="A1571" s="366" t="str">
        <f>IFERROR(VLOOKUP(RIGHT(E1571,3)+0,[1]SchLocTable!$A$2:$B$47,2,FALSE)," ")</f>
        <v>Waltersville</v>
      </c>
      <c r="B1571" s="366" t="str">
        <f>VLOOKUP(VALUE(D1571),$D$3:F$106,3,FALSE)</f>
        <v>English</v>
      </c>
      <c r="C1571" t="s">
        <v>314</v>
      </c>
      <c r="D1571">
        <v>815</v>
      </c>
      <c r="E1571" t="s">
        <v>651</v>
      </c>
      <c r="F1571" t="s">
        <v>320</v>
      </c>
      <c r="G1571" t="s">
        <v>319</v>
      </c>
      <c r="H1571" s="502">
        <v>52360</v>
      </c>
      <c r="I1571" s="415">
        <v>0</v>
      </c>
      <c r="J1571" s="415">
        <v>0</v>
      </c>
      <c r="K1571" s="415">
        <v>944.52</v>
      </c>
      <c r="L1571" s="415">
        <v>898.33</v>
      </c>
      <c r="M1571" s="415">
        <v>859.12</v>
      </c>
      <c r="N1571" s="415">
        <v>835.02</v>
      </c>
      <c r="O1571" s="415">
        <v>794.22</v>
      </c>
      <c r="P1571" s="415">
        <v>783.79</v>
      </c>
      <c r="Q1571" s="481">
        <f t="shared" si="70"/>
        <v>0</v>
      </c>
    </row>
    <row r="1572" spans="1:17" outlineLevel="2" x14ac:dyDescent="0.3">
      <c r="A1572" s="366" t="str">
        <f>IFERROR(VLOOKUP(RIGHT(E1572,3)+0,[1]SchLocTable!$A$2:$B$47,2,FALSE)," ")</f>
        <v>Claytor</v>
      </c>
      <c r="B1572" s="366" t="str">
        <f>VLOOKUP(VALUE(D1572),$D$3:F$106,3,FALSE)</f>
        <v>English</v>
      </c>
      <c r="C1572" t="s">
        <v>314</v>
      </c>
      <c r="D1572">
        <v>815</v>
      </c>
      <c r="E1572" t="s">
        <v>652</v>
      </c>
      <c r="F1572" t="s">
        <v>316</v>
      </c>
      <c r="G1572">
        <v>1</v>
      </c>
      <c r="H1572" s="502">
        <v>51000</v>
      </c>
      <c r="I1572" s="415">
        <v>57068.164919999996</v>
      </c>
      <c r="J1572" s="415">
        <v>54299</v>
      </c>
      <c r="K1572" s="415">
        <v>52562.12</v>
      </c>
      <c r="L1572" s="415">
        <v>57345.96</v>
      </c>
      <c r="M1572" s="415">
        <v>54993.120000000003</v>
      </c>
      <c r="N1572" s="415">
        <v>52902.98</v>
      </c>
      <c r="O1572" s="415">
        <v>50535.94</v>
      </c>
      <c r="P1572" s="415">
        <v>49740.08</v>
      </c>
      <c r="Q1572" s="481">
        <f t="shared" si="70"/>
        <v>-2769.1649199999956</v>
      </c>
    </row>
    <row r="1573" spans="1:17" outlineLevel="2" x14ac:dyDescent="0.3">
      <c r="A1573" s="366" t="str">
        <f>IFERROR(VLOOKUP(RIGHT(E1573,3)+0,[1]SchLocTable!$A$2:$B$47,2,FALSE)," ")</f>
        <v>Claytor</v>
      </c>
      <c r="B1573" s="366" t="str">
        <f>VLOOKUP(VALUE(D1573),$D$3:F$106,3,FALSE)</f>
        <v>English</v>
      </c>
      <c r="C1573" t="s">
        <v>314</v>
      </c>
      <c r="D1573">
        <v>815</v>
      </c>
      <c r="E1573" t="s">
        <v>652</v>
      </c>
      <c r="F1573" t="s">
        <v>321</v>
      </c>
      <c r="G1573" t="s">
        <v>319</v>
      </c>
      <c r="H1573" s="502">
        <v>52917</v>
      </c>
      <c r="I1573" s="415">
        <v>15555.96</v>
      </c>
      <c r="J1573" s="415">
        <v>12963.3</v>
      </c>
      <c r="K1573" s="415">
        <v>11188</v>
      </c>
      <c r="L1573" s="415">
        <v>11684.82</v>
      </c>
      <c r="M1573" s="415">
        <v>10956.75</v>
      </c>
      <c r="N1573" s="415">
        <v>10232.879999999999</v>
      </c>
      <c r="O1573" s="415">
        <v>9817.68</v>
      </c>
      <c r="P1573" s="415">
        <v>9245.67</v>
      </c>
      <c r="Q1573" s="481">
        <f t="shared" si="70"/>
        <v>-2592.66</v>
      </c>
    </row>
    <row r="1574" spans="1:17" outlineLevel="1" x14ac:dyDescent="0.3">
      <c r="A1574" s="366" t="str">
        <f>IFERROR(VLOOKUP(RIGHT(E1574,3)+0,[1]SchLocTable!$A$2:$B$47,2,FALSE)," ")</f>
        <v>Claytor</v>
      </c>
      <c r="B1574" s="366" t="str">
        <f>VLOOKUP(VALUE(D1574),$D$3:F$106,3,FALSE)</f>
        <v>English</v>
      </c>
      <c r="C1574" t="s">
        <v>314</v>
      </c>
      <c r="D1574">
        <v>815</v>
      </c>
      <c r="E1574" t="s">
        <v>652</v>
      </c>
      <c r="F1574" t="s">
        <v>320</v>
      </c>
      <c r="G1574" t="s">
        <v>319</v>
      </c>
      <c r="H1574" s="502">
        <v>52360</v>
      </c>
      <c r="I1574" s="415">
        <v>827.48839134000002</v>
      </c>
      <c r="J1574" s="415">
        <v>717</v>
      </c>
      <c r="K1574" s="415">
        <v>714.25</v>
      </c>
      <c r="L1574" s="415">
        <v>783.12</v>
      </c>
      <c r="M1574" s="415">
        <v>753.25</v>
      </c>
      <c r="N1574" s="415">
        <v>727.13</v>
      </c>
      <c r="O1574" s="415">
        <v>695.47</v>
      </c>
      <c r="P1574" s="415">
        <v>686.6</v>
      </c>
      <c r="Q1574" s="481">
        <f t="shared" si="70"/>
        <v>-110.48839134000002</v>
      </c>
    </row>
    <row r="1575" spans="1:17" outlineLevel="2" x14ac:dyDescent="0.3">
      <c r="A1575" s="366" t="str">
        <f>IFERROR(VLOOKUP(RIGHT(E1575,3)+0,[1]SchLocTable!$A$2:$B$47,2,FALSE)," ")</f>
        <v>Johnson</v>
      </c>
      <c r="B1575" s="366" t="str">
        <f>VLOOKUP(VALUE(D1575),$D$3:F$106,3,FALSE)</f>
        <v>English</v>
      </c>
      <c r="C1575" t="s">
        <v>314</v>
      </c>
      <c r="D1575">
        <v>815</v>
      </c>
      <c r="E1575" t="s">
        <v>653</v>
      </c>
      <c r="F1575" t="s">
        <v>316</v>
      </c>
      <c r="G1575" t="s">
        <v>319</v>
      </c>
      <c r="H1575" s="502">
        <v>51000</v>
      </c>
      <c r="I1575" s="415">
        <v>0</v>
      </c>
      <c r="J1575" s="415">
        <v>0</v>
      </c>
      <c r="K1575" s="415">
        <v>57487.040000000001</v>
      </c>
      <c r="L1575" s="415">
        <v>99247.1</v>
      </c>
      <c r="M1575" s="415">
        <v>120661.52</v>
      </c>
      <c r="N1575" s="415">
        <v>114933</v>
      </c>
      <c r="O1575" s="415">
        <v>110649.24</v>
      </c>
      <c r="P1575" s="415">
        <v>156934.96</v>
      </c>
      <c r="Q1575" s="481">
        <f t="shared" si="70"/>
        <v>0</v>
      </c>
    </row>
    <row r="1576" spans="1:17" outlineLevel="2" x14ac:dyDescent="0.3">
      <c r="A1576" s="366" t="str">
        <f>IFERROR(VLOOKUP(RIGHT(E1576,3)+0,[1]SchLocTable!$A$2:$B$47,2,FALSE)," ")</f>
        <v>Johnson</v>
      </c>
      <c r="B1576" s="366" t="str">
        <f>VLOOKUP(VALUE(D1576),$D$3:F$106,3,FALSE)</f>
        <v>English</v>
      </c>
      <c r="C1576" t="s">
        <v>314</v>
      </c>
      <c r="D1576">
        <v>815</v>
      </c>
      <c r="E1576" t="s">
        <v>653</v>
      </c>
      <c r="F1576" t="s">
        <v>321</v>
      </c>
      <c r="G1576" t="s">
        <v>319</v>
      </c>
      <c r="H1576" s="502">
        <v>52917</v>
      </c>
      <c r="I1576" s="415">
        <v>0</v>
      </c>
      <c r="J1576" s="415">
        <v>0</v>
      </c>
      <c r="K1576" s="415">
        <v>35075.879999999997</v>
      </c>
      <c r="L1576" s="415">
        <v>34439.79</v>
      </c>
      <c r="M1576" s="415">
        <v>32436.81</v>
      </c>
      <c r="N1576" s="415">
        <v>30141.51</v>
      </c>
      <c r="O1576" s="415">
        <v>1271.97</v>
      </c>
      <c r="P1576" s="415">
        <v>22186.29</v>
      </c>
      <c r="Q1576" s="481">
        <f t="shared" si="70"/>
        <v>0</v>
      </c>
    </row>
    <row r="1577" spans="1:17" outlineLevel="2" x14ac:dyDescent="0.3">
      <c r="A1577" s="366" t="str">
        <f>IFERROR(VLOOKUP(RIGHT(E1577,3)+0,[1]SchLocTable!$A$2:$B$47,2,FALSE)," ")</f>
        <v>Johnson</v>
      </c>
      <c r="B1577" s="366" t="str">
        <f>VLOOKUP(VALUE(D1577),$D$3:F$106,3,FALSE)</f>
        <v>English</v>
      </c>
      <c r="C1577" t="s">
        <v>314</v>
      </c>
      <c r="D1577">
        <v>815</v>
      </c>
      <c r="E1577" t="s">
        <v>653</v>
      </c>
      <c r="F1577" t="s">
        <v>320</v>
      </c>
      <c r="G1577" t="s">
        <v>319</v>
      </c>
      <c r="H1577" s="502">
        <v>52360</v>
      </c>
      <c r="I1577" s="415">
        <v>0</v>
      </c>
      <c r="J1577" s="415">
        <v>0</v>
      </c>
      <c r="K1577" s="415">
        <v>683.85</v>
      </c>
      <c r="L1577" s="415">
        <v>1296.2</v>
      </c>
      <c r="M1577" s="415">
        <v>1618.88</v>
      </c>
      <c r="N1577" s="415">
        <v>1548.63</v>
      </c>
      <c r="O1577" s="415">
        <v>1617.11</v>
      </c>
      <c r="P1577" s="415">
        <v>2181.37</v>
      </c>
      <c r="Q1577" s="481">
        <f t="shared" si="70"/>
        <v>0</v>
      </c>
    </row>
    <row r="1578" spans="1:17" outlineLevel="2" x14ac:dyDescent="0.3">
      <c r="A1578" s="366" t="str">
        <f>IFERROR(VLOOKUP(RIGHT(E1578,3)+0,[1]SchLocTable!$A$2:$B$47,2,FALSE)," ")</f>
        <v>Johnson</v>
      </c>
      <c r="B1578" s="366" t="str">
        <f>VLOOKUP(VALUE(D1578),$D$3:F$106,3,FALSE)</f>
        <v>English</v>
      </c>
      <c r="C1578" t="s">
        <v>314</v>
      </c>
      <c r="D1578">
        <v>815</v>
      </c>
      <c r="E1578" t="s">
        <v>653</v>
      </c>
      <c r="F1578" t="s">
        <v>324</v>
      </c>
      <c r="G1578" t="s">
        <v>319</v>
      </c>
      <c r="H1578" s="502">
        <v>52385</v>
      </c>
      <c r="I1578" s="415">
        <v>0</v>
      </c>
      <c r="J1578" s="415">
        <v>0</v>
      </c>
      <c r="K1578" s="415">
        <v>0</v>
      </c>
      <c r="L1578" s="415">
        <v>2766.75</v>
      </c>
      <c r="M1578" s="415">
        <v>0</v>
      </c>
      <c r="N1578" s="415">
        <v>0</v>
      </c>
      <c r="O1578" s="415">
        <v>0</v>
      </c>
      <c r="P1578" s="415">
        <v>0</v>
      </c>
      <c r="Q1578" s="481">
        <f t="shared" si="70"/>
        <v>0</v>
      </c>
    </row>
    <row r="1579" spans="1:17" outlineLevel="2" x14ac:dyDescent="0.3">
      <c r="A1579" s="366" t="str">
        <f>IFERROR(VLOOKUP(RIGHT(E1579,3)+0,[1]SchLocTable!$A$2:$B$47,2,FALSE)," ")</f>
        <v>Winthrop</v>
      </c>
      <c r="B1579" s="366" t="str">
        <f>VLOOKUP(VALUE(D1579),$D$3:F$106,3,FALSE)</f>
        <v>English</v>
      </c>
      <c r="C1579" t="s">
        <v>314</v>
      </c>
      <c r="D1579">
        <v>815</v>
      </c>
      <c r="E1579" t="s">
        <v>654</v>
      </c>
      <c r="F1579" t="s">
        <v>316</v>
      </c>
      <c r="G1579">
        <v>2</v>
      </c>
      <c r="H1579" s="502">
        <v>51000</v>
      </c>
      <c r="I1579" s="415">
        <v>64054.33008</v>
      </c>
      <c r="J1579" s="415">
        <v>60946.080000000002</v>
      </c>
      <c r="K1579" s="415">
        <v>172051.88</v>
      </c>
      <c r="L1579" s="415">
        <v>148216.12</v>
      </c>
      <c r="M1579" s="415">
        <v>161650.06</v>
      </c>
      <c r="N1579" s="415">
        <v>166021.96</v>
      </c>
      <c r="O1579" s="415">
        <v>160300.92000000001</v>
      </c>
      <c r="P1579" s="415">
        <v>157777.1</v>
      </c>
      <c r="Q1579" s="481">
        <f t="shared" si="70"/>
        <v>-3108.250079999998</v>
      </c>
    </row>
    <row r="1580" spans="1:17" outlineLevel="2" x14ac:dyDescent="0.3">
      <c r="A1580" s="366" t="str">
        <f>IFERROR(VLOOKUP(RIGHT(E1580,3)+0,[1]SchLocTable!$A$2:$B$47,2,FALSE)," ")</f>
        <v>Winthrop</v>
      </c>
      <c r="B1580" s="366" t="str">
        <f>VLOOKUP(VALUE(D1580),$D$3:F$106,3,FALSE)</f>
        <v>English</v>
      </c>
      <c r="C1580" t="s">
        <v>314</v>
      </c>
      <c r="D1580">
        <v>815</v>
      </c>
      <c r="E1580" t="s">
        <v>654</v>
      </c>
      <c r="F1580" t="s">
        <v>321</v>
      </c>
      <c r="G1580" t="s">
        <v>319</v>
      </c>
      <c r="H1580" s="502">
        <v>52917</v>
      </c>
      <c r="I1580" s="415">
        <v>15644.663999999999</v>
      </c>
      <c r="J1580" s="415">
        <v>13037.22</v>
      </c>
      <c r="K1580" s="415">
        <v>23688</v>
      </c>
      <c r="L1580" s="415">
        <v>23369.64</v>
      </c>
      <c r="M1580" s="415">
        <v>43405.95</v>
      </c>
      <c r="N1580" s="415">
        <v>60617.34</v>
      </c>
      <c r="O1580" s="415">
        <v>58155</v>
      </c>
      <c r="P1580" s="415">
        <v>54770.1</v>
      </c>
      <c r="Q1580" s="481">
        <f t="shared" si="70"/>
        <v>-2607.4439999999995</v>
      </c>
    </row>
    <row r="1581" spans="1:17" outlineLevel="1" x14ac:dyDescent="0.3">
      <c r="A1581" s="366" t="str">
        <f>IFERROR(VLOOKUP(RIGHT(E1581,3)+0,[1]SchLocTable!$A$2:$B$47,2,FALSE)," ")</f>
        <v>Winthrop</v>
      </c>
      <c r="B1581" s="366" t="str">
        <f>VLOOKUP(VALUE(D1581),$D$3:F$106,3,FALSE)</f>
        <v>English</v>
      </c>
      <c r="C1581" t="s">
        <v>314</v>
      </c>
      <c r="D1581">
        <v>815</v>
      </c>
      <c r="E1581" t="s">
        <v>654</v>
      </c>
      <c r="F1581" t="s">
        <v>318</v>
      </c>
      <c r="G1581" t="s">
        <v>319</v>
      </c>
      <c r="H1581" s="502">
        <v>51140</v>
      </c>
      <c r="I1581" s="415">
        <v>900</v>
      </c>
      <c r="J1581" s="415">
        <v>0</v>
      </c>
      <c r="K1581" s="415">
        <v>2200</v>
      </c>
      <c r="L1581" s="415">
        <v>1100</v>
      </c>
      <c r="M1581" s="415">
        <v>900</v>
      </c>
      <c r="N1581" s="415">
        <v>1200</v>
      </c>
      <c r="O1581" s="415">
        <v>1100</v>
      </c>
      <c r="P1581" s="415">
        <v>1100</v>
      </c>
      <c r="Q1581" s="481">
        <f t="shared" si="70"/>
        <v>-900</v>
      </c>
    </row>
    <row r="1582" spans="1:17" outlineLevel="2" x14ac:dyDescent="0.3">
      <c r="A1582" s="366" t="str">
        <f>IFERROR(VLOOKUP(RIGHT(E1582,3)+0,[1]SchLocTable!$A$2:$B$47,2,FALSE)," ")</f>
        <v>Winthrop</v>
      </c>
      <c r="B1582" s="366" t="str">
        <f>VLOOKUP(VALUE(D1582),$D$3:F$106,3,FALSE)</f>
        <v>English</v>
      </c>
      <c r="C1582" t="s">
        <v>314</v>
      </c>
      <c r="D1582">
        <v>815</v>
      </c>
      <c r="E1582" t="s">
        <v>654</v>
      </c>
      <c r="F1582" t="s">
        <v>320</v>
      </c>
      <c r="G1582" t="s">
        <v>319</v>
      </c>
      <c r="H1582" s="502">
        <v>52360</v>
      </c>
      <c r="I1582" s="415">
        <v>928.78778616</v>
      </c>
      <c r="J1582" s="415">
        <v>875.53</v>
      </c>
      <c r="K1582" s="415">
        <v>2425.5300000000002</v>
      </c>
      <c r="L1582" s="415">
        <v>2068.2800000000002</v>
      </c>
      <c r="M1582" s="415">
        <v>2178.7399999999998</v>
      </c>
      <c r="N1582" s="415">
        <v>2188.06</v>
      </c>
      <c r="O1582" s="415">
        <v>2119.46</v>
      </c>
      <c r="P1582" s="415">
        <v>2098.64</v>
      </c>
      <c r="Q1582" s="481">
        <f t="shared" si="70"/>
        <v>-53.257786160000023</v>
      </c>
    </row>
    <row r="1583" spans="1:17" outlineLevel="2" x14ac:dyDescent="0.3">
      <c r="A1583" s="366" t="str">
        <f>IFERROR(VLOOKUP(RIGHT(E1583,3)+0,[1]SchLocTable!$A$2:$B$47,2,FALSE)," ")</f>
        <v>Cross</v>
      </c>
      <c r="B1583" s="366" t="str">
        <f>VLOOKUP(VALUE(D1583),$D$3:F$106,3,FALSE)</f>
        <v>English</v>
      </c>
      <c r="C1583" t="s">
        <v>314</v>
      </c>
      <c r="D1583">
        <v>815</v>
      </c>
      <c r="E1583" t="s">
        <v>655</v>
      </c>
      <c r="F1583" t="s">
        <v>316</v>
      </c>
      <c r="G1583">
        <v>1</v>
      </c>
      <c r="H1583" s="502">
        <v>51000</v>
      </c>
      <c r="I1583" s="415">
        <v>110428.49642999998</v>
      </c>
      <c r="J1583" s="415">
        <v>105070</v>
      </c>
      <c r="K1583" s="415">
        <v>102757.98</v>
      </c>
      <c r="L1583" s="415">
        <v>30554.01</v>
      </c>
      <c r="M1583" s="415">
        <v>12449.13</v>
      </c>
      <c r="N1583" s="415">
        <v>51606.91</v>
      </c>
      <c r="O1583" s="415">
        <v>80557.100000000006</v>
      </c>
      <c r="P1583" s="415">
        <v>79289.08</v>
      </c>
      <c r="Q1583" s="481">
        <f t="shared" si="70"/>
        <v>-5358.4964299999847</v>
      </c>
    </row>
    <row r="1584" spans="1:17" outlineLevel="2" x14ac:dyDescent="0.3">
      <c r="A1584" s="366" t="str">
        <f>IFERROR(VLOOKUP(RIGHT(E1584,3)+0,[1]SchLocTable!$A$2:$B$47,2,FALSE)," ")</f>
        <v>Cross</v>
      </c>
      <c r="B1584" s="366" t="str">
        <f>VLOOKUP(VALUE(D1584),$D$3:F$106,3,FALSE)</f>
        <v>English</v>
      </c>
      <c r="C1584" t="s">
        <v>314</v>
      </c>
      <c r="D1584">
        <v>815</v>
      </c>
      <c r="E1584" t="s">
        <v>655</v>
      </c>
      <c r="F1584" t="s">
        <v>321</v>
      </c>
      <c r="G1584" t="s">
        <v>319</v>
      </c>
      <c r="H1584" s="502">
        <v>52917</v>
      </c>
      <c r="I1584" s="415">
        <v>15644.663999999999</v>
      </c>
      <c r="J1584" s="415">
        <v>13037.22</v>
      </c>
      <c r="K1584" s="415">
        <v>11844</v>
      </c>
      <c r="L1584" s="415">
        <v>2782.1</v>
      </c>
      <c r="M1584" s="415">
        <v>0</v>
      </c>
      <c r="N1584" s="415">
        <v>2423.15</v>
      </c>
      <c r="O1584" s="415">
        <v>9817.68</v>
      </c>
      <c r="P1584" s="415">
        <v>9245.67</v>
      </c>
      <c r="Q1584" s="481">
        <f t="shared" si="70"/>
        <v>-2607.4439999999995</v>
      </c>
    </row>
    <row r="1585" spans="1:17" outlineLevel="2" x14ac:dyDescent="0.3">
      <c r="A1585" s="366" t="str">
        <f>IFERROR(VLOOKUP(RIGHT(E1585,3)+0,[1]SchLocTable!$A$2:$B$47,2,FALSE)," ")</f>
        <v>Cross</v>
      </c>
      <c r="B1585" s="366" t="str">
        <f>VLOOKUP(VALUE(D1585),$D$3:F$106,3,FALSE)</f>
        <v>English</v>
      </c>
      <c r="C1585" t="s">
        <v>314</v>
      </c>
      <c r="D1585">
        <v>815</v>
      </c>
      <c r="E1585" t="s">
        <v>655</v>
      </c>
      <c r="F1585" t="s">
        <v>320</v>
      </c>
      <c r="G1585" t="s">
        <v>319</v>
      </c>
      <c r="H1585" s="502">
        <v>52360</v>
      </c>
      <c r="I1585" s="415">
        <v>1601.2131982349999</v>
      </c>
      <c r="J1585" s="415">
        <v>1453</v>
      </c>
      <c r="K1585" s="415">
        <v>1439.43</v>
      </c>
      <c r="L1585" s="415">
        <v>431.51</v>
      </c>
      <c r="M1585" s="415">
        <v>180.51</v>
      </c>
      <c r="N1585" s="415">
        <v>738.82</v>
      </c>
      <c r="O1585" s="415">
        <v>1143.83</v>
      </c>
      <c r="P1585" s="415">
        <v>1128.1099999999999</v>
      </c>
      <c r="Q1585" s="481">
        <f t="shared" si="70"/>
        <v>-148.21319823499994</v>
      </c>
    </row>
    <row r="1586" spans="1:17" outlineLevel="2" x14ac:dyDescent="0.3">
      <c r="A1586" s="366" t="str">
        <f>IFERROR(VLOOKUP(RIGHT(E1586,3)+0,[1]SchLocTable!$A$2:$B$47,2,FALSE)," ")</f>
        <v>Blackham</v>
      </c>
      <c r="B1586" s="366" t="str">
        <f>VLOOKUP(VALUE(D1586),$D$3:F$106,3,FALSE)</f>
        <v>English</v>
      </c>
      <c r="C1586" t="s">
        <v>314</v>
      </c>
      <c r="D1586">
        <v>815</v>
      </c>
      <c r="E1586" t="s">
        <v>656</v>
      </c>
      <c r="F1586" t="s">
        <v>316</v>
      </c>
      <c r="G1586">
        <v>2</v>
      </c>
      <c r="H1586" s="502">
        <v>51000</v>
      </c>
      <c r="I1586" s="415">
        <v>156996.34106000001</v>
      </c>
      <c r="J1586" s="415">
        <v>149378</v>
      </c>
      <c r="K1586" s="415">
        <v>142309.18</v>
      </c>
      <c r="L1586" s="415">
        <v>132495.22</v>
      </c>
      <c r="M1586" s="415">
        <v>124321.08</v>
      </c>
      <c r="N1586" s="415">
        <v>141800.1</v>
      </c>
      <c r="O1586" s="415">
        <v>133642.85999999999</v>
      </c>
      <c r="P1586" s="415">
        <v>131538.16</v>
      </c>
      <c r="Q1586" s="481">
        <f t="shared" si="70"/>
        <v>-7618.3410600000061</v>
      </c>
    </row>
    <row r="1587" spans="1:17" outlineLevel="2" x14ac:dyDescent="0.3">
      <c r="A1587" s="366" t="str">
        <f>IFERROR(VLOOKUP(RIGHT(E1587,3)+0,[1]SchLocTable!$A$2:$B$47,2,FALSE)," ")</f>
        <v>Blackham</v>
      </c>
      <c r="B1587" s="366" t="str">
        <f>VLOOKUP(VALUE(D1587),$D$3:F$106,3,FALSE)</f>
        <v>English</v>
      </c>
      <c r="C1587" t="s">
        <v>314</v>
      </c>
      <c r="D1587">
        <v>815</v>
      </c>
      <c r="E1587" t="s">
        <v>656</v>
      </c>
      <c r="F1587" t="s">
        <v>321</v>
      </c>
      <c r="G1587" t="s">
        <v>319</v>
      </c>
      <c r="H1587" s="502">
        <v>52917</v>
      </c>
      <c r="I1587" s="415">
        <v>92661.911999999997</v>
      </c>
      <c r="J1587" s="415">
        <v>77218.259999999995</v>
      </c>
      <c r="K1587" s="415">
        <v>70151.759999999995</v>
      </c>
      <c r="L1587" s="415">
        <v>62516.160000000003</v>
      </c>
      <c r="M1587" s="415">
        <v>37216.83</v>
      </c>
      <c r="N1587" s="415">
        <v>11616.36</v>
      </c>
      <c r="O1587" s="415">
        <v>11089.65</v>
      </c>
      <c r="P1587" s="415">
        <v>10637.13</v>
      </c>
      <c r="Q1587" s="481">
        <f t="shared" si="70"/>
        <v>-15443.652000000002</v>
      </c>
    </row>
    <row r="1588" spans="1:17" outlineLevel="2" x14ac:dyDescent="0.3">
      <c r="A1588" s="366" t="str">
        <f>IFERROR(VLOOKUP(RIGHT(E1588,3)+0,[1]SchLocTable!$A$2:$B$47,2,FALSE)," ")</f>
        <v>Blackham</v>
      </c>
      <c r="B1588" s="366" t="str">
        <f>VLOOKUP(VALUE(D1588),$D$3:F$106,3,FALSE)</f>
        <v>English</v>
      </c>
      <c r="C1588" t="s">
        <v>314</v>
      </c>
      <c r="D1588">
        <v>815</v>
      </c>
      <c r="E1588" t="s">
        <v>656</v>
      </c>
      <c r="F1588" t="s">
        <v>320</v>
      </c>
      <c r="G1588" t="s">
        <v>319</v>
      </c>
      <c r="H1588" s="502">
        <v>52360</v>
      </c>
      <c r="I1588" s="415">
        <v>2276.4469453700003</v>
      </c>
      <c r="J1588" s="415">
        <v>1748</v>
      </c>
      <c r="K1588" s="415">
        <v>1764.05</v>
      </c>
      <c r="L1588" s="415">
        <v>1661.7</v>
      </c>
      <c r="M1588" s="415">
        <v>1652.27</v>
      </c>
      <c r="N1588" s="415">
        <v>2012.62</v>
      </c>
      <c r="O1588" s="415">
        <v>1897.27</v>
      </c>
      <c r="P1588" s="415">
        <v>1870.43</v>
      </c>
      <c r="Q1588" s="481">
        <f t="shared" si="70"/>
        <v>-528.44694537000032</v>
      </c>
    </row>
    <row r="1589" spans="1:17" outlineLevel="2" x14ac:dyDescent="0.3">
      <c r="A1589" s="366" t="str">
        <f>IFERROR(VLOOKUP(RIGHT(E1589,3)+0,[1]SchLocTable!$A$2:$B$47,2,FALSE)," ")</f>
        <v>Dunbar</v>
      </c>
      <c r="B1589" s="366" t="str">
        <f>VLOOKUP(VALUE(D1589),$D$3:F$106,3,FALSE)</f>
        <v>English</v>
      </c>
      <c r="C1589" t="s">
        <v>314</v>
      </c>
      <c r="D1589">
        <v>815</v>
      </c>
      <c r="E1589" t="s">
        <v>657</v>
      </c>
      <c r="F1589" t="s">
        <v>316</v>
      </c>
      <c r="G1589">
        <v>1</v>
      </c>
      <c r="H1589" s="502">
        <v>51000</v>
      </c>
      <c r="I1589" s="415">
        <v>64054.235489999992</v>
      </c>
      <c r="J1589" s="415">
        <v>0</v>
      </c>
      <c r="K1589" s="415">
        <v>8000</v>
      </c>
      <c r="L1589" s="415">
        <v>43516.26</v>
      </c>
      <c r="M1589" s="415">
        <v>0</v>
      </c>
      <c r="N1589" s="415">
        <v>59151.72</v>
      </c>
      <c r="O1589" s="415">
        <v>48634.03</v>
      </c>
      <c r="P1589" s="415">
        <v>47412.04</v>
      </c>
      <c r="Q1589" s="481">
        <f t="shared" si="70"/>
        <v>-64054.235489999992</v>
      </c>
    </row>
    <row r="1590" spans="1:17" outlineLevel="2" x14ac:dyDescent="0.3">
      <c r="A1590" s="366" t="str">
        <f>IFERROR(VLOOKUP(RIGHT(E1590,3)+0,[1]SchLocTable!$A$2:$B$47,2,FALSE)," ")</f>
        <v>Dunbar</v>
      </c>
      <c r="B1590" s="366" t="str">
        <f>VLOOKUP(VALUE(D1590),$D$3:F$106,3,FALSE)</f>
        <v>English</v>
      </c>
      <c r="C1590" t="s">
        <v>314</v>
      </c>
      <c r="D1590">
        <v>815</v>
      </c>
      <c r="E1590" t="s">
        <v>657</v>
      </c>
      <c r="F1590" t="s">
        <v>321</v>
      </c>
      <c r="G1590" t="s">
        <v>319</v>
      </c>
      <c r="H1590" s="502">
        <v>52917</v>
      </c>
      <c r="I1590" s="415">
        <v>15130.835999999998</v>
      </c>
      <c r="J1590" s="415">
        <v>0</v>
      </c>
      <c r="K1590" s="415">
        <v>559.4</v>
      </c>
      <c r="L1590" s="415">
        <v>9459.14</v>
      </c>
      <c r="M1590" s="415">
        <v>0</v>
      </c>
      <c r="N1590" s="415">
        <v>10177.23</v>
      </c>
      <c r="O1590" s="415">
        <v>8434.08</v>
      </c>
      <c r="P1590" s="415">
        <v>9245.67</v>
      </c>
      <c r="Q1590" s="481">
        <f t="shared" si="70"/>
        <v>-15130.835999999998</v>
      </c>
    </row>
    <row r="1591" spans="1:17" outlineLevel="2" x14ac:dyDescent="0.3">
      <c r="A1591" s="366" t="str">
        <f>IFERROR(VLOOKUP(RIGHT(E1591,3)+0,[1]SchLocTable!$A$2:$B$47,2,FALSE)," ")</f>
        <v>Dunbar</v>
      </c>
      <c r="B1591" s="366" t="str">
        <f>VLOOKUP(VALUE(D1591),$D$3:F$106,3,FALSE)</f>
        <v>English</v>
      </c>
      <c r="C1591" t="s">
        <v>314</v>
      </c>
      <c r="D1591">
        <v>815</v>
      </c>
      <c r="E1591" t="s">
        <v>657</v>
      </c>
      <c r="F1591" t="s">
        <v>320</v>
      </c>
      <c r="G1591" t="s">
        <v>319</v>
      </c>
      <c r="H1591" s="502">
        <v>52360</v>
      </c>
      <c r="I1591" s="415">
        <v>928.78641460499989</v>
      </c>
      <c r="J1591" s="415">
        <v>0</v>
      </c>
      <c r="K1591" s="415">
        <v>113.6</v>
      </c>
      <c r="L1591" s="415">
        <v>591.79999999999995</v>
      </c>
      <c r="M1591" s="415">
        <v>0</v>
      </c>
      <c r="N1591" s="415">
        <v>817.88</v>
      </c>
      <c r="O1591" s="415">
        <v>673.16</v>
      </c>
      <c r="P1591" s="415">
        <v>661.09</v>
      </c>
      <c r="Q1591" s="481">
        <f t="shared" si="70"/>
        <v>-928.78641460499989</v>
      </c>
    </row>
    <row r="1592" spans="1:17" outlineLevel="2" x14ac:dyDescent="0.3">
      <c r="A1592" s="366" t="str">
        <f>IFERROR(VLOOKUP(RIGHT(E1592,3)+0,[1]SchLocTable!$A$2:$B$47,2,FALSE)," ")</f>
        <v>Dunbar</v>
      </c>
      <c r="B1592" s="366" t="str">
        <f>VLOOKUP(VALUE(D1592),$D$3:F$106,3,FALSE)</f>
        <v>English</v>
      </c>
      <c r="C1592" t="s">
        <v>314</v>
      </c>
      <c r="D1592">
        <v>815</v>
      </c>
      <c r="E1592" t="s">
        <v>657</v>
      </c>
      <c r="F1592" t="s">
        <v>324</v>
      </c>
      <c r="G1592" t="s">
        <v>319</v>
      </c>
      <c r="H1592" s="502">
        <v>52385</v>
      </c>
      <c r="I1592" s="415">
        <v>0</v>
      </c>
      <c r="J1592" s="415">
        <v>0</v>
      </c>
      <c r="K1592" s="415">
        <v>485.76</v>
      </c>
      <c r="L1592" s="415">
        <v>52.15</v>
      </c>
      <c r="M1592" s="415">
        <v>0</v>
      </c>
      <c r="N1592" s="415">
        <v>241.18</v>
      </c>
      <c r="O1592" s="415">
        <v>175.47</v>
      </c>
      <c r="P1592" s="415">
        <v>0</v>
      </c>
      <c r="Q1592" s="481">
        <f t="shared" si="70"/>
        <v>0</v>
      </c>
    </row>
    <row r="1593" spans="1:17" outlineLevel="2" x14ac:dyDescent="0.3">
      <c r="A1593" s="366" t="str">
        <f>IFERROR(VLOOKUP(RIGHT(E1593,3)+0,[1]SchLocTable!$A$2:$B$47,2,FALSE)," ")</f>
        <v>Curiale</v>
      </c>
      <c r="B1593" s="366" t="str">
        <f>VLOOKUP(VALUE(D1593),$D$3:F$106,3,FALSE)</f>
        <v>English</v>
      </c>
      <c r="C1593" t="s">
        <v>314</v>
      </c>
      <c r="D1593">
        <v>815</v>
      </c>
      <c r="E1593" t="s">
        <v>1305</v>
      </c>
      <c r="F1593" t="s">
        <v>316</v>
      </c>
      <c r="G1593">
        <v>1</v>
      </c>
      <c r="H1593" s="502">
        <v>51000</v>
      </c>
      <c r="I1593" s="415">
        <v>85964.337899999999</v>
      </c>
      <c r="J1593" s="415">
        <v>0</v>
      </c>
      <c r="K1593" s="415">
        <v>0</v>
      </c>
      <c r="L1593" s="415">
        <v>0</v>
      </c>
      <c r="M1593" s="415">
        <v>0</v>
      </c>
      <c r="N1593" s="415">
        <v>0</v>
      </c>
      <c r="O1593" s="415">
        <v>0</v>
      </c>
      <c r="P1593" s="415">
        <v>167679.20000000001</v>
      </c>
      <c r="Q1593" s="481">
        <f t="shared" si="70"/>
        <v>-85964.337899999999</v>
      </c>
    </row>
    <row r="1594" spans="1:17" outlineLevel="2" x14ac:dyDescent="0.3">
      <c r="A1594" s="366" t="str">
        <f>IFERROR(VLOOKUP(RIGHT(E1594,3)+0,[1]SchLocTable!$A$2:$B$47,2,FALSE)," ")</f>
        <v>Curiale</v>
      </c>
      <c r="B1594" s="366" t="str">
        <f>VLOOKUP(VALUE(D1594),$D$3:F$106,3,FALSE)</f>
        <v>English</v>
      </c>
      <c r="C1594" t="s">
        <v>314</v>
      </c>
      <c r="D1594">
        <v>815</v>
      </c>
      <c r="E1594" t="s">
        <v>1305</v>
      </c>
      <c r="F1594" t="s">
        <v>321</v>
      </c>
      <c r="G1594" t="s">
        <v>319</v>
      </c>
      <c r="H1594" s="502">
        <v>52917</v>
      </c>
      <c r="I1594" s="415">
        <v>15644.663999999999</v>
      </c>
      <c r="J1594" s="415">
        <v>0</v>
      </c>
      <c r="K1594" s="415">
        <v>0</v>
      </c>
      <c r="L1594" s="415">
        <v>0</v>
      </c>
      <c r="M1594" s="415">
        <v>0</v>
      </c>
      <c r="N1594" s="415">
        <v>0</v>
      </c>
      <c r="O1594" s="415">
        <v>0</v>
      </c>
      <c r="P1594" s="415">
        <v>27385.05</v>
      </c>
      <c r="Q1594" s="481">
        <f t="shared" si="70"/>
        <v>-15644.663999999999</v>
      </c>
    </row>
    <row r="1595" spans="1:17" outlineLevel="2" x14ac:dyDescent="0.3">
      <c r="A1595" s="366" t="str">
        <f>IFERROR(VLOOKUP(RIGHT(E1595,3)+0,[1]SchLocTable!$A$2:$B$47,2,FALSE)," ")</f>
        <v>Curiale</v>
      </c>
      <c r="B1595" s="366" t="str">
        <f>VLOOKUP(VALUE(D1595),$D$3:F$106,3,FALSE)</f>
        <v>English</v>
      </c>
      <c r="C1595" t="s">
        <v>314</v>
      </c>
      <c r="D1595">
        <v>815</v>
      </c>
      <c r="E1595" t="s">
        <v>1305</v>
      </c>
      <c r="F1595" t="s">
        <v>320</v>
      </c>
      <c r="G1595" t="s">
        <v>319</v>
      </c>
      <c r="H1595" s="502">
        <v>52360</v>
      </c>
      <c r="I1595" s="415">
        <v>1246.48289955</v>
      </c>
      <c r="J1595" s="415">
        <v>0</v>
      </c>
      <c r="K1595" s="415">
        <v>0</v>
      </c>
      <c r="L1595" s="415">
        <v>0</v>
      </c>
      <c r="M1595" s="415">
        <v>0</v>
      </c>
      <c r="N1595" s="415">
        <v>0</v>
      </c>
      <c r="O1595" s="415">
        <v>0</v>
      </c>
      <c r="P1595" s="415">
        <v>2341.87</v>
      </c>
      <c r="Q1595" s="481">
        <f t="shared" si="70"/>
        <v>-1246.48289955</v>
      </c>
    </row>
    <row r="1596" spans="1:17" outlineLevel="2" x14ac:dyDescent="0.3">
      <c r="A1596" s="366" t="str">
        <f>IFERROR(VLOOKUP(RIGHT(E1596,3)+0,[1]SchLocTable!$A$2:$B$47,2,FALSE)," ")</f>
        <v>High Horizons Magnet</v>
      </c>
      <c r="B1596" s="366" t="str">
        <f>VLOOKUP(VALUE(D1596),$D$3:F$106,3,FALSE)</f>
        <v>English</v>
      </c>
      <c r="C1596" t="s">
        <v>314</v>
      </c>
      <c r="D1596">
        <v>815</v>
      </c>
      <c r="E1596" t="s">
        <v>658</v>
      </c>
      <c r="F1596" t="s">
        <v>316</v>
      </c>
      <c r="G1596">
        <v>2</v>
      </c>
      <c r="H1596" s="502">
        <v>51000</v>
      </c>
      <c r="I1596" s="415">
        <v>194623.15002</v>
      </c>
      <c r="J1596" s="415">
        <v>185179</v>
      </c>
      <c r="K1596" s="415">
        <v>169343.98</v>
      </c>
      <c r="L1596" s="415">
        <v>157589.12</v>
      </c>
      <c r="M1596" s="415">
        <v>147902.04</v>
      </c>
      <c r="N1596" s="415">
        <v>137801.04</v>
      </c>
      <c r="O1596" s="415">
        <v>130525.98</v>
      </c>
      <c r="P1596" s="415">
        <v>128471.2</v>
      </c>
      <c r="Q1596" s="481">
        <f t="shared" si="70"/>
        <v>-9444.1500200000009</v>
      </c>
    </row>
    <row r="1597" spans="1:17" outlineLevel="2" x14ac:dyDescent="0.3">
      <c r="A1597" s="366" t="str">
        <f>IFERROR(VLOOKUP(RIGHT(E1597,3)+0,[1]SchLocTable!$A$2:$B$47,2,FALSE)," ")</f>
        <v>High Horizons Magnet</v>
      </c>
      <c r="B1597" s="366" t="str">
        <f>VLOOKUP(VALUE(D1597),$D$3:F$106,3,FALSE)</f>
        <v>English</v>
      </c>
      <c r="C1597" t="s">
        <v>314</v>
      </c>
      <c r="D1597">
        <v>815</v>
      </c>
      <c r="E1597" t="s">
        <v>658</v>
      </c>
      <c r="F1597" t="s">
        <v>321</v>
      </c>
      <c r="G1597" t="s">
        <v>319</v>
      </c>
      <c r="H1597" s="502">
        <v>52917</v>
      </c>
      <c r="I1597" s="415">
        <v>61975.619999999995</v>
      </c>
      <c r="J1597" s="415">
        <v>51646.35</v>
      </c>
      <c r="K1597" s="415">
        <v>46919.88</v>
      </c>
      <c r="L1597" s="415">
        <v>46291.77</v>
      </c>
      <c r="M1597" s="415">
        <v>37292.22</v>
      </c>
      <c r="N1597" s="415">
        <v>34795.11</v>
      </c>
      <c r="O1597" s="415">
        <v>33398.75</v>
      </c>
      <c r="P1597" s="415">
        <v>31431.96</v>
      </c>
      <c r="Q1597" s="481">
        <f t="shared" si="70"/>
        <v>-10329.269999999997</v>
      </c>
    </row>
    <row r="1598" spans="1:17" outlineLevel="2" x14ac:dyDescent="0.3">
      <c r="A1598" s="366" t="str">
        <f>IFERROR(VLOOKUP(RIGHT(E1598,3)+0,[1]SchLocTable!$A$2:$B$47,2,FALSE)," ")</f>
        <v>High Horizons Magnet</v>
      </c>
      <c r="B1598" s="366" t="str">
        <f>VLOOKUP(VALUE(D1598),$D$3:F$106,3,FALSE)</f>
        <v>English</v>
      </c>
      <c r="C1598" t="s">
        <v>314</v>
      </c>
      <c r="D1598">
        <v>815</v>
      </c>
      <c r="E1598" t="s">
        <v>658</v>
      </c>
      <c r="F1598" t="s">
        <v>320</v>
      </c>
      <c r="G1598" t="s">
        <v>319</v>
      </c>
      <c r="H1598" s="502">
        <v>52360</v>
      </c>
      <c r="I1598" s="415">
        <v>2822.0356752900002</v>
      </c>
      <c r="J1598" s="415">
        <v>2406</v>
      </c>
      <c r="K1598" s="415">
        <v>2255.1999999999998</v>
      </c>
      <c r="L1598" s="415">
        <v>2093.34</v>
      </c>
      <c r="M1598" s="415">
        <v>1994.01</v>
      </c>
      <c r="N1598" s="415">
        <v>1861.95</v>
      </c>
      <c r="O1598" s="415">
        <v>1765.54</v>
      </c>
      <c r="P1598" s="415">
        <v>1744.7</v>
      </c>
      <c r="Q1598" s="481">
        <f t="shared" si="70"/>
        <v>-416.0356752900002</v>
      </c>
    </row>
    <row r="1599" spans="1:17" outlineLevel="1" x14ac:dyDescent="0.3">
      <c r="A1599" s="366" t="str">
        <f>IFERROR(VLOOKUP(RIGHT(E1599,3)+0,[1]SchLocTable!$A$2:$B$47,2,FALSE)," ")</f>
        <v>Multicultural Magnet</v>
      </c>
      <c r="B1599" s="366" t="str">
        <f>VLOOKUP(VALUE(D1599),$D$3:F$106,3,FALSE)</f>
        <v>English</v>
      </c>
      <c r="C1599" t="s">
        <v>314</v>
      </c>
      <c r="D1599">
        <v>815</v>
      </c>
      <c r="E1599" t="s">
        <v>659</v>
      </c>
      <c r="F1599" t="s">
        <v>316</v>
      </c>
      <c r="G1599">
        <v>1</v>
      </c>
      <c r="H1599" s="502">
        <v>51000</v>
      </c>
      <c r="I1599" s="415">
        <v>72684.973919999989</v>
      </c>
      <c r="J1599" s="415">
        <v>69158</v>
      </c>
      <c r="K1599" s="415">
        <v>64835.94</v>
      </c>
      <c r="L1599" s="415">
        <v>59913.88</v>
      </c>
      <c r="M1599" s="415">
        <v>56917.9</v>
      </c>
      <c r="N1599" s="415">
        <v>54622.1</v>
      </c>
      <c r="O1599" s="415">
        <v>51611.040000000001</v>
      </c>
      <c r="P1599" s="415">
        <v>50799.06</v>
      </c>
      <c r="Q1599" s="481">
        <f t="shared" ref="Q1599:Q1662" si="71">J1599-I1599</f>
        <v>-3526.9739199999894</v>
      </c>
    </row>
    <row r="1600" spans="1:17" outlineLevel="2" x14ac:dyDescent="0.3">
      <c r="A1600" s="366" t="str">
        <f>IFERROR(VLOOKUP(RIGHT(E1600,3)+0,[1]SchLocTable!$A$2:$B$47,2,FALSE)," ")</f>
        <v>Multicultural Magnet</v>
      </c>
      <c r="B1600" s="366" t="str">
        <f>VLOOKUP(VALUE(D1600),$D$3:F$106,3,FALSE)</f>
        <v>English</v>
      </c>
      <c r="C1600" t="s">
        <v>314</v>
      </c>
      <c r="D1600">
        <v>815</v>
      </c>
      <c r="E1600" t="s">
        <v>659</v>
      </c>
      <c r="F1600" t="s">
        <v>321</v>
      </c>
      <c r="G1600" t="s">
        <v>319</v>
      </c>
      <c r="H1600" s="502">
        <v>52917</v>
      </c>
      <c r="I1600" s="415">
        <v>15644.663999999999</v>
      </c>
      <c r="J1600" s="415">
        <v>13037.22</v>
      </c>
      <c r="K1600" s="415">
        <v>11844</v>
      </c>
      <c r="L1600" s="415">
        <v>11684.82</v>
      </c>
      <c r="M1600" s="415">
        <v>10956.75</v>
      </c>
      <c r="N1600" s="415">
        <v>10232.879999999999</v>
      </c>
      <c r="O1600" s="415">
        <v>9817.68</v>
      </c>
      <c r="P1600" s="415">
        <v>9245.67</v>
      </c>
      <c r="Q1600" s="481">
        <f t="shared" si="71"/>
        <v>-2607.4439999999995</v>
      </c>
    </row>
    <row r="1601" spans="1:17" outlineLevel="2" x14ac:dyDescent="0.3">
      <c r="A1601" s="366" t="str">
        <f>IFERROR(VLOOKUP(RIGHT(E1601,3)+0,[1]SchLocTable!$A$2:$B$47,2,FALSE)," ")</f>
        <v>Multicultural Magnet</v>
      </c>
      <c r="B1601" s="366" t="str">
        <f>VLOOKUP(VALUE(D1601),$D$3:F$106,3,FALSE)</f>
        <v>English</v>
      </c>
      <c r="C1601" t="s">
        <v>314</v>
      </c>
      <c r="D1601">
        <v>815</v>
      </c>
      <c r="E1601" t="s">
        <v>659</v>
      </c>
      <c r="F1601" t="s">
        <v>320</v>
      </c>
      <c r="G1601" t="s">
        <v>319</v>
      </c>
      <c r="H1601" s="502">
        <v>52360</v>
      </c>
      <c r="I1601" s="415">
        <v>1053.9321218399998</v>
      </c>
      <c r="J1601" s="415">
        <v>932</v>
      </c>
      <c r="K1601" s="415">
        <v>889.55</v>
      </c>
      <c r="L1601" s="415">
        <v>820.35</v>
      </c>
      <c r="M1601" s="415">
        <v>781.14</v>
      </c>
      <c r="N1601" s="415">
        <v>752.06</v>
      </c>
      <c r="O1601" s="415">
        <v>711.06</v>
      </c>
      <c r="P1601" s="415">
        <v>701.96</v>
      </c>
      <c r="Q1601" s="481">
        <f t="shared" si="71"/>
        <v>-121.93212183999981</v>
      </c>
    </row>
    <row r="1602" spans="1:17" outlineLevel="2" x14ac:dyDescent="0.3">
      <c r="A1602" s="366" t="str">
        <f>IFERROR(VLOOKUP(RIGHT(E1602,3)+0,[1]SchLocTable!$A$2:$B$47,2,FALSE)," ")</f>
        <v>Bassick HS</v>
      </c>
      <c r="B1602" s="366" t="str">
        <f>VLOOKUP(VALUE(D1602),$D$3:F$106,3,FALSE)</f>
        <v>English</v>
      </c>
      <c r="C1602" t="s">
        <v>314</v>
      </c>
      <c r="D1602">
        <v>815</v>
      </c>
      <c r="E1602" t="s">
        <v>660</v>
      </c>
      <c r="F1602" t="s">
        <v>316</v>
      </c>
      <c r="G1602">
        <v>11</v>
      </c>
      <c r="H1602" s="502">
        <v>51000</v>
      </c>
      <c r="I1602" s="415">
        <v>994836.61996000004</v>
      </c>
      <c r="J1602" s="415">
        <v>778404.58</v>
      </c>
      <c r="K1602" s="415">
        <v>740919.53</v>
      </c>
      <c r="L1602" s="415">
        <v>872410.41</v>
      </c>
      <c r="M1602" s="415">
        <v>741147.9</v>
      </c>
      <c r="N1602" s="415">
        <v>701988.77</v>
      </c>
      <c r="O1602" s="415">
        <v>711035.04</v>
      </c>
      <c r="P1602" s="415">
        <v>699377.52</v>
      </c>
      <c r="Q1602" s="481">
        <f t="shared" si="71"/>
        <v>-216432.03996000008</v>
      </c>
    </row>
    <row r="1603" spans="1:17" outlineLevel="2" x14ac:dyDescent="0.3">
      <c r="A1603" s="366" t="str">
        <f>IFERROR(VLOOKUP(RIGHT(E1603,3)+0,[1]SchLocTable!$A$2:$B$47,2,FALSE)," ")</f>
        <v>Bassick HS</v>
      </c>
      <c r="B1603" s="366" t="str">
        <f>VLOOKUP(VALUE(D1603),$D$3:F$106,3,FALSE)</f>
        <v>English</v>
      </c>
      <c r="C1603" t="s">
        <v>314</v>
      </c>
      <c r="D1603">
        <v>815</v>
      </c>
      <c r="E1603" t="s">
        <v>660</v>
      </c>
      <c r="F1603" t="s">
        <v>321</v>
      </c>
      <c r="G1603" t="s">
        <v>319</v>
      </c>
      <c r="H1603" s="502">
        <v>52917</v>
      </c>
      <c r="I1603" s="415">
        <v>316045.54799999995</v>
      </c>
      <c r="J1603" s="415">
        <v>187005.65</v>
      </c>
      <c r="K1603" s="415">
        <v>186910.26</v>
      </c>
      <c r="L1603" s="415">
        <v>275103.19</v>
      </c>
      <c r="M1603" s="415">
        <v>215333.79</v>
      </c>
      <c r="N1603" s="415">
        <v>192249.8</v>
      </c>
      <c r="O1603" s="415">
        <v>215900.01</v>
      </c>
      <c r="P1603" s="415">
        <v>202332.27</v>
      </c>
      <c r="Q1603" s="481">
        <f t="shared" si="71"/>
        <v>-129039.89799999996</v>
      </c>
    </row>
    <row r="1604" spans="1:17" outlineLevel="2" x14ac:dyDescent="0.3">
      <c r="A1604" s="366" t="str">
        <f>IFERROR(VLOOKUP(RIGHT(E1604,3)+0,[1]SchLocTable!$A$2:$B$47,2,FALSE)," ")</f>
        <v>Bassick HS</v>
      </c>
      <c r="B1604" s="366" t="str">
        <f>VLOOKUP(VALUE(D1604),$D$3:F$106,3,FALSE)</f>
        <v>English</v>
      </c>
      <c r="C1604" t="s">
        <v>314</v>
      </c>
      <c r="D1604">
        <v>815</v>
      </c>
      <c r="E1604" t="s">
        <v>660</v>
      </c>
      <c r="F1604" t="s">
        <v>318</v>
      </c>
      <c r="G1604" t="s">
        <v>319</v>
      </c>
      <c r="H1604" s="502">
        <v>51140</v>
      </c>
      <c r="I1604" s="415">
        <v>2700</v>
      </c>
      <c r="J1604" s="415">
        <v>0</v>
      </c>
      <c r="K1604" s="415">
        <v>1800</v>
      </c>
      <c r="L1604" s="415">
        <v>2900</v>
      </c>
      <c r="M1604" s="415">
        <v>2900</v>
      </c>
      <c r="N1604" s="415">
        <v>2000</v>
      </c>
      <c r="O1604" s="415">
        <v>4400</v>
      </c>
      <c r="P1604" s="415">
        <v>2100</v>
      </c>
      <c r="Q1604" s="481">
        <f t="shared" si="71"/>
        <v>-2700</v>
      </c>
    </row>
    <row r="1605" spans="1:17" outlineLevel="2" x14ac:dyDescent="0.3">
      <c r="A1605" s="366" t="str">
        <f>IFERROR(VLOOKUP(RIGHT(E1605,3)+0,[1]SchLocTable!$A$2:$B$47,2,FALSE)," ")</f>
        <v>Bassick HS</v>
      </c>
      <c r="B1605" s="366" t="str">
        <f>VLOOKUP(VALUE(D1605),$D$3:F$106,3,FALSE)</f>
        <v>English</v>
      </c>
      <c r="C1605" t="s">
        <v>314</v>
      </c>
      <c r="D1605">
        <v>815</v>
      </c>
      <c r="E1605" t="s">
        <v>660</v>
      </c>
      <c r="F1605" t="s">
        <v>320</v>
      </c>
      <c r="G1605" t="s">
        <v>319</v>
      </c>
      <c r="H1605" s="502">
        <v>52360</v>
      </c>
      <c r="I1605" s="415">
        <v>14425.13098942</v>
      </c>
      <c r="J1605" s="415">
        <v>11166.26</v>
      </c>
      <c r="K1605" s="415">
        <v>9971.6</v>
      </c>
      <c r="L1605" s="415">
        <v>11533.24</v>
      </c>
      <c r="M1605" s="415">
        <v>9888.56</v>
      </c>
      <c r="N1605" s="415">
        <v>9456.48</v>
      </c>
      <c r="O1605" s="415">
        <v>9717.64</v>
      </c>
      <c r="P1605" s="415">
        <v>9411.7000000000007</v>
      </c>
      <c r="Q1605" s="481">
        <f t="shared" si="71"/>
        <v>-3258.8709894200001</v>
      </c>
    </row>
    <row r="1606" spans="1:17" outlineLevel="1" x14ac:dyDescent="0.3">
      <c r="A1606" s="366" t="str">
        <f>IFERROR(VLOOKUP(RIGHT(E1606,3)+0,[1]SchLocTable!$A$2:$B$47,2,FALSE)," ")</f>
        <v>Central HS</v>
      </c>
      <c r="B1606" s="366" t="str">
        <f>VLOOKUP(VALUE(D1606),$D$3:F$106,3,FALSE)</f>
        <v>English</v>
      </c>
      <c r="C1606" t="s">
        <v>314</v>
      </c>
      <c r="D1606">
        <v>815</v>
      </c>
      <c r="E1606" t="s">
        <v>661</v>
      </c>
      <c r="F1606" t="s">
        <v>316</v>
      </c>
      <c r="G1606">
        <v>17</v>
      </c>
      <c r="H1606" s="502">
        <v>51000</v>
      </c>
      <c r="I1606" s="415">
        <v>1477033.8434600001</v>
      </c>
      <c r="J1606" s="415">
        <v>1262052.03</v>
      </c>
      <c r="K1606" s="415">
        <v>1304222.44</v>
      </c>
      <c r="L1606" s="415">
        <v>1333722.54</v>
      </c>
      <c r="M1606" s="415">
        <v>1292969.54</v>
      </c>
      <c r="N1606" s="415">
        <v>1195063.7</v>
      </c>
      <c r="O1606" s="415">
        <v>1099104.21</v>
      </c>
      <c r="P1606" s="415">
        <v>1081782.8400000001</v>
      </c>
      <c r="Q1606" s="481">
        <f t="shared" si="71"/>
        <v>-214981.81346000009</v>
      </c>
    </row>
    <row r="1607" spans="1:17" outlineLevel="2" x14ac:dyDescent="0.3">
      <c r="A1607" s="366" t="str">
        <f>IFERROR(VLOOKUP(RIGHT(E1607,3)+0,[1]SchLocTable!$A$2:$B$47,2,FALSE)," ")</f>
        <v>Central HS</v>
      </c>
      <c r="B1607" s="366" t="str">
        <f>VLOOKUP(VALUE(D1607),$D$3:F$106,3,FALSE)</f>
        <v>English</v>
      </c>
      <c r="C1607" t="s">
        <v>314</v>
      </c>
      <c r="D1607">
        <v>815</v>
      </c>
      <c r="E1607" t="s">
        <v>661</v>
      </c>
      <c r="F1607" t="s">
        <v>321</v>
      </c>
      <c r="G1607" t="s">
        <v>319</v>
      </c>
      <c r="H1607" s="502">
        <v>52917</v>
      </c>
      <c r="I1607" s="415">
        <v>444810.99599999998</v>
      </c>
      <c r="J1607" s="415">
        <v>409284.96</v>
      </c>
      <c r="K1607" s="415">
        <v>406495.5</v>
      </c>
      <c r="L1607" s="415">
        <v>375950.79</v>
      </c>
      <c r="M1607" s="415">
        <v>345452.09</v>
      </c>
      <c r="N1607" s="415">
        <v>271265.69</v>
      </c>
      <c r="O1607" s="415">
        <v>281692.93</v>
      </c>
      <c r="P1607" s="415">
        <v>267578.43</v>
      </c>
      <c r="Q1607" s="481">
        <f t="shared" si="71"/>
        <v>-35526.035999999964</v>
      </c>
    </row>
    <row r="1608" spans="1:17" outlineLevel="1" x14ac:dyDescent="0.3">
      <c r="A1608" s="366" t="str">
        <f>IFERROR(VLOOKUP(RIGHT(E1608,3)+0,[1]SchLocTable!$A$2:$B$47,2,FALSE)," ")</f>
        <v>Central HS</v>
      </c>
      <c r="B1608" s="366" t="str">
        <f>VLOOKUP(VALUE(D1608),$D$3:F$106,3,FALSE)</f>
        <v>English</v>
      </c>
      <c r="C1608" t="s">
        <v>314</v>
      </c>
      <c r="D1608">
        <v>815</v>
      </c>
      <c r="E1608" t="s">
        <v>661</v>
      </c>
      <c r="F1608" t="s">
        <v>318</v>
      </c>
      <c r="G1608" t="s">
        <v>319</v>
      </c>
      <c r="H1608" s="502">
        <v>51140</v>
      </c>
      <c r="I1608" s="415">
        <v>5800</v>
      </c>
      <c r="J1608" s="415">
        <v>0</v>
      </c>
      <c r="K1608" s="415">
        <v>5600</v>
      </c>
      <c r="L1608" s="415">
        <v>7800</v>
      </c>
      <c r="M1608" s="415">
        <v>5300</v>
      </c>
      <c r="N1608" s="415">
        <v>6100</v>
      </c>
      <c r="O1608" s="415">
        <v>5000</v>
      </c>
      <c r="P1608" s="415">
        <v>5000</v>
      </c>
      <c r="Q1608" s="481">
        <f t="shared" si="71"/>
        <v>-5800</v>
      </c>
    </row>
    <row r="1609" spans="1:17" outlineLevel="2" x14ac:dyDescent="0.3">
      <c r="A1609" s="366" t="str">
        <f>IFERROR(VLOOKUP(RIGHT(E1609,3)+0,[1]SchLocTable!$A$2:$B$47,2,FALSE)," ")</f>
        <v>Central HS</v>
      </c>
      <c r="B1609" s="366" t="str">
        <f>VLOOKUP(VALUE(D1609),$D$3:F$106,3,FALSE)</f>
        <v>English</v>
      </c>
      <c r="C1609" t="s">
        <v>314</v>
      </c>
      <c r="D1609">
        <v>815</v>
      </c>
      <c r="E1609" t="s">
        <v>661</v>
      </c>
      <c r="F1609" t="s">
        <v>320</v>
      </c>
      <c r="G1609" t="s">
        <v>319</v>
      </c>
      <c r="H1609" s="502">
        <v>52360</v>
      </c>
      <c r="I1609" s="415">
        <v>21416.99073017</v>
      </c>
      <c r="J1609" s="415">
        <v>17900</v>
      </c>
      <c r="K1609" s="415">
        <v>17093.55</v>
      </c>
      <c r="L1609" s="415">
        <v>17944.23</v>
      </c>
      <c r="M1609" s="415">
        <v>17376.560000000001</v>
      </c>
      <c r="N1609" s="415">
        <v>16349.4</v>
      </c>
      <c r="O1609" s="415">
        <v>14897.75</v>
      </c>
      <c r="P1609" s="415">
        <v>14755.31</v>
      </c>
      <c r="Q1609" s="481">
        <f t="shared" si="71"/>
        <v>-3516.9907301700005</v>
      </c>
    </row>
    <row r="1610" spans="1:17" outlineLevel="2" x14ac:dyDescent="0.3">
      <c r="A1610" s="366" t="str">
        <f>IFERROR(VLOOKUP(RIGHT(E1610,3)+0,[1]SchLocTable!$A$2:$B$47,2,FALSE)," ")</f>
        <v>Central HS</v>
      </c>
      <c r="B1610" s="366" t="str">
        <f>VLOOKUP(VALUE(D1610),$D$3:F$106,3,FALSE)</f>
        <v>English</v>
      </c>
      <c r="C1610" t="s">
        <v>314</v>
      </c>
      <c r="D1610">
        <v>815</v>
      </c>
      <c r="E1610" t="s">
        <v>661</v>
      </c>
      <c r="F1610" t="s">
        <v>324</v>
      </c>
      <c r="G1610" t="s">
        <v>319</v>
      </c>
      <c r="H1610" s="502">
        <v>52385</v>
      </c>
      <c r="I1610" s="415">
        <v>0</v>
      </c>
      <c r="J1610" s="415">
        <v>0</v>
      </c>
      <c r="K1610" s="415">
        <v>0</v>
      </c>
      <c r="L1610" s="415">
        <v>154.75</v>
      </c>
      <c r="M1610" s="415">
        <v>0</v>
      </c>
      <c r="N1610" s="415">
        <v>1621.3</v>
      </c>
      <c r="O1610" s="415">
        <v>0</v>
      </c>
      <c r="P1610" s="415">
        <v>0</v>
      </c>
      <c r="Q1610" s="481">
        <f t="shared" si="71"/>
        <v>0</v>
      </c>
    </row>
    <row r="1611" spans="1:17" outlineLevel="1" x14ac:dyDescent="0.3">
      <c r="A1611" s="366" t="str">
        <f>IFERROR(VLOOKUP(RIGHT(E1611,3)+0,[1]SchLocTable!$A$2:$B$47,2,FALSE)," ")</f>
        <v>Central HS</v>
      </c>
      <c r="B1611" s="366" t="str">
        <f>VLOOKUP(VALUE(D1611),$D$3:F$106,3,FALSE)</f>
        <v>English</v>
      </c>
      <c r="C1611" t="s">
        <v>314</v>
      </c>
      <c r="D1611">
        <v>815</v>
      </c>
      <c r="E1611" t="s">
        <v>661</v>
      </c>
      <c r="F1611" t="s">
        <v>329</v>
      </c>
      <c r="G1611" t="s">
        <v>319</v>
      </c>
      <c r="H1611" s="502">
        <v>51154</v>
      </c>
      <c r="I1611" s="415">
        <v>0</v>
      </c>
      <c r="J1611" s="415">
        <v>0</v>
      </c>
      <c r="K1611" s="415">
        <v>0</v>
      </c>
      <c r="L1611" s="415">
        <v>4875</v>
      </c>
      <c r="M1611" s="415">
        <v>0</v>
      </c>
      <c r="N1611" s="415">
        <v>0</v>
      </c>
      <c r="O1611" s="415">
        <v>0</v>
      </c>
      <c r="P1611" s="415">
        <v>0</v>
      </c>
      <c r="Q1611" s="481">
        <f t="shared" si="71"/>
        <v>0</v>
      </c>
    </row>
    <row r="1612" spans="1:17" outlineLevel="1" x14ac:dyDescent="0.3">
      <c r="A1612" s="366" t="str">
        <f>IFERROR(VLOOKUP(RIGHT(E1612,3)+0,[1]SchLocTable!$A$2:$B$47,2,FALSE)," ")</f>
        <v>Harding HS</v>
      </c>
      <c r="B1612" s="366" t="str">
        <f>VLOOKUP(VALUE(D1612),$D$3:F$106,3,FALSE)</f>
        <v>English</v>
      </c>
      <c r="C1612" t="s">
        <v>314</v>
      </c>
      <c r="D1612">
        <v>815</v>
      </c>
      <c r="E1612" t="s">
        <v>662</v>
      </c>
      <c r="F1612" t="s">
        <v>316</v>
      </c>
      <c r="G1612">
        <v>9</v>
      </c>
      <c r="H1612" s="502">
        <v>51000</v>
      </c>
      <c r="I1612" s="415">
        <v>770636.33303999994</v>
      </c>
      <c r="J1612" s="415">
        <v>542455</v>
      </c>
      <c r="K1612" s="415">
        <v>538836.92000000004</v>
      </c>
      <c r="L1612" s="415">
        <v>733108.75</v>
      </c>
      <c r="M1612" s="415">
        <v>782994.47</v>
      </c>
      <c r="N1612" s="415">
        <v>708610.79</v>
      </c>
      <c r="O1612" s="415">
        <v>680496.08</v>
      </c>
      <c r="P1612" s="415">
        <v>639701.55000000005</v>
      </c>
      <c r="Q1612" s="481">
        <f t="shared" si="71"/>
        <v>-228181.33303999994</v>
      </c>
    </row>
    <row r="1613" spans="1:17" outlineLevel="1" x14ac:dyDescent="0.3">
      <c r="A1613" s="366" t="str">
        <f>IFERROR(VLOOKUP(RIGHT(E1613,3)+0,[1]SchLocTable!$A$2:$B$47,2,FALSE)," ")</f>
        <v>Harding HS</v>
      </c>
      <c r="B1613" s="366" t="str">
        <f>VLOOKUP(VALUE(D1613),$D$3:F$106,3,FALSE)</f>
        <v>English</v>
      </c>
      <c r="C1613" t="s">
        <v>314</v>
      </c>
      <c r="D1613">
        <v>815</v>
      </c>
      <c r="E1613" t="s">
        <v>662</v>
      </c>
      <c r="F1613" t="s">
        <v>321</v>
      </c>
      <c r="G1613" t="s">
        <v>319</v>
      </c>
      <c r="H1613" s="502">
        <v>52917</v>
      </c>
      <c r="I1613" s="415">
        <v>171488.26799999998</v>
      </c>
      <c r="J1613" s="415">
        <v>116232.02</v>
      </c>
      <c r="K1613" s="415">
        <v>98890.38</v>
      </c>
      <c r="L1613" s="415">
        <v>154342.92000000001</v>
      </c>
      <c r="M1613" s="415">
        <v>191953.72</v>
      </c>
      <c r="N1613" s="415">
        <v>172642.65</v>
      </c>
      <c r="O1613" s="415">
        <v>158204.28</v>
      </c>
      <c r="P1613" s="415">
        <v>129781.13</v>
      </c>
      <c r="Q1613" s="481">
        <f t="shared" si="71"/>
        <v>-55256.247999999978</v>
      </c>
    </row>
    <row r="1614" spans="1:17" outlineLevel="2" x14ac:dyDescent="0.3">
      <c r="A1614" s="366" t="str">
        <f>IFERROR(VLOOKUP(RIGHT(E1614,3)+0,[1]SchLocTable!$A$2:$B$47,2,FALSE)," ")</f>
        <v>Harding HS</v>
      </c>
      <c r="B1614" s="366" t="str">
        <f>VLOOKUP(VALUE(D1614),$D$3:F$106,3,FALSE)</f>
        <v>English</v>
      </c>
      <c r="C1614" t="s">
        <v>314</v>
      </c>
      <c r="D1614">
        <v>815</v>
      </c>
      <c r="E1614" t="s">
        <v>662</v>
      </c>
      <c r="F1614" t="s">
        <v>318</v>
      </c>
      <c r="G1614" t="s">
        <v>319</v>
      </c>
      <c r="H1614" s="502">
        <v>51140</v>
      </c>
      <c r="I1614" s="415">
        <v>1200</v>
      </c>
      <c r="J1614" s="415">
        <v>0</v>
      </c>
      <c r="K1614" s="415">
        <v>1200</v>
      </c>
      <c r="L1614" s="415">
        <v>2000</v>
      </c>
      <c r="M1614" s="415">
        <v>4200</v>
      </c>
      <c r="N1614" s="415">
        <v>4200</v>
      </c>
      <c r="O1614" s="415">
        <v>4000</v>
      </c>
      <c r="P1614" s="415">
        <v>2900</v>
      </c>
      <c r="Q1614" s="481">
        <f t="shared" si="71"/>
        <v>-1200</v>
      </c>
    </row>
    <row r="1615" spans="1:17" outlineLevel="1" x14ac:dyDescent="0.3">
      <c r="A1615" s="366" t="str">
        <f>IFERROR(VLOOKUP(RIGHT(E1615,3)+0,[1]SchLocTable!$A$2:$B$47,2,FALSE)," ")</f>
        <v>Harding HS</v>
      </c>
      <c r="B1615" s="366" t="str">
        <f>VLOOKUP(VALUE(D1615),$D$3:F$106,3,FALSE)</f>
        <v>English</v>
      </c>
      <c r="C1615" t="s">
        <v>314</v>
      </c>
      <c r="D1615">
        <v>815</v>
      </c>
      <c r="E1615" t="s">
        <v>662</v>
      </c>
      <c r="F1615" t="s">
        <v>320</v>
      </c>
      <c r="G1615" t="s">
        <v>319</v>
      </c>
      <c r="H1615" s="502">
        <v>52360</v>
      </c>
      <c r="I1615" s="415">
        <v>11174.226829080002</v>
      </c>
      <c r="J1615" s="415">
        <v>7319</v>
      </c>
      <c r="K1615" s="415">
        <v>7413.2</v>
      </c>
      <c r="L1615" s="415">
        <v>10019.469999999999</v>
      </c>
      <c r="M1615" s="415">
        <v>10639.6</v>
      </c>
      <c r="N1615" s="415">
        <v>9660.2999999999993</v>
      </c>
      <c r="O1615" s="415">
        <v>9323.43</v>
      </c>
      <c r="P1615" s="415">
        <v>8830.32</v>
      </c>
      <c r="Q1615" s="481">
        <f t="shared" si="71"/>
        <v>-3855.2268290800021</v>
      </c>
    </row>
    <row r="1616" spans="1:17" outlineLevel="2" x14ac:dyDescent="0.3">
      <c r="A1616" s="366" t="str">
        <f>IFERROR(VLOOKUP(RIGHT(E1616,3)+0,[1]SchLocTable!$A$2:$B$47,2,FALSE)," ")</f>
        <v>Harding HS</v>
      </c>
      <c r="B1616" s="366" t="str">
        <f>VLOOKUP(VALUE(D1616),$D$3:F$106,3,FALSE)</f>
        <v>English</v>
      </c>
      <c r="C1616" t="s">
        <v>314</v>
      </c>
      <c r="D1616">
        <v>815</v>
      </c>
      <c r="E1616" t="s">
        <v>662</v>
      </c>
      <c r="F1616" t="s">
        <v>324</v>
      </c>
      <c r="G1616" t="s">
        <v>319</v>
      </c>
      <c r="H1616" s="502">
        <v>52385</v>
      </c>
      <c r="I1616" s="415">
        <v>0</v>
      </c>
      <c r="J1616" s="415">
        <v>0</v>
      </c>
      <c r="K1616" s="415">
        <v>0</v>
      </c>
      <c r="L1616" s="415">
        <v>0</v>
      </c>
      <c r="M1616" s="415">
        <v>2480.0100000000002</v>
      </c>
      <c r="N1616" s="415">
        <v>0</v>
      </c>
      <c r="O1616" s="415">
        <v>82.15</v>
      </c>
      <c r="P1616" s="415">
        <v>0</v>
      </c>
      <c r="Q1616" s="481">
        <f t="shared" si="71"/>
        <v>0</v>
      </c>
    </row>
    <row r="1617" spans="1:17" outlineLevel="2" x14ac:dyDescent="0.3">
      <c r="A1617" s="366" t="str">
        <f>IFERROR(VLOOKUP(RIGHT(E1617,3)+0,[1]SchLocTable!$A$2:$B$47,2,FALSE)," ")</f>
        <v>Barnum</v>
      </c>
      <c r="B1617" s="366" t="str">
        <f>VLOOKUP(VALUE(D1617),$D$3:F$106,3,FALSE)</f>
        <v>Mathematics</v>
      </c>
      <c r="C1617" t="s">
        <v>314</v>
      </c>
      <c r="D1617">
        <v>816</v>
      </c>
      <c r="E1617" t="s">
        <v>663</v>
      </c>
      <c r="F1617" t="s">
        <v>316</v>
      </c>
      <c r="G1617">
        <v>1</v>
      </c>
      <c r="H1617" s="502">
        <v>51000</v>
      </c>
      <c r="I1617" s="415">
        <v>58375.587899999999</v>
      </c>
      <c r="J1617" s="415">
        <v>0</v>
      </c>
      <c r="K1617" s="415">
        <v>13161.46</v>
      </c>
      <c r="L1617" s="415">
        <v>88897.12</v>
      </c>
      <c r="M1617" s="415">
        <v>83106.92</v>
      </c>
      <c r="N1617" s="415">
        <v>77032.02</v>
      </c>
      <c r="O1617" s="415">
        <v>72752.94</v>
      </c>
      <c r="P1617" s="415">
        <v>71607.899999999994</v>
      </c>
      <c r="Q1617" s="481">
        <f t="shared" si="71"/>
        <v>-58375.587899999999</v>
      </c>
    </row>
    <row r="1618" spans="1:17" outlineLevel="2" x14ac:dyDescent="0.3">
      <c r="A1618" s="366" t="str">
        <f>IFERROR(VLOOKUP(RIGHT(E1618,3)+0,[1]SchLocTable!$A$2:$B$47,2,FALSE)," ")</f>
        <v>Barnum</v>
      </c>
      <c r="B1618" s="366" t="str">
        <f>VLOOKUP(VALUE(D1618),$D$3:F$106,3,FALSE)</f>
        <v>Mathematics</v>
      </c>
      <c r="C1618" t="s">
        <v>314</v>
      </c>
      <c r="D1618">
        <v>816</v>
      </c>
      <c r="E1618" t="s">
        <v>663</v>
      </c>
      <c r="F1618" t="s">
        <v>321</v>
      </c>
      <c r="G1618" t="s">
        <v>319</v>
      </c>
      <c r="H1618" s="502">
        <v>52917</v>
      </c>
      <c r="I1618" s="415">
        <v>0</v>
      </c>
      <c r="J1618" s="415">
        <v>0</v>
      </c>
      <c r="K1618" s="415">
        <v>4068.3</v>
      </c>
      <c r="L1618" s="415">
        <v>28076.37</v>
      </c>
      <c r="M1618" s="415">
        <v>26335.47</v>
      </c>
      <c r="N1618" s="415">
        <v>24562.23</v>
      </c>
      <c r="O1618" s="415">
        <v>23581.07</v>
      </c>
      <c r="P1618" s="415">
        <v>22186.29</v>
      </c>
      <c r="Q1618" s="481">
        <f t="shared" si="71"/>
        <v>0</v>
      </c>
    </row>
    <row r="1619" spans="1:17" outlineLevel="2" x14ac:dyDescent="0.3">
      <c r="A1619" s="366" t="str">
        <f>IFERROR(VLOOKUP(RIGHT(E1619,3)+0,[1]SchLocTable!$A$2:$B$47,2,FALSE)," ")</f>
        <v>Barnum</v>
      </c>
      <c r="B1619" s="366" t="str">
        <f>VLOOKUP(VALUE(D1619),$D$3:F$106,3,FALSE)</f>
        <v>Mathematics</v>
      </c>
      <c r="C1619" t="s">
        <v>314</v>
      </c>
      <c r="D1619">
        <v>816</v>
      </c>
      <c r="E1619" t="s">
        <v>663</v>
      </c>
      <c r="F1619" t="s">
        <v>320</v>
      </c>
      <c r="G1619" t="s">
        <v>319</v>
      </c>
      <c r="H1619" s="502">
        <v>52360</v>
      </c>
      <c r="I1619" s="415">
        <v>846.44602455000006</v>
      </c>
      <c r="J1619" s="415">
        <v>0</v>
      </c>
      <c r="K1619" s="415">
        <v>173.42</v>
      </c>
      <c r="L1619" s="415">
        <v>1172.3900000000001</v>
      </c>
      <c r="M1619" s="415">
        <v>1098.6600000000001</v>
      </c>
      <c r="N1619" s="415">
        <v>1020.78</v>
      </c>
      <c r="O1619" s="415">
        <v>965.12</v>
      </c>
      <c r="P1619" s="415">
        <v>954.81</v>
      </c>
      <c r="Q1619" s="481">
        <f t="shared" si="71"/>
        <v>-846.44602455000006</v>
      </c>
    </row>
    <row r="1620" spans="1:17" outlineLevel="2" x14ac:dyDescent="0.3">
      <c r="A1620" s="366" t="str">
        <f>IFERROR(VLOOKUP(RIGHT(E1620,3)+0,[1]SchLocTable!$A$2:$B$47,2,FALSE)," ")</f>
        <v>Black Rock</v>
      </c>
      <c r="B1620" s="366" t="str">
        <f>VLOOKUP(VALUE(D1620),$D$3:F$106,3,FALSE)</f>
        <v>Mathematics</v>
      </c>
      <c r="C1620" t="s">
        <v>314</v>
      </c>
      <c r="D1620">
        <v>816</v>
      </c>
      <c r="E1620" t="s">
        <v>664</v>
      </c>
      <c r="F1620" t="s">
        <v>316</v>
      </c>
      <c r="G1620">
        <v>1</v>
      </c>
      <c r="H1620" s="502">
        <v>51000</v>
      </c>
      <c r="I1620" s="415">
        <v>110428.46490000001</v>
      </c>
      <c r="J1620" s="415">
        <v>105070</v>
      </c>
      <c r="K1620" s="415">
        <v>102757.98</v>
      </c>
      <c r="L1620" s="415">
        <v>100497.02</v>
      </c>
      <c r="M1620" s="415">
        <v>99011.9</v>
      </c>
      <c r="N1620" s="415">
        <v>97548.88</v>
      </c>
      <c r="O1620" s="415">
        <v>96106.92</v>
      </c>
      <c r="P1620" s="415">
        <v>87497.02</v>
      </c>
      <c r="Q1620" s="481">
        <f t="shared" si="71"/>
        <v>-5358.4649000000063</v>
      </c>
    </row>
    <row r="1621" spans="1:17" outlineLevel="2" x14ac:dyDescent="0.3">
      <c r="A1621" s="366" t="str">
        <f>IFERROR(VLOOKUP(RIGHT(E1621,3)+0,[1]SchLocTable!$A$2:$B$47,2,FALSE)," ")</f>
        <v>Black Rock</v>
      </c>
      <c r="B1621" s="366" t="str">
        <f>VLOOKUP(VALUE(D1621),$D$3:F$106,3,FALSE)</f>
        <v>Mathematics</v>
      </c>
      <c r="C1621" t="s">
        <v>314</v>
      </c>
      <c r="D1621">
        <v>816</v>
      </c>
      <c r="E1621" t="s">
        <v>664</v>
      </c>
      <c r="F1621" t="s">
        <v>321</v>
      </c>
      <c r="G1621" t="s">
        <v>319</v>
      </c>
      <c r="H1621" s="502">
        <v>52917</v>
      </c>
      <c r="I1621" s="415">
        <v>37644.263999999996</v>
      </c>
      <c r="J1621" s="415">
        <v>31370.22</v>
      </c>
      <c r="K1621" s="415">
        <v>28478.1</v>
      </c>
      <c r="L1621" s="415">
        <v>28076.37</v>
      </c>
      <c r="M1621" s="415">
        <v>32249.07</v>
      </c>
      <c r="N1621" s="415">
        <v>29905.26</v>
      </c>
      <c r="O1621" s="415">
        <v>28822.34</v>
      </c>
      <c r="P1621" s="415">
        <v>22186.29</v>
      </c>
      <c r="Q1621" s="481">
        <f t="shared" si="71"/>
        <v>-6274.0439999999944</v>
      </c>
    </row>
    <row r="1622" spans="1:17" outlineLevel="2" x14ac:dyDescent="0.3">
      <c r="A1622" s="366" t="str">
        <f>IFERROR(VLOOKUP(RIGHT(E1622,3)+0,[1]SchLocTable!$A$2:$B$47,2,FALSE)," ")</f>
        <v>Black Rock</v>
      </c>
      <c r="B1622" s="366" t="str">
        <f>VLOOKUP(VALUE(D1622),$D$3:F$106,3,FALSE)</f>
        <v>Mathematics</v>
      </c>
      <c r="C1622" t="s">
        <v>314</v>
      </c>
      <c r="D1622">
        <v>816</v>
      </c>
      <c r="E1622" t="s">
        <v>664</v>
      </c>
      <c r="F1622" t="s">
        <v>318</v>
      </c>
      <c r="G1622" t="s">
        <v>319</v>
      </c>
      <c r="H1622" s="502">
        <v>51140</v>
      </c>
      <c r="I1622" s="415">
        <v>1100</v>
      </c>
      <c r="J1622" s="415">
        <v>0</v>
      </c>
      <c r="K1622" s="415">
        <v>1100</v>
      </c>
      <c r="L1622" s="415">
        <v>1100</v>
      </c>
      <c r="M1622" s="415">
        <v>0</v>
      </c>
      <c r="N1622" s="415">
        <v>0</v>
      </c>
      <c r="O1622" s="415">
        <v>0</v>
      </c>
      <c r="P1622" s="415">
        <v>900</v>
      </c>
      <c r="Q1622" s="481">
        <f t="shared" si="71"/>
        <v>-1100</v>
      </c>
    </row>
    <row r="1623" spans="1:17" outlineLevel="2" x14ac:dyDescent="0.3">
      <c r="A1623" s="366" t="str">
        <f>IFERROR(VLOOKUP(RIGHT(E1623,3)+0,[1]SchLocTable!$A$2:$B$47,2,FALSE)," ")</f>
        <v>Black Rock</v>
      </c>
      <c r="B1623" s="366" t="str">
        <f>VLOOKUP(VALUE(D1623),$D$3:F$106,3,FALSE)</f>
        <v>Mathematics</v>
      </c>
      <c r="C1623" t="s">
        <v>314</v>
      </c>
      <c r="D1623">
        <v>816</v>
      </c>
      <c r="E1623" t="s">
        <v>664</v>
      </c>
      <c r="F1623" t="s">
        <v>320</v>
      </c>
      <c r="G1623" t="s">
        <v>319</v>
      </c>
      <c r="H1623" s="502">
        <v>52360</v>
      </c>
      <c r="I1623" s="415">
        <v>1601.2127410500002</v>
      </c>
      <c r="J1623" s="415">
        <v>1369</v>
      </c>
      <c r="K1623" s="415">
        <v>1384.06</v>
      </c>
      <c r="L1623" s="415">
        <v>1356.55</v>
      </c>
      <c r="M1623" s="415">
        <v>1305.47</v>
      </c>
      <c r="N1623" s="415">
        <v>1297.1500000000001</v>
      </c>
      <c r="O1623" s="415">
        <v>1283.78</v>
      </c>
      <c r="P1623" s="415">
        <v>1198.27</v>
      </c>
      <c r="Q1623" s="481">
        <f t="shared" si="71"/>
        <v>-232.2127410500002</v>
      </c>
    </row>
    <row r="1624" spans="1:17" outlineLevel="2" x14ac:dyDescent="0.3">
      <c r="A1624" s="366" t="str">
        <f>IFERROR(VLOOKUP(RIGHT(E1624,3)+0,[1]SchLocTable!$A$2:$B$47,2,FALSE)," ")</f>
        <v>Columbus</v>
      </c>
      <c r="B1624" s="366" t="str">
        <f>VLOOKUP(VALUE(D1624),$D$3:F$106,3,FALSE)</f>
        <v>Mathematics</v>
      </c>
      <c r="C1624" t="s">
        <v>314</v>
      </c>
      <c r="D1624">
        <v>816</v>
      </c>
      <c r="E1624" t="s">
        <v>665</v>
      </c>
      <c r="F1624" t="s">
        <v>316</v>
      </c>
      <c r="G1624">
        <v>2</v>
      </c>
      <c r="H1624" s="502">
        <v>51000</v>
      </c>
      <c r="I1624" s="415">
        <v>180258.00096</v>
      </c>
      <c r="J1624" s="415">
        <v>95393</v>
      </c>
      <c r="K1624" s="415">
        <v>85406.1</v>
      </c>
      <c r="L1624" s="415">
        <v>80557.100000000006</v>
      </c>
      <c r="M1624" s="415">
        <v>0</v>
      </c>
      <c r="N1624" s="415">
        <v>63338.94</v>
      </c>
      <c r="O1624" s="415">
        <v>60342.879999999997</v>
      </c>
      <c r="P1624" s="415">
        <v>59392.06</v>
      </c>
      <c r="Q1624" s="481">
        <f t="shared" si="71"/>
        <v>-84865.000960000005</v>
      </c>
    </row>
    <row r="1625" spans="1:17" outlineLevel="2" x14ac:dyDescent="0.3">
      <c r="A1625" s="366" t="str">
        <f>IFERROR(VLOOKUP(RIGHT(E1625,3)+0,[1]SchLocTable!$A$2:$B$47,2,FALSE)," ")</f>
        <v>Columbus</v>
      </c>
      <c r="B1625" s="366" t="str">
        <f>VLOOKUP(VALUE(D1625),$D$3:F$106,3,FALSE)</f>
        <v>Mathematics</v>
      </c>
      <c r="C1625" t="s">
        <v>314</v>
      </c>
      <c r="D1625">
        <v>816</v>
      </c>
      <c r="E1625" t="s">
        <v>665</v>
      </c>
      <c r="F1625" t="s">
        <v>321</v>
      </c>
      <c r="G1625" t="s">
        <v>319</v>
      </c>
      <c r="H1625" s="502">
        <v>52917</v>
      </c>
      <c r="I1625" s="415">
        <v>48044.663999999997</v>
      </c>
      <c r="J1625" s="415">
        <v>13037.22</v>
      </c>
      <c r="K1625" s="415">
        <v>28478.1</v>
      </c>
      <c r="L1625" s="415">
        <v>28076.37</v>
      </c>
      <c r="M1625" s="415">
        <v>0</v>
      </c>
      <c r="N1625" s="415">
        <v>30308.67</v>
      </c>
      <c r="O1625" s="415">
        <v>29077.5</v>
      </c>
      <c r="P1625" s="415">
        <v>27385.05</v>
      </c>
      <c r="Q1625" s="481">
        <f t="shared" si="71"/>
        <v>-35007.443999999996</v>
      </c>
    </row>
    <row r="1626" spans="1:17" outlineLevel="2" x14ac:dyDescent="0.3">
      <c r="A1626" s="366" t="str">
        <f>IFERROR(VLOOKUP(RIGHT(E1626,3)+0,[1]SchLocTable!$A$2:$B$47,2,FALSE)," ")</f>
        <v>Columbus</v>
      </c>
      <c r="B1626" s="366" t="str">
        <f>VLOOKUP(VALUE(D1626),$D$3:F$106,3,FALSE)</f>
        <v>Mathematics</v>
      </c>
      <c r="C1626" t="s">
        <v>314</v>
      </c>
      <c r="D1626">
        <v>816</v>
      </c>
      <c r="E1626" t="s">
        <v>665</v>
      </c>
      <c r="F1626" t="s">
        <v>320</v>
      </c>
      <c r="G1626" t="s">
        <v>319</v>
      </c>
      <c r="H1626" s="502">
        <v>52360</v>
      </c>
      <c r="I1626" s="415">
        <v>2613.7410139200001</v>
      </c>
      <c r="J1626" s="415">
        <v>1213</v>
      </c>
      <c r="K1626" s="415">
        <v>1116.51</v>
      </c>
      <c r="L1626" s="415">
        <v>1051.47</v>
      </c>
      <c r="M1626" s="415">
        <v>0</v>
      </c>
      <c r="N1626" s="415">
        <v>813.13</v>
      </c>
      <c r="O1626" s="415">
        <v>764.55</v>
      </c>
      <c r="P1626" s="415">
        <v>758.64</v>
      </c>
      <c r="Q1626" s="481">
        <f t="shared" si="71"/>
        <v>-1400.7410139200001</v>
      </c>
    </row>
    <row r="1627" spans="1:17" outlineLevel="2" x14ac:dyDescent="0.3">
      <c r="A1627" s="366" t="str">
        <f>IFERROR(VLOOKUP(RIGHT(E1627,3)+0,[1]SchLocTable!$A$2:$B$47,2,FALSE)," ")</f>
        <v>Physical Science HS</v>
      </c>
      <c r="B1627" s="366" t="str">
        <f>VLOOKUP(VALUE(D1627),$D$3:F$106,3,FALSE)</f>
        <v>Mathematics</v>
      </c>
      <c r="C1627" t="s">
        <v>314</v>
      </c>
      <c r="D1627">
        <v>816</v>
      </c>
      <c r="E1627" t="s">
        <v>666</v>
      </c>
      <c r="F1627" t="s">
        <v>316</v>
      </c>
      <c r="G1627">
        <v>3</v>
      </c>
      <c r="H1627" s="502">
        <v>51000</v>
      </c>
      <c r="I1627" s="415">
        <v>297604.18687999999</v>
      </c>
      <c r="J1627" s="415">
        <v>283163</v>
      </c>
      <c r="K1627" s="415">
        <v>249026.19</v>
      </c>
      <c r="L1627" s="415">
        <v>404526.23</v>
      </c>
      <c r="M1627" s="415">
        <v>403979.27</v>
      </c>
      <c r="N1627" s="415">
        <v>393973.56</v>
      </c>
      <c r="O1627" s="415">
        <v>444941.52</v>
      </c>
      <c r="P1627" s="415">
        <v>151889.01999999999</v>
      </c>
      <c r="Q1627" s="481">
        <f t="shared" si="71"/>
        <v>-14441.186879999994</v>
      </c>
    </row>
    <row r="1628" spans="1:17" outlineLevel="2" x14ac:dyDescent="0.3">
      <c r="A1628" s="366" t="str">
        <f>IFERROR(VLOOKUP(RIGHT(E1628,3)+0,[1]SchLocTable!$A$2:$B$47,2,FALSE)," ")</f>
        <v>Physical Science HS</v>
      </c>
      <c r="B1628" s="366" t="str">
        <f>VLOOKUP(VALUE(D1628),$D$3:F$106,3,FALSE)</f>
        <v>Mathematics</v>
      </c>
      <c r="C1628" t="s">
        <v>314</v>
      </c>
      <c r="D1628">
        <v>816</v>
      </c>
      <c r="E1628" t="s">
        <v>666</v>
      </c>
      <c r="F1628" t="s">
        <v>321</v>
      </c>
      <c r="G1628" t="s">
        <v>319</v>
      </c>
      <c r="H1628" s="502">
        <v>52917</v>
      </c>
      <c r="I1628" s="415">
        <v>90419.615999999995</v>
      </c>
      <c r="J1628" s="415">
        <v>75349.679999999993</v>
      </c>
      <c r="K1628" s="415">
        <v>58888.7</v>
      </c>
      <c r="L1628" s="415">
        <v>131273.94</v>
      </c>
      <c r="M1628" s="415">
        <v>101330.25</v>
      </c>
      <c r="N1628" s="415">
        <v>124706.13</v>
      </c>
      <c r="O1628" s="415">
        <v>173566.25</v>
      </c>
      <c r="P1628" s="415">
        <v>58817.01</v>
      </c>
      <c r="Q1628" s="481">
        <f t="shared" si="71"/>
        <v>-15069.936000000002</v>
      </c>
    </row>
    <row r="1629" spans="1:17" outlineLevel="2" x14ac:dyDescent="0.3">
      <c r="A1629" s="366" t="str">
        <f>IFERROR(VLOOKUP(RIGHT(E1629,3)+0,[1]SchLocTable!$A$2:$B$47,2,FALSE)," ")</f>
        <v>Physical Science HS</v>
      </c>
      <c r="B1629" s="366" t="str">
        <f>VLOOKUP(VALUE(D1629),$D$3:F$106,3,FALSE)</f>
        <v>Mathematics</v>
      </c>
      <c r="C1629" t="s">
        <v>314</v>
      </c>
      <c r="D1629">
        <v>816</v>
      </c>
      <c r="E1629" t="s">
        <v>666</v>
      </c>
      <c r="F1629" t="s">
        <v>320</v>
      </c>
      <c r="G1629" t="s">
        <v>319</v>
      </c>
      <c r="H1629" s="502">
        <v>52360</v>
      </c>
      <c r="I1629" s="415">
        <v>4315.2607097600003</v>
      </c>
      <c r="J1629" s="415">
        <v>3697</v>
      </c>
      <c r="K1629" s="415">
        <v>3290.16</v>
      </c>
      <c r="L1629" s="415">
        <v>5793.73</v>
      </c>
      <c r="M1629" s="415">
        <v>5837.65</v>
      </c>
      <c r="N1629" s="415">
        <v>2583.46</v>
      </c>
      <c r="O1629" s="415">
        <v>6798.66</v>
      </c>
      <c r="P1629" s="415">
        <v>2547.21</v>
      </c>
      <c r="Q1629" s="481">
        <f t="shared" si="71"/>
        <v>-618.26070976000028</v>
      </c>
    </row>
    <row r="1630" spans="1:17" outlineLevel="1" x14ac:dyDescent="0.3">
      <c r="A1630" s="366" t="str">
        <f>IFERROR(VLOOKUP(RIGHT(E1630,3)+0,[1]SchLocTable!$A$2:$B$47,2,FALSE)," ")</f>
        <v>Marin</v>
      </c>
      <c r="B1630" s="366" t="str">
        <f>VLOOKUP(VALUE(D1630),$D$3:F$106,3,FALSE)</f>
        <v>Mathematics</v>
      </c>
      <c r="C1630" t="s">
        <v>314</v>
      </c>
      <c r="D1630">
        <v>816</v>
      </c>
      <c r="E1630" t="s">
        <v>667</v>
      </c>
      <c r="F1630" t="s">
        <v>316</v>
      </c>
      <c r="G1630">
        <v>2</v>
      </c>
      <c r="H1630" s="502">
        <v>51000</v>
      </c>
      <c r="I1630" s="415">
        <v>174365.14906</v>
      </c>
      <c r="J1630" s="415">
        <v>89786.06</v>
      </c>
      <c r="K1630" s="415">
        <v>166266.81</v>
      </c>
      <c r="L1630" s="415">
        <v>168970.1</v>
      </c>
      <c r="M1630" s="415">
        <v>155929.76</v>
      </c>
      <c r="N1630" s="415">
        <v>97549.56</v>
      </c>
      <c r="O1630" s="415">
        <v>15998.07</v>
      </c>
      <c r="P1630" s="415">
        <v>98011.29</v>
      </c>
      <c r="Q1630" s="481">
        <f t="shared" si="71"/>
        <v>-84579.089059999998</v>
      </c>
    </row>
    <row r="1631" spans="1:17" outlineLevel="2" x14ac:dyDescent="0.3">
      <c r="A1631" s="366" t="str">
        <f>IFERROR(VLOOKUP(RIGHT(E1631,3)+0,[1]SchLocTable!$A$2:$B$47,2,FALSE)," ")</f>
        <v>Marin</v>
      </c>
      <c r="B1631" s="366" t="str">
        <f>VLOOKUP(VALUE(D1631),$D$3:F$106,3,FALSE)</f>
        <v>Mathematics</v>
      </c>
      <c r="C1631" t="s">
        <v>314</v>
      </c>
      <c r="D1631">
        <v>816</v>
      </c>
      <c r="E1631" t="s">
        <v>667</v>
      </c>
      <c r="F1631" t="s">
        <v>321</v>
      </c>
      <c r="G1631" t="s">
        <v>319</v>
      </c>
      <c r="H1631" s="502">
        <v>52917</v>
      </c>
      <c r="I1631" s="415">
        <v>70044.263999999996</v>
      </c>
      <c r="J1631" s="415">
        <v>31370.22</v>
      </c>
      <c r="K1631" s="415">
        <v>56516.88</v>
      </c>
      <c r="L1631" s="415">
        <v>55672.89</v>
      </c>
      <c r="M1631" s="415">
        <v>10956.75</v>
      </c>
      <c r="N1631" s="415">
        <v>10232.879999999999</v>
      </c>
      <c r="O1631" s="415">
        <v>1134.3599999999999</v>
      </c>
      <c r="P1631" s="415">
        <v>18751.71</v>
      </c>
      <c r="Q1631" s="481">
        <f t="shared" si="71"/>
        <v>-38674.043999999994</v>
      </c>
    </row>
    <row r="1632" spans="1:17" outlineLevel="2" x14ac:dyDescent="0.3">
      <c r="A1632" s="366" t="str">
        <f>IFERROR(VLOOKUP(RIGHT(E1632,3)+0,[1]SchLocTable!$A$2:$B$47,2,FALSE)," ")</f>
        <v>Marin</v>
      </c>
      <c r="B1632" s="366" t="str">
        <f>VLOOKUP(VALUE(D1632),$D$3:F$106,3,FALSE)</f>
        <v>Mathematics</v>
      </c>
      <c r="C1632" t="s">
        <v>314</v>
      </c>
      <c r="D1632">
        <v>816</v>
      </c>
      <c r="E1632" t="s">
        <v>667</v>
      </c>
      <c r="F1632" t="s">
        <v>318</v>
      </c>
      <c r="G1632" t="s">
        <v>319</v>
      </c>
      <c r="H1632" s="502">
        <v>51140</v>
      </c>
      <c r="I1632" s="415">
        <v>0</v>
      </c>
      <c r="J1632" s="415">
        <v>0</v>
      </c>
      <c r="K1632" s="415">
        <v>900</v>
      </c>
      <c r="L1632" s="415">
        <v>900</v>
      </c>
      <c r="M1632" s="415">
        <v>900</v>
      </c>
      <c r="N1632" s="415">
        <v>900</v>
      </c>
      <c r="O1632" s="415">
        <v>0</v>
      </c>
      <c r="P1632" s="415">
        <v>0</v>
      </c>
      <c r="Q1632" s="481">
        <f t="shared" si="71"/>
        <v>0</v>
      </c>
    </row>
    <row r="1633" spans="1:17" outlineLevel="2" x14ac:dyDescent="0.3">
      <c r="A1633" s="366" t="str">
        <f>IFERROR(VLOOKUP(RIGHT(E1633,3)+0,[1]SchLocTable!$A$2:$B$47,2,FALSE)," ")</f>
        <v>Marin</v>
      </c>
      <c r="B1633" s="366" t="str">
        <f>VLOOKUP(VALUE(D1633),$D$3:F$106,3,FALSE)</f>
        <v>Mathematics</v>
      </c>
      <c r="C1633" t="s">
        <v>314</v>
      </c>
      <c r="D1633">
        <v>816</v>
      </c>
      <c r="E1633" t="s">
        <v>667</v>
      </c>
      <c r="F1633" t="s">
        <v>320</v>
      </c>
      <c r="G1633" t="s">
        <v>319</v>
      </c>
      <c r="H1633" s="502">
        <v>52360</v>
      </c>
      <c r="I1633" s="415">
        <v>2528.2946613700001</v>
      </c>
      <c r="J1633" s="415">
        <v>1282.1400000000001</v>
      </c>
      <c r="K1633" s="415">
        <v>2240.2600000000002</v>
      </c>
      <c r="L1633" s="415">
        <v>2231.09</v>
      </c>
      <c r="M1633" s="415">
        <v>2229.71</v>
      </c>
      <c r="N1633" s="415">
        <v>1387.55</v>
      </c>
      <c r="O1633" s="415">
        <v>0</v>
      </c>
      <c r="P1633" s="415">
        <v>1480.43</v>
      </c>
      <c r="Q1633" s="481">
        <f t="shared" si="71"/>
        <v>-1246.15466137</v>
      </c>
    </row>
    <row r="1634" spans="1:17" outlineLevel="1" x14ac:dyDescent="0.3">
      <c r="A1634" s="366" t="str">
        <f>IFERROR(VLOOKUP(RIGHT(E1634,3)+0,[1]SchLocTable!$A$2:$B$47,2,FALSE)," ")</f>
        <v>Marin</v>
      </c>
      <c r="B1634" s="366" t="str">
        <f>VLOOKUP(VALUE(D1634),$D$3:F$106,3,FALSE)</f>
        <v>Mathematics</v>
      </c>
      <c r="C1634" t="s">
        <v>314</v>
      </c>
      <c r="D1634">
        <v>816</v>
      </c>
      <c r="E1634" t="s">
        <v>667</v>
      </c>
      <c r="F1634" t="s">
        <v>324</v>
      </c>
      <c r="G1634" t="s">
        <v>319</v>
      </c>
      <c r="H1634" s="502">
        <v>52385</v>
      </c>
      <c r="I1634" s="415">
        <v>0</v>
      </c>
      <c r="J1634" s="415">
        <v>0</v>
      </c>
      <c r="K1634" s="415">
        <v>0</v>
      </c>
      <c r="L1634" s="415">
        <v>0</v>
      </c>
      <c r="M1634" s="415">
        <v>155</v>
      </c>
      <c r="N1634" s="415">
        <v>0</v>
      </c>
      <c r="O1634" s="415">
        <v>0</v>
      </c>
      <c r="P1634" s="415">
        <v>0</v>
      </c>
      <c r="Q1634" s="481">
        <f t="shared" si="71"/>
        <v>0</v>
      </c>
    </row>
    <row r="1635" spans="1:17" outlineLevel="2" x14ac:dyDescent="0.3">
      <c r="A1635" s="366" t="str">
        <f>IFERROR(VLOOKUP(RIGHT(E1635,3)+0,[1]SchLocTable!$A$2:$B$47,2,FALSE)," ")</f>
        <v>Hooker</v>
      </c>
      <c r="B1635" s="366" t="str">
        <f>VLOOKUP(VALUE(D1635),$D$3:F$106,3,FALSE)</f>
        <v>Mathematics</v>
      </c>
      <c r="C1635" t="s">
        <v>314</v>
      </c>
      <c r="D1635">
        <v>816</v>
      </c>
      <c r="E1635" t="s">
        <v>668</v>
      </c>
      <c r="F1635" t="s">
        <v>316</v>
      </c>
      <c r="G1635">
        <v>1</v>
      </c>
      <c r="H1635" s="502">
        <v>51000</v>
      </c>
      <c r="I1635" s="415">
        <v>110428.46490000001</v>
      </c>
      <c r="J1635" s="415">
        <v>105070</v>
      </c>
      <c r="K1635" s="415">
        <v>102757.98</v>
      </c>
      <c r="L1635" s="415">
        <v>100497.02</v>
      </c>
      <c r="M1635" s="415">
        <v>21289.62</v>
      </c>
      <c r="N1635" s="415">
        <v>45744.4</v>
      </c>
      <c r="O1635" s="415">
        <v>61144.6</v>
      </c>
      <c r="P1635" s="415">
        <v>94593.98</v>
      </c>
      <c r="Q1635" s="481">
        <f t="shared" si="71"/>
        <v>-5358.4649000000063</v>
      </c>
    </row>
    <row r="1636" spans="1:17" outlineLevel="1" x14ac:dyDescent="0.3">
      <c r="A1636" s="366" t="str">
        <f>IFERROR(VLOOKUP(RIGHT(E1636,3)+0,[1]SchLocTable!$A$2:$B$47,2,FALSE)," ")</f>
        <v>Hooker</v>
      </c>
      <c r="B1636" s="366" t="str">
        <f>VLOOKUP(VALUE(D1636),$D$3:F$106,3,FALSE)</f>
        <v>Mathematics</v>
      </c>
      <c r="C1636" t="s">
        <v>314</v>
      </c>
      <c r="D1636">
        <v>816</v>
      </c>
      <c r="E1636" t="s">
        <v>668</v>
      </c>
      <c r="F1636" t="s">
        <v>321</v>
      </c>
      <c r="G1636" t="s">
        <v>319</v>
      </c>
      <c r="H1636" s="502">
        <v>52917</v>
      </c>
      <c r="I1636" s="415">
        <v>46330.955999999998</v>
      </c>
      <c r="J1636" s="415">
        <v>38609.129999999997</v>
      </c>
      <c r="K1636" s="415">
        <v>35075.879999999997</v>
      </c>
      <c r="L1636" s="415">
        <v>34606.949999999997</v>
      </c>
      <c r="M1636" s="415">
        <v>222.09</v>
      </c>
      <c r="N1636" s="415">
        <v>4583.76</v>
      </c>
      <c r="O1636" s="415">
        <v>7456.48</v>
      </c>
      <c r="P1636" s="415">
        <v>9245.67</v>
      </c>
      <c r="Q1636" s="481">
        <f t="shared" si="71"/>
        <v>-7721.8260000000009</v>
      </c>
    </row>
    <row r="1637" spans="1:17" outlineLevel="2" x14ac:dyDescent="0.3">
      <c r="A1637" s="366" t="str">
        <f>IFERROR(VLOOKUP(RIGHT(E1637,3)+0,[1]SchLocTable!$A$2:$B$47,2,FALSE)," ")</f>
        <v>Hooker</v>
      </c>
      <c r="B1637" s="366" t="str">
        <f>VLOOKUP(VALUE(D1637),$D$3:F$106,3,FALSE)</f>
        <v>Mathematics</v>
      </c>
      <c r="C1637" t="s">
        <v>314</v>
      </c>
      <c r="D1637">
        <v>816</v>
      </c>
      <c r="E1637" t="s">
        <v>668</v>
      </c>
      <c r="F1637" t="s">
        <v>318</v>
      </c>
      <c r="G1637" t="s">
        <v>319</v>
      </c>
      <c r="H1637" s="502">
        <v>51140</v>
      </c>
      <c r="I1637" s="415">
        <v>1200</v>
      </c>
      <c r="J1637" s="415">
        <v>0</v>
      </c>
      <c r="K1637" s="415">
        <v>1200</v>
      </c>
      <c r="L1637" s="415">
        <v>1100</v>
      </c>
      <c r="M1637" s="415">
        <v>0</v>
      </c>
      <c r="N1637" s="415">
        <v>0</v>
      </c>
      <c r="O1637" s="415">
        <v>900</v>
      </c>
      <c r="P1637" s="415">
        <v>0</v>
      </c>
      <c r="Q1637" s="481">
        <f t="shared" si="71"/>
        <v>-1200</v>
      </c>
    </row>
    <row r="1638" spans="1:17" outlineLevel="2" x14ac:dyDescent="0.3">
      <c r="A1638" s="366" t="str">
        <f>IFERROR(VLOOKUP(RIGHT(E1638,3)+0,[1]SchLocTable!$A$2:$B$47,2,FALSE)," ")</f>
        <v>Hooker</v>
      </c>
      <c r="B1638" s="366" t="str">
        <f>VLOOKUP(VALUE(D1638),$D$3:F$106,3,FALSE)</f>
        <v>Mathematics</v>
      </c>
      <c r="C1638" t="s">
        <v>314</v>
      </c>
      <c r="D1638">
        <v>816</v>
      </c>
      <c r="E1638" t="s">
        <v>668</v>
      </c>
      <c r="F1638" t="s">
        <v>320</v>
      </c>
      <c r="G1638" t="s">
        <v>319</v>
      </c>
      <c r="H1638" s="502">
        <v>52360</v>
      </c>
      <c r="I1638" s="415">
        <v>1601.2127410500002</v>
      </c>
      <c r="J1638" s="415">
        <v>1332</v>
      </c>
      <c r="K1638" s="415">
        <v>1357.67</v>
      </c>
      <c r="L1638" s="415">
        <v>1329.85</v>
      </c>
      <c r="M1638" s="415">
        <v>308.13</v>
      </c>
      <c r="N1638" s="415">
        <v>645.66</v>
      </c>
      <c r="O1638" s="415">
        <v>893.42</v>
      </c>
      <c r="P1638" s="415">
        <v>1323.85</v>
      </c>
      <c r="Q1638" s="481">
        <f t="shared" si="71"/>
        <v>-269.2127410500002</v>
      </c>
    </row>
    <row r="1639" spans="1:17" outlineLevel="2" x14ac:dyDescent="0.3">
      <c r="A1639" s="366" t="str">
        <f>IFERROR(VLOOKUP(RIGHT(E1639,3)+0,[1]SchLocTable!$A$2:$B$47,2,FALSE)," ")</f>
        <v>Batalla</v>
      </c>
      <c r="B1639" s="366" t="str">
        <f>VLOOKUP(VALUE(D1639),$D$3:F$106,3,FALSE)</f>
        <v>Mathematics</v>
      </c>
      <c r="C1639" t="s">
        <v>314</v>
      </c>
      <c r="D1639">
        <v>816</v>
      </c>
      <c r="E1639" t="s">
        <v>669</v>
      </c>
      <c r="F1639" t="s">
        <v>316</v>
      </c>
      <c r="G1639">
        <v>2</v>
      </c>
      <c r="H1639" s="502">
        <v>51000</v>
      </c>
      <c r="I1639" s="415">
        <v>177404.4909</v>
      </c>
      <c r="J1639" s="415">
        <v>168796</v>
      </c>
      <c r="K1639" s="415">
        <v>166696.92000000001</v>
      </c>
      <c r="L1639" s="415">
        <v>163671.73000000001</v>
      </c>
      <c r="M1639" s="415">
        <v>159307.98000000001</v>
      </c>
      <c r="N1639" s="415">
        <v>155134.18</v>
      </c>
      <c r="O1639" s="415">
        <v>132845.96</v>
      </c>
      <c r="P1639" s="415">
        <v>113383.62</v>
      </c>
      <c r="Q1639" s="481">
        <f t="shared" si="71"/>
        <v>-8608.4909000000043</v>
      </c>
    </row>
    <row r="1640" spans="1:17" outlineLevel="2" x14ac:dyDescent="0.3">
      <c r="A1640" s="366" t="str">
        <f>IFERROR(VLOOKUP(RIGHT(E1640,3)+0,[1]SchLocTable!$A$2:$B$47,2,FALSE)," ")</f>
        <v>Batalla</v>
      </c>
      <c r="B1640" s="366" t="str">
        <f>VLOOKUP(VALUE(D1640),$D$3:F$106,3,FALSE)</f>
        <v>Mathematics</v>
      </c>
      <c r="C1640" t="s">
        <v>314</v>
      </c>
      <c r="D1640">
        <v>816</v>
      </c>
      <c r="E1640" t="s">
        <v>669</v>
      </c>
      <c r="F1640" t="s">
        <v>321</v>
      </c>
      <c r="G1640" t="s">
        <v>319</v>
      </c>
      <c r="H1640" s="502">
        <v>52917</v>
      </c>
      <c r="I1640" s="415">
        <v>53288.927999999993</v>
      </c>
      <c r="J1640" s="415">
        <v>44407.44</v>
      </c>
      <c r="K1640" s="415">
        <v>40322.1</v>
      </c>
      <c r="L1640" s="415">
        <v>39705.54</v>
      </c>
      <c r="M1640" s="415">
        <v>37288.019999999997</v>
      </c>
      <c r="N1640" s="415">
        <v>37202.22</v>
      </c>
      <c r="O1640" s="415">
        <v>51810.59</v>
      </c>
      <c r="P1640" s="415">
        <v>38956</v>
      </c>
      <c r="Q1640" s="481">
        <f t="shared" si="71"/>
        <v>-8881.4879999999903</v>
      </c>
    </row>
    <row r="1641" spans="1:17" outlineLevel="2" x14ac:dyDescent="0.3">
      <c r="A1641" s="366" t="str">
        <f>IFERROR(VLOOKUP(RIGHT(E1641,3)+0,[1]SchLocTable!$A$2:$B$47,2,FALSE)," ")</f>
        <v>Batalla</v>
      </c>
      <c r="B1641" s="366" t="str">
        <f>VLOOKUP(VALUE(D1641),$D$3:F$106,3,FALSE)</f>
        <v>Mathematics</v>
      </c>
      <c r="C1641" t="s">
        <v>314</v>
      </c>
      <c r="D1641">
        <v>816</v>
      </c>
      <c r="E1641" t="s">
        <v>669</v>
      </c>
      <c r="F1641" t="s">
        <v>318</v>
      </c>
      <c r="G1641" t="s">
        <v>319</v>
      </c>
      <c r="H1641" s="502">
        <v>51140</v>
      </c>
      <c r="I1641" s="415">
        <v>900</v>
      </c>
      <c r="J1641" s="415">
        <v>0</v>
      </c>
      <c r="K1641" s="415">
        <v>900</v>
      </c>
      <c r="L1641" s="415">
        <v>0</v>
      </c>
      <c r="M1641" s="415">
        <v>0</v>
      </c>
      <c r="N1641" s="415">
        <v>0</v>
      </c>
      <c r="O1641" s="415">
        <v>0</v>
      </c>
      <c r="P1641" s="415">
        <v>0</v>
      </c>
      <c r="Q1641" s="481">
        <f t="shared" si="71"/>
        <v>-900</v>
      </c>
    </row>
    <row r="1642" spans="1:17" outlineLevel="2" x14ac:dyDescent="0.3">
      <c r="A1642" s="366" t="str">
        <f>IFERROR(VLOOKUP(RIGHT(E1642,3)+0,[1]SchLocTable!$A$2:$B$47,2,FALSE)," ")</f>
        <v>Batalla</v>
      </c>
      <c r="B1642" s="366" t="str">
        <f>VLOOKUP(VALUE(D1642),$D$3:F$106,3,FALSE)</f>
        <v>Mathematics</v>
      </c>
      <c r="C1642" t="s">
        <v>314</v>
      </c>
      <c r="D1642">
        <v>816</v>
      </c>
      <c r="E1642" t="s">
        <v>669</v>
      </c>
      <c r="F1642" t="s">
        <v>320</v>
      </c>
      <c r="G1642" t="s">
        <v>319</v>
      </c>
      <c r="H1642" s="502">
        <v>52360</v>
      </c>
      <c r="I1642" s="415">
        <v>2572.3651180500001</v>
      </c>
      <c r="J1642" s="415">
        <v>2220</v>
      </c>
      <c r="K1642" s="415">
        <v>2247.38</v>
      </c>
      <c r="L1642" s="415">
        <v>2173.19</v>
      </c>
      <c r="M1642" s="415">
        <v>2159.42</v>
      </c>
      <c r="N1642" s="415">
        <v>2103.96</v>
      </c>
      <c r="O1642" s="415">
        <v>1728.2</v>
      </c>
      <c r="P1642" s="415">
        <v>1496.94</v>
      </c>
      <c r="Q1642" s="481">
        <f t="shared" si="71"/>
        <v>-352.36511805000009</v>
      </c>
    </row>
    <row r="1643" spans="1:17" outlineLevel="2" x14ac:dyDescent="0.3">
      <c r="A1643" s="366" t="str">
        <f>IFERROR(VLOOKUP(RIGHT(E1643,3)+0,[1]SchLocTable!$A$2:$B$47,2,FALSE)," ")</f>
        <v>Info Tech HS</v>
      </c>
      <c r="B1643" s="366" t="str">
        <f>VLOOKUP(VALUE(D1643),$D$3:F$106,3,FALSE)</f>
        <v>Mathematics</v>
      </c>
      <c r="C1643" t="s">
        <v>314</v>
      </c>
      <c r="D1643">
        <v>816</v>
      </c>
      <c r="E1643" t="s">
        <v>670</v>
      </c>
      <c r="F1643" t="s">
        <v>316</v>
      </c>
      <c r="G1643">
        <v>3</v>
      </c>
      <c r="H1643" s="502">
        <v>51000</v>
      </c>
      <c r="I1643" s="415">
        <v>199720.61562999999</v>
      </c>
      <c r="J1643" s="415">
        <v>133992</v>
      </c>
      <c r="K1643" s="415">
        <v>218311.31</v>
      </c>
      <c r="L1643" s="415">
        <v>270470.96000000002</v>
      </c>
      <c r="M1643" s="415">
        <v>228746.64</v>
      </c>
      <c r="N1643" s="415">
        <v>98323.96</v>
      </c>
      <c r="O1643" s="415">
        <v>152513.87</v>
      </c>
      <c r="P1643" s="415">
        <v>99512.88</v>
      </c>
      <c r="Q1643" s="481">
        <f t="shared" si="71"/>
        <v>-65728.615629999986</v>
      </c>
    </row>
    <row r="1644" spans="1:17" outlineLevel="1" x14ac:dyDescent="0.3">
      <c r="A1644" s="366" t="str">
        <f>IFERROR(VLOOKUP(RIGHT(E1644,3)+0,[1]SchLocTable!$A$2:$B$47,2,FALSE)," ")</f>
        <v>Info Tech HS</v>
      </c>
      <c r="B1644" s="366" t="str">
        <f>VLOOKUP(VALUE(D1644),$D$3:F$106,3,FALSE)</f>
        <v>Mathematics</v>
      </c>
      <c r="C1644" t="s">
        <v>314</v>
      </c>
      <c r="D1644">
        <v>816</v>
      </c>
      <c r="E1644" t="s">
        <v>670</v>
      </c>
      <c r="F1644" t="s">
        <v>321</v>
      </c>
      <c r="G1644" t="s">
        <v>319</v>
      </c>
      <c r="H1644" s="502">
        <v>52917</v>
      </c>
      <c r="I1644" s="415">
        <v>77531.579999999987</v>
      </c>
      <c r="J1644" s="415">
        <v>54507</v>
      </c>
      <c r="K1644" s="415">
        <v>56989.08</v>
      </c>
      <c r="L1644" s="415">
        <v>108975.09</v>
      </c>
      <c r="M1644" s="415">
        <v>36211.410000000003</v>
      </c>
      <c r="N1644" s="415">
        <v>54870.9</v>
      </c>
      <c r="O1644" s="415">
        <v>82030.570000000007</v>
      </c>
      <c r="P1644" s="415">
        <v>49571.34</v>
      </c>
      <c r="Q1644" s="481">
        <f t="shared" si="71"/>
        <v>-23024.579999999987</v>
      </c>
    </row>
    <row r="1645" spans="1:17" outlineLevel="2" x14ac:dyDescent="0.3">
      <c r="A1645" s="366" t="str">
        <f>IFERROR(VLOOKUP(RIGHT(E1645,3)+0,[1]SchLocTable!$A$2:$B$47,2,FALSE)," ")</f>
        <v>Info Tech HS</v>
      </c>
      <c r="B1645" s="366" t="str">
        <f>VLOOKUP(VALUE(D1645),$D$3:F$106,3,FALSE)</f>
        <v>Mathematics</v>
      </c>
      <c r="C1645" t="s">
        <v>314</v>
      </c>
      <c r="D1645">
        <v>816</v>
      </c>
      <c r="E1645" t="s">
        <v>670</v>
      </c>
      <c r="F1645" t="s">
        <v>320</v>
      </c>
      <c r="G1645" t="s">
        <v>319</v>
      </c>
      <c r="H1645" s="502">
        <v>52360</v>
      </c>
      <c r="I1645" s="415">
        <v>2895.9489266350001</v>
      </c>
      <c r="J1645" s="415">
        <v>1704</v>
      </c>
      <c r="K1645" s="415">
        <v>2290.69</v>
      </c>
      <c r="L1645" s="415">
        <v>3730.11</v>
      </c>
      <c r="M1645" s="415">
        <v>4050.51</v>
      </c>
      <c r="N1645" s="415">
        <v>1513.74</v>
      </c>
      <c r="O1645" s="415">
        <v>3094.4</v>
      </c>
      <c r="P1645" s="415">
        <v>1380.57</v>
      </c>
      <c r="Q1645" s="481">
        <f t="shared" si="71"/>
        <v>-1191.9489266350001</v>
      </c>
    </row>
    <row r="1646" spans="1:17" outlineLevel="2" x14ac:dyDescent="0.3">
      <c r="A1646" s="366" t="str">
        <f>IFERROR(VLOOKUP(RIGHT(E1646,3)+0,[1]SchLocTable!$A$2:$B$47,2,FALSE)," ")</f>
        <v>Info Tech HS</v>
      </c>
      <c r="B1646" s="366" t="str">
        <f>VLOOKUP(VALUE(D1646),$D$3:F$106,3,FALSE)</f>
        <v>Mathematics</v>
      </c>
      <c r="C1646" t="s">
        <v>314</v>
      </c>
      <c r="D1646">
        <v>816</v>
      </c>
      <c r="E1646" t="s">
        <v>670</v>
      </c>
      <c r="F1646" t="s">
        <v>324</v>
      </c>
      <c r="G1646" t="s">
        <v>319</v>
      </c>
      <c r="H1646" s="502">
        <v>52385</v>
      </c>
      <c r="I1646" s="415">
        <v>0</v>
      </c>
      <c r="J1646" s="415">
        <v>0</v>
      </c>
      <c r="K1646" s="415">
        <v>1052.32</v>
      </c>
      <c r="L1646" s="415">
        <v>0</v>
      </c>
      <c r="M1646" s="415">
        <v>0</v>
      </c>
      <c r="N1646" s="415">
        <v>0</v>
      </c>
      <c r="O1646" s="415">
        <v>0</v>
      </c>
      <c r="P1646" s="415">
        <v>0</v>
      </c>
      <c r="Q1646" s="481">
        <f t="shared" si="71"/>
        <v>0</v>
      </c>
    </row>
    <row r="1647" spans="1:17" outlineLevel="2" x14ac:dyDescent="0.3">
      <c r="A1647" s="366" t="str">
        <f>IFERROR(VLOOKUP(RIGHT(E1647,3)+0,[1]SchLocTable!$A$2:$B$47,2,FALSE)," ")</f>
        <v>BMA HS</v>
      </c>
      <c r="B1647" s="366" t="str">
        <f>VLOOKUP(VALUE(D1647),$D$3:F$106,3,FALSE)</f>
        <v>Mathematics</v>
      </c>
      <c r="C1647" t="s">
        <v>314</v>
      </c>
      <c r="D1647">
        <v>816</v>
      </c>
      <c r="E1647" t="s">
        <v>671</v>
      </c>
      <c r="F1647" t="s">
        <v>316</v>
      </c>
      <c r="G1647">
        <v>1</v>
      </c>
      <c r="H1647" s="502">
        <v>51000</v>
      </c>
      <c r="I1647" s="415">
        <v>77228.467940000002</v>
      </c>
      <c r="J1647" s="415">
        <v>73480.94</v>
      </c>
      <c r="K1647" s="415">
        <v>76223.55</v>
      </c>
      <c r="L1647" s="415">
        <v>232251.94</v>
      </c>
      <c r="M1647" s="415">
        <v>163679.19</v>
      </c>
      <c r="N1647" s="415">
        <v>141162.82999999999</v>
      </c>
      <c r="O1647" s="415">
        <v>150729.54</v>
      </c>
      <c r="P1647" s="415">
        <v>144122.94</v>
      </c>
      <c r="Q1647" s="481">
        <f t="shared" si="71"/>
        <v>-3747.5279399999999</v>
      </c>
    </row>
    <row r="1648" spans="1:17" outlineLevel="2" x14ac:dyDescent="0.3">
      <c r="A1648" s="366" t="str">
        <f>IFERROR(VLOOKUP(RIGHT(E1648,3)+0,[1]SchLocTable!$A$2:$B$47,2,FALSE)," ")</f>
        <v>BMA HS</v>
      </c>
      <c r="B1648" s="366" t="str">
        <f>VLOOKUP(VALUE(D1648),$D$3:F$106,3,FALSE)</f>
        <v>Mathematics</v>
      </c>
      <c r="C1648" t="s">
        <v>314</v>
      </c>
      <c r="D1648">
        <v>816</v>
      </c>
      <c r="E1648" t="s">
        <v>671</v>
      </c>
      <c r="F1648" t="s">
        <v>321</v>
      </c>
      <c r="G1648" t="s">
        <v>319</v>
      </c>
      <c r="H1648" s="502">
        <v>52917</v>
      </c>
      <c r="I1648" s="415">
        <v>0</v>
      </c>
      <c r="J1648" s="415">
        <v>0</v>
      </c>
      <c r="K1648" s="415">
        <v>0</v>
      </c>
      <c r="L1648" s="415">
        <v>69213.899999999994</v>
      </c>
      <c r="M1648" s="415">
        <v>64898.400000000001</v>
      </c>
      <c r="N1648" s="415">
        <v>30308.67</v>
      </c>
      <c r="O1648" s="415">
        <v>29077.5</v>
      </c>
      <c r="P1648" s="415">
        <v>27385.05</v>
      </c>
      <c r="Q1648" s="481">
        <f t="shared" si="71"/>
        <v>0</v>
      </c>
    </row>
    <row r="1649" spans="1:17" outlineLevel="2" x14ac:dyDescent="0.3">
      <c r="A1649" s="366" t="str">
        <f>IFERROR(VLOOKUP(RIGHT(E1649,3)+0,[1]SchLocTable!$A$2:$B$47,2,FALSE)," ")</f>
        <v>BMA HS</v>
      </c>
      <c r="B1649" s="366" t="str">
        <f>VLOOKUP(VALUE(D1649),$D$3:F$106,3,FALSE)</f>
        <v>Mathematics</v>
      </c>
      <c r="C1649" t="s">
        <v>314</v>
      </c>
      <c r="D1649">
        <v>816</v>
      </c>
      <c r="E1649" t="s">
        <v>671</v>
      </c>
      <c r="F1649" t="s">
        <v>318</v>
      </c>
      <c r="G1649" t="s">
        <v>319</v>
      </c>
      <c r="H1649" s="502">
        <v>51140</v>
      </c>
      <c r="I1649" s="415">
        <v>0</v>
      </c>
      <c r="J1649" s="415">
        <v>0</v>
      </c>
      <c r="K1649" s="415">
        <v>1800</v>
      </c>
      <c r="L1649" s="415">
        <v>1800</v>
      </c>
      <c r="M1649" s="415">
        <v>1800</v>
      </c>
      <c r="N1649" s="415">
        <v>900</v>
      </c>
      <c r="O1649" s="415">
        <v>900</v>
      </c>
      <c r="P1649" s="415">
        <v>0</v>
      </c>
      <c r="Q1649" s="481">
        <f t="shared" si="71"/>
        <v>0</v>
      </c>
    </row>
    <row r="1650" spans="1:17" outlineLevel="1" x14ac:dyDescent="0.3">
      <c r="A1650" s="366" t="str">
        <f>IFERROR(VLOOKUP(RIGHT(E1650,3)+0,[1]SchLocTable!$A$2:$B$47,2,FALSE)," ")</f>
        <v>BMA HS</v>
      </c>
      <c r="B1650" s="366" t="str">
        <f>VLOOKUP(VALUE(D1650),$D$3:F$106,3,FALSE)</f>
        <v>Mathematics</v>
      </c>
      <c r="C1650" t="s">
        <v>314</v>
      </c>
      <c r="D1650">
        <v>816</v>
      </c>
      <c r="E1650" t="s">
        <v>671</v>
      </c>
      <c r="F1650" t="s">
        <v>320</v>
      </c>
      <c r="G1650" t="s">
        <v>319</v>
      </c>
      <c r="H1650" s="502">
        <v>52360</v>
      </c>
      <c r="I1650" s="415">
        <v>1119.8127851300001</v>
      </c>
      <c r="J1650" s="415">
        <v>1065.47</v>
      </c>
      <c r="K1650" s="415">
        <v>1002.79</v>
      </c>
      <c r="L1650" s="415">
        <v>3109.93</v>
      </c>
      <c r="M1650" s="415">
        <v>3013.77</v>
      </c>
      <c r="N1650" s="415">
        <v>2301.13</v>
      </c>
      <c r="O1650" s="415">
        <v>2088.1999999999998</v>
      </c>
      <c r="P1650" s="415">
        <v>1987.27</v>
      </c>
      <c r="Q1650" s="481">
        <f t="shared" si="71"/>
        <v>-54.342785130000038</v>
      </c>
    </row>
    <row r="1651" spans="1:17" outlineLevel="2" x14ac:dyDescent="0.3">
      <c r="A1651" s="366" t="str">
        <f>IFERROR(VLOOKUP(RIGHT(E1651,3)+0,[1]SchLocTable!$A$2:$B$47,2,FALSE)," ")</f>
        <v>Park City Magnet</v>
      </c>
      <c r="B1651" s="366" t="str">
        <f>VLOOKUP(VALUE(D1651),$D$3:F$106,3,FALSE)</f>
        <v>Mathematics</v>
      </c>
      <c r="C1651" t="s">
        <v>314</v>
      </c>
      <c r="D1651">
        <v>816</v>
      </c>
      <c r="E1651" t="s">
        <v>672</v>
      </c>
      <c r="F1651" t="s">
        <v>316</v>
      </c>
      <c r="G1651">
        <v>1</v>
      </c>
      <c r="H1651" s="502">
        <v>51000</v>
      </c>
      <c r="I1651" s="415">
        <v>64054.235489999992</v>
      </c>
      <c r="J1651" s="415">
        <v>60946</v>
      </c>
      <c r="K1651" s="415">
        <v>57918.9</v>
      </c>
      <c r="L1651" s="415">
        <v>16032.11</v>
      </c>
      <c r="M1651" s="415">
        <v>54087.41</v>
      </c>
      <c r="N1651" s="415">
        <v>50535.94</v>
      </c>
      <c r="O1651" s="415">
        <v>48170.98</v>
      </c>
      <c r="P1651" s="415">
        <v>0</v>
      </c>
      <c r="Q1651" s="481">
        <f t="shared" si="71"/>
        <v>-3108.2354899999918</v>
      </c>
    </row>
    <row r="1652" spans="1:17" outlineLevel="2" x14ac:dyDescent="0.3">
      <c r="A1652" s="366" t="str">
        <f>IFERROR(VLOOKUP(RIGHT(E1652,3)+0,[1]SchLocTable!$A$2:$B$47,2,FALSE)," ")</f>
        <v>Park City Magnet</v>
      </c>
      <c r="B1652" s="366" t="str">
        <f>VLOOKUP(VALUE(D1652),$D$3:F$106,3,FALSE)</f>
        <v>Mathematics</v>
      </c>
      <c r="C1652" t="s">
        <v>314</v>
      </c>
      <c r="D1652">
        <v>816</v>
      </c>
      <c r="E1652" t="s">
        <v>672</v>
      </c>
      <c r="F1652" t="s">
        <v>321</v>
      </c>
      <c r="G1652" t="s">
        <v>319</v>
      </c>
      <c r="H1652" s="502">
        <v>52917</v>
      </c>
      <c r="I1652" s="415">
        <v>0</v>
      </c>
      <c r="J1652" s="415">
        <v>0</v>
      </c>
      <c r="K1652" s="415">
        <v>0</v>
      </c>
      <c r="L1652" s="415">
        <v>0</v>
      </c>
      <c r="M1652" s="415">
        <v>26327.279999999999</v>
      </c>
      <c r="N1652" s="415">
        <v>25996.3</v>
      </c>
      <c r="O1652" s="415">
        <v>29077.5</v>
      </c>
      <c r="P1652" s="415">
        <v>0</v>
      </c>
      <c r="Q1652" s="481">
        <f t="shared" si="71"/>
        <v>0</v>
      </c>
    </row>
    <row r="1653" spans="1:17" outlineLevel="2" x14ac:dyDescent="0.3">
      <c r="A1653" s="366" t="str">
        <f>IFERROR(VLOOKUP(RIGHT(E1653,3)+0,[1]SchLocTable!$A$2:$B$47,2,FALSE)," ")</f>
        <v>Park City Magnet</v>
      </c>
      <c r="B1653" s="366" t="str">
        <f>VLOOKUP(VALUE(D1653),$D$3:F$106,3,FALSE)</f>
        <v>Mathematics</v>
      </c>
      <c r="C1653" t="s">
        <v>314</v>
      </c>
      <c r="D1653">
        <v>816</v>
      </c>
      <c r="E1653" t="s">
        <v>672</v>
      </c>
      <c r="F1653" t="s">
        <v>320</v>
      </c>
      <c r="G1653" t="s">
        <v>319</v>
      </c>
      <c r="H1653" s="502">
        <v>52360</v>
      </c>
      <c r="I1653" s="415">
        <v>928.78641460499989</v>
      </c>
      <c r="J1653" s="415">
        <v>884</v>
      </c>
      <c r="K1653" s="415">
        <v>839.83</v>
      </c>
      <c r="L1653" s="415">
        <v>232.47</v>
      </c>
      <c r="M1653" s="415">
        <v>677.9</v>
      </c>
      <c r="N1653" s="415">
        <v>631.98</v>
      </c>
      <c r="O1653" s="415">
        <v>588.04999999999995</v>
      </c>
      <c r="P1653" s="415">
        <v>0</v>
      </c>
      <c r="Q1653" s="481">
        <f t="shared" si="71"/>
        <v>-44.786414604999891</v>
      </c>
    </row>
    <row r="1654" spans="1:17" outlineLevel="1" x14ac:dyDescent="0.3">
      <c r="A1654" s="366" t="str">
        <f>IFERROR(VLOOKUP(RIGHT(E1654,3)+0,[1]SchLocTable!$A$2:$B$47,2,FALSE)," ")</f>
        <v>Zoo Science HS</v>
      </c>
      <c r="B1654" s="366" t="str">
        <f>VLOOKUP(VALUE(D1654),$D$3:F$106,3,FALSE)</f>
        <v>Mathematics</v>
      </c>
      <c r="C1654" t="s">
        <v>314</v>
      </c>
      <c r="D1654">
        <v>816</v>
      </c>
      <c r="E1654" t="s">
        <v>673</v>
      </c>
      <c r="F1654" t="s">
        <v>316</v>
      </c>
      <c r="G1654">
        <v>3</v>
      </c>
      <c r="H1654" s="502">
        <v>51000</v>
      </c>
      <c r="I1654" s="415">
        <v>265705.13874000002</v>
      </c>
      <c r="J1654" s="415">
        <v>252812</v>
      </c>
      <c r="K1654" s="415">
        <v>53209.34</v>
      </c>
      <c r="L1654" s="415">
        <v>365084.06</v>
      </c>
      <c r="M1654" s="415">
        <v>99190.36</v>
      </c>
      <c r="N1654" s="415">
        <v>149831.19</v>
      </c>
      <c r="O1654" s="415">
        <v>156006.76999999999</v>
      </c>
      <c r="P1654" s="415">
        <v>89888.21</v>
      </c>
      <c r="Q1654" s="481">
        <f t="shared" si="71"/>
        <v>-12893.138740000024</v>
      </c>
    </row>
    <row r="1655" spans="1:17" outlineLevel="2" x14ac:dyDescent="0.3">
      <c r="A1655" s="366" t="str">
        <f>IFERROR(VLOOKUP(RIGHT(E1655,3)+0,[1]SchLocTable!$A$2:$B$47,2,FALSE)," ")</f>
        <v>Zoo Science HS</v>
      </c>
      <c r="B1655" s="366" t="str">
        <f>VLOOKUP(VALUE(D1655),$D$3:F$106,3,FALSE)</f>
        <v>Mathematics</v>
      </c>
      <c r="C1655" t="s">
        <v>314</v>
      </c>
      <c r="D1655">
        <v>816</v>
      </c>
      <c r="E1655" t="s">
        <v>673</v>
      </c>
      <c r="F1655" t="s">
        <v>321</v>
      </c>
      <c r="G1655" t="s">
        <v>319</v>
      </c>
      <c r="H1655" s="502">
        <v>52917</v>
      </c>
      <c r="I1655" s="415">
        <v>61975.619999999995</v>
      </c>
      <c r="J1655" s="415">
        <v>51646.35</v>
      </c>
      <c r="K1655" s="415">
        <v>1669.8</v>
      </c>
      <c r="L1655" s="415">
        <v>80898.720000000001</v>
      </c>
      <c r="M1655" s="415">
        <v>39912.39</v>
      </c>
      <c r="N1655" s="415">
        <v>40541.550000000003</v>
      </c>
      <c r="O1655" s="415">
        <v>56344.18</v>
      </c>
      <c r="P1655" s="415">
        <v>11630.72</v>
      </c>
      <c r="Q1655" s="481">
        <f t="shared" si="71"/>
        <v>-10329.269999999997</v>
      </c>
    </row>
    <row r="1656" spans="1:17" outlineLevel="2" x14ac:dyDescent="0.3">
      <c r="A1656" s="366" t="str">
        <f>IFERROR(VLOOKUP(RIGHT(E1656,3)+0,[1]SchLocTable!$A$2:$B$47,2,FALSE)," ")</f>
        <v>Zoo Science HS</v>
      </c>
      <c r="B1656" s="366" t="str">
        <f>VLOOKUP(VALUE(D1656),$D$3:F$106,3,FALSE)</f>
        <v>Mathematics</v>
      </c>
      <c r="C1656" t="s">
        <v>314</v>
      </c>
      <c r="D1656">
        <v>816</v>
      </c>
      <c r="E1656" t="s">
        <v>673</v>
      </c>
      <c r="F1656" t="s">
        <v>318</v>
      </c>
      <c r="G1656" t="s">
        <v>319</v>
      </c>
      <c r="H1656" s="502">
        <v>51140</v>
      </c>
      <c r="I1656" s="415">
        <v>1100</v>
      </c>
      <c r="J1656" s="415">
        <v>0</v>
      </c>
      <c r="K1656" s="415">
        <v>1100</v>
      </c>
      <c r="L1656" s="415">
        <v>1100</v>
      </c>
      <c r="M1656" s="415">
        <v>1800</v>
      </c>
      <c r="N1656" s="415">
        <v>900</v>
      </c>
      <c r="O1656" s="415">
        <v>900</v>
      </c>
      <c r="P1656" s="415">
        <v>900</v>
      </c>
      <c r="Q1656" s="481">
        <f t="shared" si="71"/>
        <v>-1100</v>
      </c>
    </row>
    <row r="1657" spans="1:17" outlineLevel="1" x14ac:dyDescent="0.3">
      <c r="A1657" s="366" t="str">
        <f>IFERROR(VLOOKUP(RIGHT(E1657,3)+0,[1]SchLocTable!$A$2:$B$47,2,FALSE)," ")</f>
        <v>Zoo Science HS</v>
      </c>
      <c r="B1657" s="366" t="str">
        <f>VLOOKUP(VALUE(D1657),$D$3:F$106,3,FALSE)</f>
        <v>Mathematics</v>
      </c>
      <c r="C1657" t="s">
        <v>314</v>
      </c>
      <c r="D1657">
        <v>816</v>
      </c>
      <c r="E1657" t="s">
        <v>673</v>
      </c>
      <c r="F1657" t="s">
        <v>320</v>
      </c>
      <c r="G1657" t="s">
        <v>319</v>
      </c>
      <c r="H1657" s="502">
        <v>52360</v>
      </c>
      <c r="I1657" s="415">
        <v>3852.7245117300004</v>
      </c>
      <c r="J1657" s="415">
        <v>3442</v>
      </c>
      <c r="K1657" s="415">
        <v>794.64</v>
      </c>
      <c r="L1657" s="415">
        <v>4045.74</v>
      </c>
      <c r="M1657" s="415">
        <v>2282.9899999999998</v>
      </c>
      <c r="N1657" s="415">
        <v>2066.61</v>
      </c>
      <c r="O1657" s="415">
        <v>3196.55</v>
      </c>
      <c r="P1657" s="415">
        <v>1999.92</v>
      </c>
      <c r="Q1657" s="481">
        <f t="shared" si="71"/>
        <v>-410.72451173000036</v>
      </c>
    </row>
    <row r="1658" spans="1:17" outlineLevel="2" x14ac:dyDescent="0.3">
      <c r="A1658" s="366" t="str">
        <f>IFERROR(VLOOKUP(RIGHT(E1658,3)+0,[1]SchLocTable!$A$2:$B$47,2,FALSE)," ")</f>
        <v>Zoo Science HS</v>
      </c>
      <c r="B1658" s="366" t="str">
        <f>VLOOKUP(VALUE(D1658),$D$3:F$106,3,FALSE)</f>
        <v>Mathematics</v>
      </c>
      <c r="C1658" t="s">
        <v>314</v>
      </c>
      <c r="D1658">
        <v>816</v>
      </c>
      <c r="E1658" t="s">
        <v>673</v>
      </c>
      <c r="F1658" t="s">
        <v>329</v>
      </c>
      <c r="G1658" t="s">
        <v>319</v>
      </c>
      <c r="H1658" s="502">
        <v>51154</v>
      </c>
      <c r="I1658" s="415">
        <v>0</v>
      </c>
      <c r="J1658" s="415">
        <v>0</v>
      </c>
      <c r="K1658" s="415">
        <v>0</v>
      </c>
      <c r="L1658" s="415">
        <v>0</v>
      </c>
      <c r="M1658" s="415">
        <v>11375</v>
      </c>
      <c r="N1658" s="415">
        <v>0</v>
      </c>
      <c r="O1658" s="415">
        <v>0</v>
      </c>
      <c r="P1658" s="415">
        <v>0</v>
      </c>
      <c r="Q1658" s="481">
        <f t="shared" si="71"/>
        <v>0</v>
      </c>
    </row>
    <row r="1659" spans="1:17" outlineLevel="2" x14ac:dyDescent="0.3">
      <c r="A1659" s="366" t="str">
        <f>IFERROR(VLOOKUP(RIGHT(E1659,3)+0,[1]SchLocTable!$A$2:$B$47,2,FALSE)," ")</f>
        <v>Classical Studies Academy</v>
      </c>
      <c r="B1659" s="366" t="str">
        <f>VLOOKUP(VALUE(D1659),$D$3:F$106,3,FALSE)</f>
        <v>Mathematics</v>
      </c>
      <c r="C1659" t="s">
        <v>314</v>
      </c>
      <c r="D1659">
        <v>816</v>
      </c>
      <c r="E1659" t="s">
        <v>674</v>
      </c>
      <c r="F1659" t="s">
        <v>316</v>
      </c>
      <c r="G1659" t="s">
        <v>319</v>
      </c>
      <c r="H1659" s="502">
        <v>51000</v>
      </c>
      <c r="I1659" s="415">
        <v>0</v>
      </c>
      <c r="J1659" s="415">
        <v>11283.14</v>
      </c>
      <c r="K1659" s="415">
        <v>93293.98</v>
      </c>
      <c r="L1659" s="415">
        <v>91241</v>
      </c>
      <c r="M1659" s="415">
        <v>34355.1</v>
      </c>
      <c r="N1659" s="415">
        <v>86659.46</v>
      </c>
      <c r="O1659" s="415">
        <v>87254.96</v>
      </c>
      <c r="P1659" s="415">
        <v>3960</v>
      </c>
      <c r="Q1659" s="481">
        <f t="shared" si="71"/>
        <v>11283.14</v>
      </c>
    </row>
    <row r="1660" spans="1:17" outlineLevel="2" x14ac:dyDescent="0.3">
      <c r="A1660" s="366" t="str">
        <f>IFERROR(VLOOKUP(RIGHT(E1660,3)+0,[1]SchLocTable!$A$2:$B$47,2,FALSE)," ")</f>
        <v>Classical Studies Academy</v>
      </c>
      <c r="B1660" s="366" t="str">
        <f>VLOOKUP(VALUE(D1660),$D$3:F$106,3,FALSE)</f>
        <v>Mathematics</v>
      </c>
      <c r="C1660" t="s">
        <v>314</v>
      </c>
      <c r="D1660">
        <v>816</v>
      </c>
      <c r="E1660" t="s">
        <v>674</v>
      </c>
      <c r="F1660" t="s">
        <v>321</v>
      </c>
      <c r="G1660" t="s">
        <v>319</v>
      </c>
      <c r="H1660" s="502">
        <v>52917</v>
      </c>
      <c r="I1660" s="415">
        <v>0</v>
      </c>
      <c r="J1660" s="415">
        <v>1241.6400000000001</v>
      </c>
      <c r="K1660" s="415">
        <v>11844</v>
      </c>
      <c r="L1660" s="415">
        <v>11684.82</v>
      </c>
      <c r="M1660" s="415">
        <v>5100.37</v>
      </c>
      <c r="N1660" s="415">
        <v>10232.879999999999</v>
      </c>
      <c r="O1660" s="415">
        <v>9817.68</v>
      </c>
      <c r="P1660" s="415">
        <v>3885.33</v>
      </c>
      <c r="Q1660" s="481">
        <f t="shared" si="71"/>
        <v>1241.6400000000001</v>
      </c>
    </row>
    <row r="1661" spans="1:17" outlineLevel="2" x14ac:dyDescent="0.3">
      <c r="A1661" s="366" t="str">
        <f>IFERROR(VLOOKUP(RIGHT(E1661,3)+0,[1]SchLocTable!$A$2:$B$47,2,FALSE)," ")</f>
        <v>Classical Studies Academy</v>
      </c>
      <c r="B1661" s="366" t="str">
        <f>VLOOKUP(VALUE(D1661),$D$3:F$106,3,FALSE)</f>
        <v>Mathematics</v>
      </c>
      <c r="C1661" t="s">
        <v>314</v>
      </c>
      <c r="D1661">
        <v>816</v>
      </c>
      <c r="E1661" t="s">
        <v>674</v>
      </c>
      <c r="F1661" t="s">
        <v>320</v>
      </c>
      <c r="G1661" t="s">
        <v>319</v>
      </c>
      <c r="H1661" s="502">
        <v>52360</v>
      </c>
      <c r="I1661" s="415">
        <v>0</v>
      </c>
      <c r="J1661" s="415">
        <v>158.15</v>
      </c>
      <c r="K1661" s="415">
        <v>1302.19</v>
      </c>
      <c r="L1661" s="415">
        <v>1274.5999999999999</v>
      </c>
      <c r="M1661" s="415">
        <v>454</v>
      </c>
      <c r="N1661" s="415">
        <v>1216.5899999999999</v>
      </c>
      <c r="O1661" s="415">
        <v>1227.9100000000001</v>
      </c>
      <c r="P1661" s="415">
        <v>42.81</v>
      </c>
      <c r="Q1661" s="481">
        <f t="shared" si="71"/>
        <v>158.15</v>
      </c>
    </row>
    <row r="1662" spans="1:17" outlineLevel="2" x14ac:dyDescent="0.3">
      <c r="A1662" s="366" t="str">
        <f>IFERROR(VLOOKUP(RIGHT(E1662,3)+0,[1]SchLocTable!$A$2:$B$47,2,FALSE)," ")</f>
        <v>Tisdale</v>
      </c>
      <c r="B1662" s="366" t="str">
        <f>VLOOKUP(VALUE(D1662),$D$3:F$106,3,FALSE)</f>
        <v>Mathematics</v>
      </c>
      <c r="C1662" t="s">
        <v>314</v>
      </c>
      <c r="D1662">
        <v>816</v>
      </c>
      <c r="E1662" t="s">
        <v>675</v>
      </c>
      <c r="F1662" t="s">
        <v>316</v>
      </c>
      <c r="G1662">
        <v>2</v>
      </c>
      <c r="H1662" s="502">
        <v>51000</v>
      </c>
      <c r="I1662" s="415">
        <v>190199.34388</v>
      </c>
      <c r="J1662" s="415">
        <v>169042</v>
      </c>
      <c r="K1662" s="415">
        <v>160801.79</v>
      </c>
      <c r="L1662" s="415">
        <v>100497.02</v>
      </c>
      <c r="M1662" s="415">
        <v>162351.01999999999</v>
      </c>
      <c r="N1662" s="415">
        <v>102114.79</v>
      </c>
      <c r="O1662" s="415">
        <v>139433.06</v>
      </c>
      <c r="P1662" s="415">
        <v>137237.1</v>
      </c>
      <c r="Q1662" s="481">
        <f t="shared" si="71"/>
        <v>-21157.34388</v>
      </c>
    </row>
    <row r="1663" spans="1:17" outlineLevel="2" x14ac:dyDescent="0.3">
      <c r="A1663" s="366" t="str">
        <f>IFERROR(VLOOKUP(RIGHT(E1663,3)+0,[1]SchLocTable!$A$2:$B$47,2,FALSE)," ")</f>
        <v>Tisdale</v>
      </c>
      <c r="B1663" s="366" t="str">
        <f>VLOOKUP(VALUE(D1663),$D$3:F$106,3,FALSE)</f>
        <v>Mathematics</v>
      </c>
      <c r="C1663" t="s">
        <v>314</v>
      </c>
      <c r="D1663">
        <v>816</v>
      </c>
      <c r="E1663" t="s">
        <v>675</v>
      </c>
      <c r="F1663" t="s">
        <v>321</v>
      </c>
      <c r="G1663" t="s">
        <v>319</v>
      </c>
      <c r="H1663" s="502">
        <v>52917</v>
      </c>
      <c r="I1663" s="415">
        <v>53288.927999999993</v>
      </c>
      <c r="J1663" s="415">
        <v>51681</v>
      </c>
      <c r="K1663" s="415">
        <v>39796.5</v>
      </c>
      <c r="L1663" s="415">
        <v>28076.37</v>
      </c>
      <c r="M1663" s="415">
        <v>37720.199999999997</v>
      </c>
      <c r="N1663" s="415">
        <v>24562.23</v>
      </c>
      <c r="O1663" s="415">
        <v>35723.699999999997</v>
      </c>
      <c r="P1663" s="415">
        <v>36630.720000000001</v>
      </c>
      <c r="Q1663" s="481">
        <f t="shared" ref="Q1663:Q1726" si="72">J1663-I1663</f>
        <v>-1607.9279999999926</v>
      </c>
    </row>
    <row r="1664" spans="1:17" outlineLevel="2" x14ac:dyDescent="0.3">
      <c r="A1664" s="366" t="str">
        <f>IFERROR(VLOOKUP(RIGHT(E1664,3)+0,[1]SchLocTable!$A$2:$B$47,2,FALSE)," ")</f>
        <v>Tisdale</v>
      </c>
      <c r="B1664" s="366" t="str">
        <f>VLOOKUP(VALUE(D1664),$D$3:F$106,3,FALSE)</f>
        <v>Mathematics</v>
      </c>
      <c r="C1664" t="s">
        <v>314</v>
      </c>
      <c r="D1664">
        <v>816</v>
      </c>
      <c r="E1664" t="s">
        <v>675</v>
      </c>
      <c r="F1664" t="s">
        <v>318</v>
      </c>
      <c r="G1664" t="s">
        <v>319</v>
      </c>
      <c r="H1664" s="502">
        <v>51140</v>
      </c>
      <c r="I1664" s="415">
        <v>900</v>
      </c>
      <c r="J1664" s="415">
        <v>0</v>
      </c>
      <c r="K1664" s="415">
        <v>900</v>
      </c>
      <c r="L1664" s="415">
        <v>900</v>
      </c>
      <c r="M1664" s="415">
        <v>0</v>
      </c>
      <c r="N1664" s="415">
        <v>0</v>
      </c>
      <c r="O1664" s="415">
        <v>0</v>
      </c>
      <c r="P1664" s="415">
        <v>0</v>
      </c>
      <c r="Q1664" s="481">
        <f t="shared" si="72"/>
        <v>-900</v>
      </c>
    </row>
    <row r="1665" spans="1:17" outlineLevel="2" x14ac:dyDescent="0.3">
      <c r="A1665" s="366" t="str">
        <f>IFERROR(VLOOKUP(RIGHT(E1665,3)+0,[1]SchLocTable!$A$2:$B$47,2,FALSE)," ")</f>
        <v>Tisdale</v>
      </c>
      <c r="B1665" s="366" t="str">
        <f>VLOOKUP(VALUE(D1665),$D$3:F$106,3,FALSE)</f>
        <v>Mathematics</v>
      </c>
      <c r="C1665" t="s">
        <v>314</v>
      </c>
      <c r="D1665">
        <v>816</v>
      </c>
      <c r="E1665" t="s">
        <v>675</v>
      </c>
      <c r="F1665" t="s">
        <v>320</v>
      </c>
      <c r="G1665" t="s">
        <v>319</v>
      </c>
      <c r="H1665" s="502">
        <v>52360</v>
      </c>
      <c r="I1665" s="415">
        <v>2757.8904862600002</v>
      </c>
      <c r="J1665" s="415">
        <v>2237</v>
      </c>
      <c r="K1665" s="415">
        <v>2174.58</v>
      </c>
      <c r="L1665" s="415">
        <v>1353.64</v>
      </c>
      <c r="M1665" s="415">
        <v>2202.4299999999998</v>
      </c>
      <c r="N1665" s="415">
        <v>1384.51</v>
      </c>
      <c r="O1665" s="415">
        <v>1885.96</v>
      </c>
      <c r="P1665" s="415">
        <v>1852.75</v>
      </c>
      <c r="Q1665" s="481">
        <f t="shared" si="72"/>
        <v>-520.89048626000022</v>
      </c>
    </row>
    <row r="1666" spans="1:17" outlineLevel="2" x14ac:dyDescent="0.3">
      <c r="A1666" s="366" t="str">
        <f>IFERROR(VLOOKUP(RIGHT(E1666,3)+0,[1]SchLocTable!$A$2:$B$47,2,FALSE)," ")</f>
        <v>Tisdale</v>
      </c>
      <c r="B1666" s="366" t="str">
        <f>VLOOKUP(VALUE(D1666),$D$3:F$106,3,FALSE)</f>
        <v>Mathematics</v>
      </c>
      <c r="C1666" t="s">
        <v>314</v>
      </c>
      <c r="D1666">
        <v>816</v>
      </c>
      <c r="E1666" t="s">
        <v>675</v>
      </c>
      <c r="F1666" t="s">
        <v>324</v>
      </c>
      <c r="G1666" t="s">
        <v>319</v>
      </c>
      <c r="H1666" s="502">
        <v>52385</v>
      </c>
      <c r="I1666" s="415">
        <v>0</v>
      </c>
      <c r="J1666" s="415">
        <v>0</v>
      </c>
      <c r="K1666" s="415">
        <v>98.19</v>
      </c>
      <c r="L1666" s="415">
        <v>0</v>
      </c>
      <c r="M1666" s="415">
        <v>0</v>
      </c>
      <c r="N1666" s="415">
        <v>0</v>
      </c>
      <c r="O1666" s="415">
        <v>0</v>
      </c>
      <c r="P1666" s="415">
        <v>0</v>
      </c>
      <c r="Q1666" s="481">
        <f t="shared" si="72"/>
        <v>0</v>
      </c>
    </row>
    <row r="1667" spans="1:17" outlineLevel="2" x14ac:dyDescent="0.3">
      <c r="A1667" s="366" t="str">
        <f>IFERROR(VLOOKUP(RIGHT(E1667,3)+0,[1]SchLocTable!$A$2:$B$47,2,FALSE)," ")</f>
        <v>Read</v>
      </c>
      <c r="B1667" s="366" t="str">
        <f>VLOOKUP(VALUE(D1667),$D$3:F$106,3,FALSE)</f>
        <v>Mathematics</v>
      </c>
      <c r="C1667" t="s">
        <v>314</v>
      </c>
      <c r="D1667">
        <v>816</v>
      </c>
      <c r="E1667" t="s">
        <v>676</v>
      </c>
      <c r="F1667" t="s">
        <v>316</v>
      </c>
      <c r="G1667">
        <v>2</v>
      </c>
      <c r="H1667" s="502">
        <v>51000</v>
      </c>
      <c r="I1667" s="415">
        <v>210686.46586</v>
      </c>
      <c r="J1667" s="415">
        <v>200463</v>
      </c>
      <c r="K1667" s="415">
        <v>196051.96</v>
      </c>
      <c r="L1667" s="415">
        <v>191738.04</v>
      </c>
      <c r="M1667" s="415">
        <v>188904.82</v>
      </c>
      <c r="N1667" s="415">
        <v>195097.76</v>
      </c>
      <c r="O1667" s="415">
        <v>192213.84</v>
      </c>
      <c r="P1667" s="415">
        <v>189187.96</v>
      </c>
      <c r="Q1667" s="481">
        <f t="shared" si="72"/>
        <v>-10223.465859999997</v>
      </c>
    </row>
    <row r="1668" spans="1:17" outlineLevel="2" x14ac:dyDescent="0.3">
      <c r="A1668" s="366" t="str">
        <f>IFERROR(VLOOKUP(RIGHT(E1668,3)+0,[1]SchLocTable!$A$2:$B$47,2,FALSE)," ")</f>
        <v>Read</v>
      </c>
      <c r="B1668" s="366" t="str">
        <f>VLOOKUP(VALUE(D1668),$D$3:F$106,3,FALSE)</f>
        <v>Mathematics</v>
      </c>
      <c r="C1668" t="s">
        <v>314</v>
      </c>
      <c r="D1668">
        <v>816</v>
      </c>
      <c r="E1668" t="s">
        <v>676</v>
      </c>
      <c r="F1668" t="s">
        <v>321</v>
      </c>
      <c r="G1668" t="s">
        <v>319</v>
      </c>
      <c r="H1668" s="502">
        <v>52917</v>
      </c>
      <c r="I1668" s="415">
        <v>83975.22</v>
      </c>
      <c r="J1668" s="415">
        <v>69979.350000000006</v>
      </c>
      <c r="K1668" s="415">
        <v>63553.98</v>
      </c>
      <c r="L1668" s="415">
        <v>62683.32</v>
      </c>
      <c r="M1668" s="415">
        <v>64898.400000000001</v>
      </c>
      <c r="N1668" s="415">
        <v>60617.34</v>
      </c>
      <c r="O1668" s="415">
        <v>58155</v>
      </c>
      <c r="P1668" s="415">
        <v>54770.1</v>
      </c>
      <c r="Q1668" s="481">
        <f t="shared" si="72"/>
        <v>-13995.869999999995</v>
      </c>
    </row>
    <row r="1669" spans="1:17" outlineLevel="2" x14ac:dyDescent="0.3">
      <c r="A1669" s="366" t="str">
        <f>IFERROR(VLOOKUP(RIGHT(E1669,3)+0,[1]SchLocTable!$A$2:$B$47,2,FALSE)," ")</f>
        <v>Read</v>
      </c>
      <c r="B1669" s="366" t="str">
        <f>VLOOKUP(VALUE(D1669),$D$3:F$106,3,FALSE)</f>
        <v>Mathematics</v>
      </c>
      <c r="C1669" t="s">
        <v>314</v>
      </c>
      <c r="D1669">
        <v>816</v>
      </c>
      <c r="E1669" t="s">
        <v>676</v>
      </c>
      <c r="F1669" t="s">
        <v>318</v>
      </c>
      <c r="G1669" t="s">
        <v>319</v>
      </c>
      <c r="H1669" s="502">
        <v>51140</v>
      </c>
      <c r="I1669" s="415">
        <v>1100</v>
      </c>
      <c r="J1669" s="415">
        <v>0</v>
      </c>
      <c r="K1669" s="415">
        <v>1100</v>
      </c>
      <c r="L1669" s="415">
        <v>1100</v>
      </c>
      <c r="M1669" s="415">
        <v>1100</v>
      </c>
      <c r="N1669" s="415">
        <v>2000</v>
      </c>
      <c r="O1669" s="415">
        <v>1800</v>
      </c>
      <c r="P1669" s="415">
        <v>1800</v>
      </c>
      <c r="Q1669" s="481">
        <f t="shared" si="72"/>
        <v>-1100</v>
      </c>
    </row>
    <row r="1670" spans="1:17" outlineLevel="2" x14ac:dyDescent="0.3">
      <c r="A1670" s="366" t="str">
        <f>IFERROR(VLOOKUP(RIGHT(E1670,3)+0,[1]SchLocTable!$A$2:$B$47,2,FALSE)," ")</f>
        <v>Read</v>
      </c>
      <c r="B1670" s="366" t="str">
        <f>VLOOKUP(VALUE(D1670),$D$3:F$106,3,FALSE)</f>
        <v>Mathematics</v>
      </c>
      <c r="C1670" t="s">
        <v>314</v>
      </c>
      <c r="D1670">
        <v>816</v>
      </c>
      <c r="E1670" t="s">
        <v>676</v>
      </c>
      <c r="F1670" t="s">
        <v>320</v>
      </c>
      <c r="G1670" t="s">
        <v>319</v>
      </c>
      <c r="H1670" s="502">
        <v>52360</v>
      </c>
      <c r="I1670" s="415">
        <v>3054.9537549700003</v>
      </c>
      <c r="J1670" s="415">
        <v>2543</v>
      </c>
      <c r="K1670" s="415">
        <v>2570.59</v>
      </c>
      <c r="L1670" s="415">
        <v>2520.9</v>
      </c>
      <c r="M1670" s="415">
        <v>2478.8000000000002</v>
      </c>
      <c r="N1670" s="415">
        <v>2621.2399999999998</v>
      </c>
      <c r="O1670" s="415">
        <v>2592.35</v>
      </c>
      <c r="P1670" s="415">
        <v>2564.2399999999998</v>
      </c>
      <c r="Q1670" s="481">
        <f t="shared" si="72"/>
        <v>-511.95375497000032</v>
      </c>
    </row>
    <row r="1671" spans="1:17" outlineLevel="2" x14ac:dyDescent="0.3">
      <c r="A1671" s="366" t="str">
        <f>IFERROR(VLOOKUP(RIGHT(E1671,3)+0,[1]SchLocTable!$A$2:$B$47,2,FALSE)," ")</f>
        <v>Roosevelt</v>
      </c>
      <c r="B1671" s="366" t="str">
        <f>VLOOKUP(VALUE(D1671),$D$3:F$106,3,FALSE)</f>
        <v>Mathematics</v>
      </c>
      <c r="C1671" t="s">
        <v>314</v>
      </c>
      <c r="D1671">
        <v>816</v>
      </c>
      <c r="E1671" t="s">
        <v>1302</v>
      </c>
      <c r="F1671" t="s">
        <v>316</v>
      </c>
      <c r="G1671">
        <v>1</v>
      </c>
      <c r="H1671" s="502">
        <v>51000</v>
      </c>
      <c r="I1671" s="415">
        <v>57068.322569999997</v>
      </c>
      <c r="J1671" s="415">
        <v>0</v>
      </c>
      <c r="K1671" s="415">
        <v>0</v>
      </c>
      <c r="L1671" s="415">
        <v>0</v>
      </c>
      <c r="M1671" s="415">
        <v>0</v>
      </c>
      <c r="N1671" s="415">
        <v>0</v>
      </c>
      <c r="O1671" s="415">
        <v>0</v>
      </c>
      <c r="P1671" s="415">
        <v>0</v>
      </c>
      <c r="Q1671" s="481">
        <f t="shared" si="72"/>
        <v>-57068.322569999997</v>
      </c>
    </row>
    <row r="1672" spans="1:17" outlineLevel="2" x14ac:dyDescent="0.3">
      <c r="A1672" s="366" t="str">
        <f>IFERROR(VLOOKUP(RIGHT(E1672,3)+0,[1]SchLocTable!$A$2:$B$47,2,FALSE)," ")</f>
        <v>Roosevelt</v>
      </c>
      <c r="B1672" s="366" t="str">
        <f>VLOOKUP(VALUE(D1672),$D$3:F$106,3,FALSE)</f>
        <v>Mathematics</v>
      </c>
      <c r="C1672" t="s">
        <v>314</v>
      </c>
      <c r="D1672">
        <v>816</v>
      </c>
      <c r="E1672" t="s">
        <v>1302</v>
      </c>
      <c r="F1672" t="s">
        <v>321</v>
      </c>
      <c r="G1672" t="s">
        <v>319</v>
      </c>
      <c r="H1672" s="502">
        <v>52917</v>
      </c>
      <c r="I1672" s="415">
        <v>15644.663999999999</v>
      </c>
      <c r="J1672" s="415">
        <v>0</v>
      </c>
      <c r="K1672" s="415">
        <v>0</v>
      </c>
      <c r="L1672" s="415">
        <v>0</v>
      </c>
      <c r="M1672" s="415">
        <v>0</v>
      </c>
      <c r="N1672" s="415">
        <v>0</v>
      </c>
      <c r="O1672" s="415">
        <v>0</v>
      </c>
      <c r="P1672" s="415">
        <v>0</v>
      </c>
      <c r="Q1672" s="481">
        <f t="shared" si="72"/>
        <v>-15644.663999999999</v>
      </c>
    </row>
    <row r="1673" spans="1:17" outlineLevel="1" x14ac:dyDescent="0.3">
      <c r="A1673" s="366" t="str">
        <f>IFERROR(VLOOKUP(RIGHT(E1673,3)+0,[1]SchLocTable!$A$2:$B$47,2,FALSE)," ")</f>
        <v>Roosevelt</v>
      </c>
      <c r="B1673" s="366" t="str">
        <f>VLOOKUP(VALUE(D1673),$D$3:F$106,3,FALSE)</f>
        <v>Mathematics</v>
      </c>
      <c r="C1673" t="s">
        <v>314</v>
      </c>
      <c r="D1673">
        <v>816</v>
      </c>
      <c r="E1673" t="s">
        <v>1302</v>
      </c>
      <c r="F1673" t="s">
        <v>320</v>
      </c>
      <c r="G1673" t="s">
        <v>319</v>
      </c>
      <c r="H1673" s="502">
        <v>52360</v>
      </c>
      <c r="I1673" s="415">
        <v>827.49067726500004</v>
      </c>
      <c r="J1673" s="415">
        <v>0</v>
      </c>
      <c r="K1673" s="415">
        <v>0</v>
      </c>
      <c r="L1673" s="415">
        <v>0</v>
      </c>
      <c r="M1673" s="415">
        <v>0</v>
      </c>
      <c r="N1673" s="415">
        <v>0</v>
      </c>
      <c r="O1673" s="415">
        <v>0</v>
      </c>
      <c r="P1673" s="415">
        <v>0</v>
      </c>
      <c r="Q1673" s="481">
        <f t="shared" si="72"/>
        <v>-827.49067726500004</v>
      </c>
    </row>
    <row r="1674" spans="1:17" outlineLevel="2" x14ac:dyDescent="0.3">
      <c r="A1674" s="366" t="str">
        <f>IFERROR(VLOOKUP(RIGHT(E1674,3)+0,[1]SchLocTable!$A$2:$B$47,2,FALSE)," ")</f>
        <v>Waltersville</v>
      </c>
      <c r="B1674" s="366" t="str">
        <f>VLOOKUP(VALUE(D1674),$D$3:F$106,3,FALSE)</f>
        <v>Mathematics</v>
      </c>
      <c r="C1674" t="s">
        <v>314</v>
      </c>
      <c r="D1674">
        <v>816</v>
      </c>
      <c r="E1674" t="s">
        <v>677</v>
      </c>
      <c r="F1674" t="s">
        <v>316</v>
      </c>
      <c r="G1674">
        <v>1</v>
      </c>
      <c r="H1674" s="502">
        <v>51000</v>
      </c>
      <c r="I1674" s="415">
        <v>79770.994589999988</v>
      </c>
      <c r="J1674" s="415">
        <v>0</v>
      </c>
      <c r="K1674" s="415">
        <v>19761.150000000001</v>
      </c>
      <c r="L1674" s="415">
        <v>100497.02</v>
      </c>
      <c r="M1674" s="415">
        <v>99011.9</v>
      </c>
      <c r="N1674" s="415">
        <v>93223</v>
      </c>
      <c r="O1674" s="415">
        <v>88897.12</v>
      </c>
      <c r="P1674" s="415">
        <v>85746.25</v>
      </c>
      <c r="Q1674" s="481">
        <f t="shared" si="72"/>
        <v>-79770.994589999988</v>
      </c>
    </row>
    <row r="1675" spans="1:17" outlineLevel="2" x14ac:dyDescent="0.3">
      <c r="A1675" s="366" t="str">
        <f>IFERROR(VLOOKUP(RIGHT(E1675,3)+0,[1]SchLocTable!$A$2:$B$47,2,FALSE)," ")</f>
        <v>Waltersville</v>
      </c>
      <c r="B1675" s="366" t="str">
        <f>VLOOKUP(VALUE(D1675),$D$3:F$106,3,FALSE)</f>
        <v>Mathematics</v>
      </c>
      <c r="C1675" t="s">
        <v>314</v>
      </c>
      <c r="D1675">
        <v>816</v>
      </c>
      <c r="E1675" t="s">
        <v>677</v>
      </c>
      <c r="F1675" t="s">
        <v>321</v>
      </c>
      <c r="G1675" t="s">
        <v>319</v>
      </c>
      <c r="H1675" s="502">
        <v>52917</v>
      </c>
      <c r="I1675" s="415">
        <v>46330.955999999998</v>
      </c>
      <c r="J1675" s="415">
        <v>0</v>
      </c>
      <c r="K1675" s="415">
        <v>2820</v>
      </c>
      <c r="L1675" s="415">
        <v>11684.82</v>
      </c>
      <c r="M1675" s="415">
        <v>10956.75</v>
      </c>
      <c r="N1675" s="415">
        <v>10232.879999999999</v>
      </c>
      <c r="O1675" s="415">
        <v>15635.63</v>
      </c>
      <c r="P1675" s="415">
        <v>9245.67</v>
      </c>
      <c r="Q1675" s="481">
        <f t="shared" si="72"/>
        <v>-46330.955999999998</v>
      </c>
    </row>
    <row r="1676" spans="1:17" outlineLevel="2" x14ac:dyDescent="0.3">
      <c r="A1676" s="366" t="str">
        <f>IFERROR(VLOOKUP(RIGHT(E1676,3)+0,[1]SchLocTable!$A$2:$B$47,2,FALSE)," ")</f>
        <v>Waltersville</v>
      </c>
      <c r="B1676" s="366" t="str">
        <f>VLOOKUP(VALUE(D1676),$D$3:F$106,3,FALSE)</f>
        <v>Mathematics</v>
      </c>
      <c r="C1676" t="s">
        <v>314</v>
      </c>
      <c r="D1676">
        <v>816</v>
      </c>
      <c r="E1676" t="s">
        <v>677</v>
      </c>
      <c r="F1676" t="s">
        <v>318</v>
      </c>
      <c r="G1676" t="s">
        <v>319</v>
      </c>
      <c r="H1676" s="502">
        <v>51140</v>
      </c>
      <c r="I1676" s="415">
        <v>0</v>
      </c>
      <c r="J1676" s="415">
        <v>0</v>
      </c>
      <c r="K1676" s="415">
        <v>0</v>
      </c>
      <c r="L1676" s="415">
        <v>1100</v>
      </c>
      <c r="M1676" s="415">
        <v>1100</v>
      </c>
      <c r="N1676" s="415">
        <v>1100</v>
      </c>
      <c r="O1676" s="415">
        <v>1100</v>
      </c>
      <c r="P1676" s="415">
        <v>0</v>
      </c>
      <c r="Q1676" s="481">
        <f t="shared" si="72"/>
        <v>0</v>
      </c>
    </row>
    <row r="1677" spans="1:17" outlineLevel="2" x14ac:dyDescent="0.3">
      <c r="A1677" s="366" t="str">
        <f>IFERROR(VLOOKUP(RIGHT(E1677,3)+0,[1]SchLocTable!$A$2:$B$47,2,FALSE)," ")</f>
        <v>Waltersville</v>
      </c>
      <c r="B1677" s="366" t="str">
        <f>VLOOKUP(VALUE(D1677),$D$3:F$106,3,FALSE)</f>
        <v>Mathematics</v>
      </c>
      <c r="C1677" t="s">
        <v>314</v>
      </c>
      <c r="D1677">
        <v>816</v>
      </c>
      <c r="E1677" t="s">
        <v>677</v>
      </c>
      <c r="F1677" t="s">
        <v>320</v>
      </c>
      <c r="G1677" t="s">
        <v>319</v>
      </c>
      <c r="H1677" s="502">
        <v>52360</v>
      </c>
      <c r="I1677" s="415">
        <v>1156.6794215549999</v>
      </c>
      <c r="J1677" s="415">
        <v>0</v>
      </c>
      <c r="K1677" s="415">
        <v>274.5</v>
      </c>
      <c r="L1677" s="415">
        <v>1424.78</v>
      </c>
      <c r="M1677" s="415">
        <v>1407.47</v>
      </c>
      <c r="N1677" s="415">
        <v>1327.74</v>
      </c>
      <c r="O1677" s="415">
        <v>1245.47</v>
      </c>
      <c r="P1677" s="415">
        <v>1210.6400000000001</v>
      </c>
      <c r="Q1677" s="481">
        <f t="shared" si="72"/>
        <v>-1156.6794215549999</v>
      </c>
    </row>
    <row r="1678" spans="1:17" outlineLevel="2" x14ac:dyDescent="0.3">
      <c r="A1678" s="366" t="str">
        <f>IFERROR(VLOOKUP(RIGHT(E1678,3)+0,[1]SchLocTable!$A$2:$B$47,2,FALSE)," ")</f>
        <v>Waltersville</v>
      </c>
      <c r="B1678" s="366" t="str">
        <f>VLOOKUP(VALUE(D1678),$D$3:F$106,3,FALSE)</f>
        <v>Mathematics</v>
      </c>
      <c r="C1678" t="s">
        <v>314</v>
      </c>
      <c r="D1678">
        <v>816</v>
      </c>
      <c r="E1678" t="s">
        <v>677</v>
      </c>
      <c r="F1678" t="s">
        <v>324</v>
      </c>
      <c r="G1678" t="s">
        <v>319</v>
      </c>
      <c r="H1678" s="502">
        <v>52385</v>
      </c>
      <c r="I1678" s="415">
        <v>0</v>
      </c>
      <c r="J1678" s="415">
        <v>0</v>
      </c>
      <c r="K1678" s="415">
        <v>0</v>
      </c>
      <c r="L1678" s="415">
        <v>0</v>
      </c>
      <c r="M1678" s="415">
        <v>0</v>
      </c>
      <c r="N1678" s="415">
        <v>0</v>
      </c>
      <c r="O1678" s="415">
        <v>0</v>
      </c>
      <c r="P1678" s="415">
        <v>0</v>
      </c>
      <c r="Q1678" s="481">
        <f t="shared" si="72"/>
        <v>0</v>
      </c>
    </row>
    <row r="1679" spans="1:17" outlineLevel="1" x14ac:dyDescent="0.3">
      <c r="A1679" s="366" t="str">
        <f>IFERROR(VLOOKUP(RIGHT(E1679,3)+0,[1]SchLocTable!$A$2:$B$47,2,FALSE)," ")</f>
        <v>Claytor</v>
      </c>
      <c r="B1679" s="366" t="str">
        <f>VLOOKUP(VALUE(D1679),$D$3:F$106,3,FALSE)</f>
        <v>Mathematics</v>
      </c>
      <c r="C1679" t="s">
        <v>314</v>
      </c>
      <c r="D1679">
        <v>816</v>
      </c>
      <c r="E1679" t="s">
        <v>678</v>
      </c>
      <c r="F1679" t="s">
        <v>316</v>
      </c>
      <c r="G1679">
        <v>1</v>
      </c>
      <c r="H1679" s="502">
        <v>51000</v>
      </c>
      <c r="I1679" s="415">
        <v>58894.908019999995</v>
      </c>
      <c r="J1679" s="415">
        <v>56037</v>
      </c>
      <c r="K1679" s="415">
        <v>54298.92</v>
      </c>
      <c r="L1679" s="415">
        <v>57346.12</v>
      </c>
      <c r="M1679" s="415">
        <v>54993.120000000003</v>
      </c>
      <c r="N1679" s="415">
        <v>52902.98</v>
      </c>
      <c r="O1679" s="415">
        <v>50535.94</v>
      </c>
      <c r="P1679" s="415">
        <v>49740.08</v>
      </c>
      <c r="Q1679" s="481">
        <f t="shared" si="72"/>
        <v>-2857.9080199999953</v>
      </c>
    </row>
    <row r="1680" spans="1:17" outlineLevel="2" x14ac:dyDescent="0.3">
      <c r="A1680" s="366" t="str">
        <f>IFERROR(VLOOKUP(RIGHT(E1680,3)+0,[1]SchLocTable!$A$2:$B$47,2,FALSE)," ")</f>
        <v>Claytor</v>
      </c>
      <c r="B1680" s="366" t="str">
        <f>VLOOKUP(VALUE(D1680),$D$3:F$106,3,FALSE)</f>
        <v>Mathematics</v>
      </c>
      <c r="C1680" t="s">
        <v>314</v>
      </c>
      <c r="D1680">
        <v>816</v>
      </c>
      <c r="E1680" t="s">
        <v>678</v>
      </c>
      <c r="F1680" t="s">
        <v>321</v>
      </c>
      <c r="G1680" t="s">
        <v>319</v>
      </c>
      <c r="H1680" s="502">
        <v>52917</v>
      </c>
      <c r="I1680" s="415">
        <v>15555.96</v>
      </c>
      <c r="J1680" s="415">
        <v>12963.3</v>
      </c>
      <c r="K1680" s="415">
        <v>11747.4</v>
      </c>
      <c r="L1680" s="415">
        <v>11629.17</v>
      </c>
      <c r="M1680" s="415">
        <v>10952.55</v>
      </c>
      <c r="N1680" s="415">
        <v>10177.23</v>
      </c>
      <c r="O1680" s="415">
        <v>5666.88</v>
      </c>
      <c r="P1680" s="415">
        <v>0</v>
      </c>
      <c r="Q1680" s="481">
        <f t="shared" si="72"/>
        <v>-2592.66</v>
      </c>
    </row>
    <row r="1681" spans="1:17" outlineLevel="2" x14ac:dyDescent="0.3">
      <c r="A1681" s="366" t="str">
        <f>IFERROR(VLOOKUP(RIGHT(E1681,3)+0,[1]SchLocTable!$A$2:$B$47,2,FALSE)," ")</f>
        <v>Claytor</v>
      </c>
      <c r="B1681" s="366" t="str">
        <f>VLOOKUP(VALUE(D1681),$D$3:F$106,3,FALSE)</f>
        <v>Mathematics</v>
      </c>
      <c r="C1681" t="s">
        <v>314</v>
      </c>
      <c r="D1681">
        <v>816</v>
      </c>
      <c r="E1681" t="s">
        <v>678</v>
      </c>
      <c r="F1681" t="s">
        <v>320</v>
      </c>
      <c r="G1681" t="s">
        <v>319</v>
      </c>
      <c r="H1681" s="502">
        <v>52360</v>
      </c>
      <c r="I1681" s="415">
        <v>853.97616628999992</v>
      </c>
      <c r="J1681" s="415">
        <v>742</v>
      </c>
      <c r="K1681" s="415">
        <v>737.03</v>
      </c>
      <c r="L1681" s="415">
        <v>783.27</v>
      </c>
      <c r="M1681" s="415">
        <v>753.25</v>
      </c>
      <c r="N1681" s="415">
        <v>727.29</v>
      </c>
      <c r="O1681" s="415">
        <v>711.25</v>
      </c>
      <c r="P1681" s="415">
        <v>721.23</v>
      </c>
      <c r="Q1681" s="481">
        <f t="shared" si="72"/>
        <v>-111.97616628999992</v>
      </c>
    </row>
    <row r="1682" spans="1:17" outlineLevel="2" x14ac:dyDescent="0.3">
      <c r="A1682" s="366" t="str">
        <f>IFERROR(VLOOKUP(RIGHT(E1682,3)+0,[1]SchLocTable!$A$2:$B$47,2,FALSE)," ")</f>
        <v>Johnson</v>
      </c>
      <c r="B1682" s="366" t="str">
        <f>VLOOKUP(VALUE(D1682),$D$3:F$106,3,FALSE)</f>
        <v>Mathematics</v>
      </c>
      <c r="C1682" t="s">
        <v>314</v>
      </c>
      <c r="D1682">
        <v>816</v>
      </c>
      <c r="E1682" t="s">
        <v>679</v>
      </c>
      <c r="F1682" t="s">
        <v>316</v>
      </c>
      <c r="G1682">
        <v>2</v>
      </c>
      <c r="H1682" s="502">
        <v>51000</v>
      </c>
      <c r="I1682" s="415">
        <v>210686.46586</v>
      </c>
      <c r="J1682" s="415">
        <v>200463</v>
      </c>
      <c r="K1682" s="415">
        <v>196051.96</v>
      </c>
      <c r="L1682" s="415">
        <v>191738.04</v>
      </c>
      <c r="M1682" s="415">
        <v>187597.54</v>
      </c>
      <c r="N1682" s="415">
        <v>181787.05</v>
      </c>
      <c r="O1682" s="415">
        <v>176152.08</v>
      </c>
      <c r="P1682" s="415">
        <v>173378.14</v>
      </c>
      <c r="Q1682" s="481">
        <f t="shared" si="72"/>
        <v>-10223.465859999997</v>
      </c>
    </row>
    <row r="1683" spans="1:17" outlineLevel="2" x14ac:dyDescent="0.3">
      <c r="A1683" s="366" t="str">
        <f>IFERROR(VLOOKUP(RIGHT(E1683,3)+0,[1]SchLocTable!$A$2:$B$47,2,FALSE)," ")</f>
        <v>Johnson</v>
      </c>
      <c r="B1683" s="366" t="str">
        <f>VLOOKUP(VALUE(D1683),$D$3:F$106,3,FALSE)</f>
        <v>Mathematics</v>
      </c>
      <c r="C1683" t="s">
        <v>314</v>
      </c>
      <c r="D1683">
        <v>816</v>
      </c>
      <c r="E1683" t="s">
        <v>679</v>
      </c>
      <c r="F1683" t="s">
        <v>321</v>
      </c>
      <c r="G1683" t="s">
        <v>319</v>
      </c>
      <c r="H1683" s="502">
        <v>52917</v>
      </c>
      <c r="I1683" s="415">
        <v>37644.263999999996</v>
      </c>
      <c r="J1683" s="415">
        <v>31370.22</v>
      </c>
      <c r="K1683" s="415">
        <v>41840.339999999997</v>
      </c>
      <c r="L1683" s="415">
        <v>62683.32</v>
      </c>
      <c r="M1683" s="415">
        <v>58784.67</v>
      </c>
      <c r="N1683" s="415">
        <v>54870.9</v>
      </c>
      <c r="O1683" s="415">
        <v>52658.57</v>
      </c>
      <c r="P1683" s="415">
        <v>51799.38</v>
      </c>
      <c r="Q1683" s="481">
        <f t="shared" si="72"/>
        <v>-6274.0439999999944</v>
      </c>
    </row>
    <row r="1684" spans="1:17" outlineLevel="2" x14ac:dyDescent="0.3">
      <c r="A1684" s="366" t="str">
        <f>IFERROR(VLOOKUP(RIGHT(E1684,3)+0,[1]SchLocTable!$A$2:$B$47,2,FALSE)," ")</f>
        <v>Johnson</v>
      </c>
      <c r="B1684" s="366" t="str">
        <f>VLOOKUP(VALUE(D1684),$D$3:F$106,3,FALSE)</f>
        <v>Mathematics</v>
      </c>
      <c r="C1684" t="s">
        <v>314</v>
      </c>
      <c r="D1684">
        <v>816</v>
      </c>
      <c r="E1684" t="s">
        <v>679</v>
      </c>
      <c r="F1684" t="s">
        <v>318</v>
      </c>
      <c r="G1684" t="s">
        <v>319</v>
      </c>
      <c r="H1684" s="502">
        <v>51140</v>
      </c>
      <c r="I1684" s="415">
        <v>900</v>
      </c>
      <c r="J1684" s="415">
        <v>0</v>
      </c>
      <c r="K1684" s="415">
        <v>900</v>
      </c>
      <c r="L1684" s="415">
        <v>900</v>
      </c>
      <c r="M1684" s="415">
        <v>900</v>
      </c>
      <c r="N1684" s="415">
        <v>900</v>
      </c>
      <c r="O1684" s="415">
        <v>0</v>
      </c>
      <c r="P1684" s="415">
        <v>0</v>
      </c>
      <c r="Q1684" s="481">
        <f t="shared" si="72"/>
        <v>-900</v>
      </c>
    </row>
    <row r="1685" spans="1:17" outlineLevel="2" x14ac:dyDescent="0.3">
      <c r="A1685" s="366" t="str">
        <f>IFERROR(VLOOKUP(RIGHT(E1685,3)+0,[1]SchLocTable!$A$2:$B$47,2,FALSE)," ")</f>
        <v>Johnson</v>
      </c>
      <c r="B1685" s="366" t="str">
        <f>VLOOKUP(VALUE(D1685),$D$3:F$106,3,FALSE)</f>
        <v>Mathematics</v>
      </c>
      <c r="C1685" t="s">
        <v>314</v>
      </c>
      <c r="D1685">
        <v>816</v>
      </c>
      <c r="E1685" t="s">
        <v>679</v>
      </c>
      <c r="F1685" t="s">
        <v>320</v>
      </c>
      <c r="G1685" t="s">
        <v>319</v>
      </c>
      <c r="H1685" s="502">
        <v>52360</v>
      </c>
      <c r="I1685" s="415">
        <v>3054.9537549700003</v>
      </c>
      <c r="J1685" s="415">
        <v>2750</v>
      </c>
      <c r="K1685" s="415">
        <v>2676.89</v>
      </c>
      <c r="L1685" s="415">
        <v>2533.33</v>
      </c>
      <c r="M1685" s="415">
        <v>2515.04</v>
      </c>
      <c r="N1685" s="415">
        <v>2434.41</v>
      </c>
      <c r="O1685" s="415">
        <v>2353.96</v>
      </c>
      <c r="P1685" s="415">
        <v>2319.7800000000002</v>
      </c>
      <c r="Q1685" s="481">
        <f t="shared" si="72"/>
        <v>-304.95375497000032</v>
      </c>
    </row>
    <row r="1686" spans="1:17" outlineLevel="1" x14ac:dyDescent="0.3">
      <c r="A1686" s="366" t="str">
        <f>IFERROR(VLOOKUP(RIGHT(E1686,3)+0,[1]SchLocTable!$A$2:$B$47,2,FALSE)," ")</f>
        <v>Winthrop</v>
      </c>
      <c r="B1686" s="366" t="str">
        <f>VLOOKUP(VALUE(D1686),$D$3:F$106,3,FALSE)</f>
        <v>Mathematics</v>
      </c>
      <c r="C1686" t="s">
        <v>314</v>
      </c>
      <c r="D1686">
        <v>816</v>
      </c>
      <c r="E1686" t="s">
        <v>680</v>
      </c>
      <c r="F1686" t="s">
        <v>316</v>
      </c>
      <c r="G1686">
        <v>1</v>
      </c>
      <c r="H1686" s="502">
        <v>51000</v>
      </c>
      <c r="I1686" s="415">
        <v>100258.00096</v>
      </c>
      <c r="J1686" s="415">
        <v>95393</v>
      </c>
      <c r="K1686" s="415">
        <v>93293.98</v>
      </c>
      <c r="L1686" s="415">
        <v>84561.1</v>
      </c>
      <c r="M1686" s="415">
        <v>179569</v>
      </c>
      <c r="N1686" s="415">
        <v>191345.88</v>
      </c>
      <c r="O1686" s="415">
        <v>153024.82</v>
      </c>
      <c r="P1686" s="415">
        <v>150615.92000000001</v>
      </c>
      <c r="Q1686" s="481">
        <f t="shared" si="72"/>
        <v>-4865.0009600000049</v>
      </c>
    </row>
    <row r="1687" spans="1:17" outlineLevel="2" x14ac:dyDescent="0.3">
      <c r="A1687" s="366" t="str">
        <f>IFERROR(VLOOKUP(RIGHT(E1687,3)+0,[1]SchLocTable!$A$2:$B$47,2,FALSE)," ")</f>
        <v>Winthrop</v>
      </c>
      <c r="B1687" s="366" t="str">
        <f>VLOOKUP(VALUE(D1687),$D$3:F$106,3,FALSE)</f>
        <v>Mathematics</v>
      </c>
      <c r="C1687" t="s">
        <v>314</v>
      </c>
      <c r="D1687">
        <v>816</v>
      </c>
      <c r="E1687" t="s">
        <v>680</v>
      </c>
      <c r="F1687" t="s">
        <v>321</v>
      </c>
      <c r="G1687" t="s">
        <v>319</v>
      </c>
      <c r="H1687" s="502">
        <v>52917</v>
      </c>
      <c r="I1687" s="415">
        <v>513.82799999999997</v>
      </c>
      <c r="J1687" s="415">
        <v>428.19</v>
      </c>
      <c r="K1687" s="415">
        <v>439.32</v>
      </c>
      <c r="L1687" s="415">
        <v>423.99</v>
      </c>
      <c r="M1687" s="415">
        <v>26759.46</v>
      </c>
      <c r="N1687" s="415">
        <v>53427.63</v>
      </c>
      <c r="O1687" s="415">
        <v>33313.279999999999</v>
      </c>
      <c r="P1687" s="415">
        <v>31339.98</v>
      </c>
      <c r="Q1687" s="481">
        <f t="shared" si="72"/>
        <v>-85.637999999999977</v>
      </c>
    </row>
    <row r="1688" spans="1:17" outlineLevel="2" x14ac:dyDescent="0.3">
      <c r="A1688" s="366" t="str">
        <f>IFERROR(VLOOKUP(RIGHT(E1688,3)+0,[1]SchLocTable!$A$2:$B$47,2,FALSE)," ")</f>
        <v>Winthrop</v>
      </c>
      <c r="B1688" s="366" t="str">
        <f>VLOOKUP(VALUE(D1688),$D$3:F$106,3,FALSE)</f>
        <v>Mathematics</v>
      </c>
      <c r="C1688" t="s">
        <v>314</v>
      </c>
      <c r="D1688">
        <v>816</v>
      </c>
      <c r="E1688" t="s">
        <v>680</v>
      </c>
      <c r="F1688" t="s">
        <v>318</v>
      </c>
      <c r="G1688" t="s">
        <v>319</v>
      </c>
      <c r="H1688" s="502">
        <v>51140</v>
      </c>
      <c r="I1688" s="415">
        <v>0</v>
      </c>
      <c r="J1688" s="415">
        <v>0</v>
      </c>
      <c r="K1688" s="415">
        <v>0</v>
      </c>
      <c r="L1688" s="415">
        <v>0</v>
      </c>
      <c r="M1688" s="415">
        <v>900</v>
      </c>
      <c r="N1688" s="415">
        <v>900</v>
      </c>
      <c r="O1688" s="415">
        <v>900</v>
      </c>
      <c r="P1688" s="415">
        <v>900</v>
      </c>
      <c r="Q1688" s="481">
        <f t="shared" si="72"/>
        <v>0</v>
      </c>
    </row>
    <row r="1689" spans="1:17" outlineLevel="2" x14ac:dyDescent="0.3">
      <c r="A1689" s="366" t="str">
        <f>IFERROR(VLOOKUP(RIGHT(E1689,3)+0,[1]SchLocTable!$A$2:$B$47,2,FALSE)," ")</f>
        <v>Winthrop</v>
      </c>
      <c r="B1689" s="366" t="str">
        <f>VLOOKUP(VALUE(D1689),$D$3:F$106,3,FALSE)</f>
        <v>Mathematics</v>
      </c>
      <c r="C1689" t="s">
        <v>314</v>
      </c>
      <c r="D1689">
        <v>816</v>
      </c>
      <c r="E1689" t="s">
        <v>680</v>
      </c>
      <c r="F1689" t="s">
        <v>320</v>
      </c>
      <c r="G1689" t="s">
        <v>319</v>
      </c>
      <c r="H1689" s="502">
        <v>52360</v>
      </c>
      <c r="I1689" s="415">
        <v>1453.7410139200001</v>
      </c>
      <c r="J1689" s="415">
        <v>1382</v>
      </c>
      <c r="K1689" s="415">
        <v>1351.6</v>
      </c>
      <c r="L1689" s="415">
        <v>1225.05</v>
      </c>
      <c r="M1689" s="415">
        <v>2509.33</v>
      </c>
      <c r="N1689" s="415">
        <v>2578.69</v>
      </c>
      <c r="O1689" s="415">
        <v>2105.04</v>
      </c>
      <c r="P1689" s="415">
        <v>2078.9899999999998</v>
      </c>
      <c r="Q1689" s="481">
        <f t="shared" si="72"/>
        <v>-71.741013920000114</v>
      </c>
    </row>
    <row r="1690" spans="1:17" outlineLevel="2" x14ac:dyDescent="0.3">
      <c r="A1690" s="366" t="str">
        <f>IFERROR(VLOOKUP(RIGHT(E1690,3)+0,[1]SchLocTable!$A$2:$B$47,2,FALSE)," ")</f>
        <v>Discovery</v>
      </c>
      <c r="B1690" s="366" t="str">
        <f>VLOOKUP(VALUE(D1690),$D$3:F$106,3,FALSE)</f>
        <v>Mathematics</v>
      </c>
      <c r="C1690" t="s">
        <v>314</v>
      </c>
      <c r="D1690">
        <v>816</v>
      </c>
      <c r="E1690" t="s">
        <v>681</v>
      </c>
      <c r="F1690" t="s">
        <v>316</v>
      </c>
      <c r="G1690">
        <v>2</v>
      </c>
      <c r="H1690" s="502">
        <v>51000</v>
      </c>
      <c r="I1690" s="415">
        <v>177662.99486000001</v>
      </c>
      <c r="J1690" s="415">
        <v>169042</v>
      </c>
      <c r="K1690" s="415">
        <v>161359.98000000001</v>
      </c>
      <c r="L1690" s="415">
        <v>100497.02</v>
      </c>
      <c r="M1690" s="415">
        <v>901.1</v>
      </c>
      <c r="N1690" s="415">
        <v>97548.88</v>
      </c>
      <c r="O1690" s="415">
        <v>96106.92</v>
      </c>
      <c r="P1690" s="415">
        <v>61593.98</v>
      </c>
      <c r="Q1690" s="481">
        <f t="shared" si="72"/>
        <v>-8620.9948600000062</v>
      </c>
    </row>
    <row r="1691" spans="1:17" outlineLevel="2" x14ac:dyDescent="0.3">
      <c r="A1691" s="366" t="str">
        <f>IFERROR(VLOOKUP(RIGHT(E1691,3)+0,[1]SchLocTable!$A$2:$B$47,2,FALSE)," ")</f>
        <v>Discovery</v>
      </c>
      <c r="B1691" s="366" t="str">
        <f>VLOOKUP(VALUE(D1691),$D$3:F$106,3,FALSE)</f>
        <v>Mathematics</v>
      </c>
      <c r="C1691" t="s">
        <v>314</v>
      </c>
      <c r="D1691">
        <v>816</v>
      </c>
      <c r="E1691" t="s">
        <v>681</v>
      </c>
      <c r="F1691" t="s">
        <v>321</v>
      </c>
      <c r="G1691" t="s">
        <v>319</v>
      </c>
      <c r="H1691" s="502">
        <v>52917</v>
      </c>
      <c r="I1691" s="415">
        <v>53288.927999999993</v>
      </c>
      <c r="J1691" s="415">
        <v>44407.44</v>
      </c>
      <c r="K1691" s="415">
        <v>39758.1</v>
      </c>
      <c r="L1691" s="415">
        <v>28076.37</v>
      </c>
      <c r="M1691" s="415">
        <v>2633.55</v>
      </c>
      <c r="N1691" s="415">
        <v>24562.23</v>
      </c>
      <c r="O1691" s="415">
        <v>23581.07</v>
      </c>
      <c r="P1691" s="415">
        <v>22186.29</v>
      </c>
      <c r="Q1691" s="481">
        <f t="shared" si="72"/>
        <v>-8881.4879999999903</v>
      </c>
    </row>
    <row r="1692" spans="1:17" outlineLevel="2" x14ac:dyDescent="0.3">
      <c r="A1692" s="366" t="str">
        <f>IFERROR(VLOOKUP(RIGHT(E1692,3)+0,[1]SchLocTable!$A$2:$B$47,2,FALSE)," ")</f>
        <v>Discovery</v>
      </c>
      <c r="B1692" s="366" t="str">
        <f>VLOOKUP(VALUE(D1692),$D$3:F$106,3,FALSE)</f>
        <v>Mathematics</v>
      </c>
      <c r="C1692" t="s">
        <v>314</v>
      </c>
      <c r="D1692">
        <v>816</v>
      </c>
      <c r="E1692" t="s">
        <v>681</v>
      </c>
      <c r="F1692" t="s">
        <v>318</v>
      </c>
      <c r="G1692" t="s">
        <v>319</v>
      </c>
      <c r="H1692" s="502">
        <v>51140</v>
      </c>
      <c r="I1692" s="415">
        <v>1200</v>
      </c>
      <c r="J1692" s="415">
        <v>0</v>
      </c>
      <c r="K1692" s="415">
        <v>1100</v>
      </c>
      <c r="L1692" s="415">
        <v>1100</v>
      </c>
      <c r="M1692" s="415">
        <v>1100</v>
      </c>
      <c r="N1692" s="415">
        <v>1100</v>
      </c>
      <c r="O1692" s="415">
        <v>1100</v>
      </c>
      <c r="P1692" s="415">
        <v>900</v>
      </c>
      <c r="Q1692" s="481">
        <f t="shared" si="72"/>
        <v>-1200</v>
      </c>
    </row>
    <row r="1693" spans="1:17" outlineLevel="2" x14ac:dyDescent="0.3">
      <c r="A1693" s="366" t="str">
        <f>IFERROR(VLOOKUP(RIGHT(E1693,3)+0,[1]SchLocTable!$A$2:$B$47,2,FALSE)," ")</f>
        <v>Discovery</v>
      </c>
      <c r="B1693" s="366" t="str">
        <f>VLOOKUP(VALUE(D1693),$D$3:F$106,3,FALSE)</f>
        <v>Mathematics</v>
      </c>
      <c r="C1693" t="s">
        <v>314</v>
      </c>
      <c r="D1693">
        <v>816</v>
      </c>
      <c r="E1693" t="s">
        <v>681</v>
      </c>
      <c r="F1693" t="s">
        <v>320</v>
      </c>
      <c r="G1693" t="s">
        <v>319</v>
      </c>
      <c r="H1693" s="502">
        <v>52360</v>
      </c>
      <c r="I1693" s="415">
        <v>2576.11342547</v>
      </c>
      <c r="J1693" s="415">
        <v>2228</v>
      </c>
      <c r="K1693" s="415">
        <v>2185.63</v>
      </c>
      <c r="L1693" s="415">
        <v>1356.55</v>
      </c>
      <c r="M1693" s="415">
        <v>53.13</v>
      </c>
      <c r="N1693" s="415">
        <v>1334.21</v>
      </c>
      <c r="O1693" s="415">
        <v>1319.71</v>
      </c>
      <c r="P1693" s="415">
        <v>1301.17</v>
      </c>
      <c r="Q1693" s="481">
        <f t="shared" si="72"/>
        <v>-348.11342547000004</v>
      </c>
    </row>
    <row r="1694" spans="1:17" outlineLevel="2" x14ac:dyDescent="0.3">
      <c r="A1694" s="366" t="str">
        <f>IFERROR(VLOOKUP(RIGHT(E1694,3)+0,[1]SchLocTable!$A$2:$B$47,2,FALSE)," ")</f>
        <v>Cross</v>
      </c>
      <c r="B1694" s="366" t="str">
        <f>VLOOKUP(VALUE(D1694),$D$3:F$106,3,FALSE)</f>
        <v>Mathematics</v>
      </c>
      <c r="C1694" t="s">
        <v>314</v>
      </c>
      <c r="D1694">
        <v>816</v>
      </c>
      <c r="E1694" t="s">
        <v>682</v>
      </c>
      <c r="F1694" t="s">
        <v>316</v>
      </c>
      <c r="G1694">
        <v>1</v>
      </c>
      <c r="H1694" s="502">
        <v>51000</v>
      </c>
      <c r="I1694" s="415">
        <v>67275</v>
      </c>
      <c r="J1694" s="415">
        <v>0</v>
      </c>
      <c r="K1694" s="415">
        <v>43000</v>
      </c>
      <c r="L1694" s="415">
        <v>49908.92</v>
      </c>
      <c r="M1694" s="415">
        <v>29031.3</v>
      </c>
      <c r="N1694" s="415">
        <v>5400</v>
      </c>
      <c r="O1694" s="415">
        <v>84205.72</v>
      </c>
      <c r="P1694" s="415">
        <v>85881.12</v>
      </c>
      <c r="Q1694" s="481">
        <f t="shared" si="72"/>
        <v>-67275</v>
      </c>
    </row>
    <row r="1695" spans="1:17" outlineLevel="2" x14ac:dyDescent="0.3">
      <c r="A1695" s="366" t="str">
        <f>IFERROR(VLOOKUP(RIGHT(E1695,3)+0,[1]SchLocTable!$A$2:$B$47,2,FALSE)," ")</f>
        <v>Cross</v>
      </c>
      <c r="B1695" s="366" t="str">
        <f>VLOOKUP(VALUE(D1695),$D$3:F$106,3,FALSE)</f>
        <v>Mathematics</v>
      </c>
      <c r="C1695" t="s">
        <v>314</v>
      </c>
      <c r="D1695">
        <v>816</v>
      </c>
      <c r="E1695" t="s">
        <v>682</v>
      </c>
      <c r="F1695" t="s">
        <v>321</v>
      </c>
      <c r="G1695" t="s">
        <v>319</v>
      </c>
      <c r="H1695" s="502">
        <v>52917</v>
      </c>
      <c r="I1695" s="415">
        <v>19369.583999999995</v>
      </c>
      <c r="J1695" s="415">
        <v>0</v>
      </c>
      <c r="K1695" s="415">
        <v>444.18</v>
      </c>
      <c r="L1695" s="415">
        <v>464.37</v>
      </c>
      <c r="M1695" s="415">
        <v>201.9</v>
      </c>
      <c r="N1695" s="415">
        <v>974.56</v>
      </c>
      <c r="O1695" s="415">
        <v>10241.67</v>
      </c>
      <c r="P1695" s="415">
        <v>9693.6</v>
      </c>
      <c r="Q1695" s="481">
        <f t="shared" si="72"/>
        <v>-19369.583999999995</v>
      </c>
    </row>
    <row r="1696" spans="1:17" outlineLevel="2" x14ac:dyDescent="0.3">
      <c r="A1696" s="366" t="str">
        <f>IFERROR(VLOOKUP(RIGHT(E1696,3)+0,[1]SchLocTable!$A$2:$B$47,2,FALSE)," ")</f>
        <v>Cross</v>
      </c>
      <c r="B1696" s="366" t="str">
        <f>VLOOKUP(VALUE(D1696),$D$3:F$106,3,FALSE)</f>
        <v>Mathematics</v>
      </c>
      <c r="C1696" t="s">
        <v>314</v>
      </c>
      <c r="D1696">
        <v>816</v>
      </c>
      <c r="E1696" t="s">
        <v>682</v>
      </c>
      <c r="F1696" t="s">
        <v>320</v>
      </c>
      <c r="G1696" t="s">
        <v>319</v>
      </c>
      <c r="H1696" s="502">
        <v>52360</v>
      </c>
      <c r="I1696" s="415">
        <v>975.48750000000007</v>
      </c>
      <c r="J1696" s="415">
        <v>0</v>
      </c>
      <c r="K1696" s="415">
        <v>604.02</v>
      </c>
      <c r="L1696" s="415">
        <v>707.61</v>
      </c>
      <c r="M1696" s="415">
        <v>420.44</v>
      </c>
      <c r="N1696" s="415">
        <v>74.489999999999995</v>
      </c>
      <c r="O1696" s="415">
        <v>1198.55</v>
      </c>
      <c r="P1696" s="415">
        <v>1225.8800000000001</v>
      </c>
      <c r="Q1696" s="481">
        <f t="shared" si="72"/>
        <v>-975.48750000000007</v>
      </c>
    </row>
    <row r="1697" spans="1:17" outlineLevel="2" x14ac:dyDescent="0.3">
      <c r="A1697" s="366" t="str">
        <f>IFERROR(VLOOKUP(RIGHT(E1697,3)+0,[1]SchLocTable!$A$2:$B$47,2,FALSE)," ")</f>
        <v>Cross</v>
      </c>
      <c r="B1697" s="366" t="str">
        <f>VLOOKUP(VALUE(D1697),$D$3:F$106,3,FALSE)</f>
        <v>Mathematics</v>
      </c>
      <c r="C1697" t="s">
        <v>314</v>
      </c>
      <c r="D1697">
        <v>816</v>
      </c>
      <c r="E1697" t="s">
        <v>682</v>
      </c>
      <c r="F1697" t="s">
        <v>324</v>
      </c>
      <c r="G1697" t="s">
        <v>319</v>
      </c>
      <c r="H1697" s="502">
        <v>52385</v>
      </c>
      <c r="I1697" s="415">
        <v>7494.37</v>
      </c>
      <c r="J1697" s="415">
        <v>0</v>
      </c>
      <c r="K1697" s="415">
        <v>2582.73</v>
      </c>
      <c r="L1697" s="415">
        <v>964.31</v>
      </c>
      <c r="M1697" s="415">
        <v>0</v>
      </c>
      <c r="N1697" s="415">
        <v>318.52999999999997</v>
      </c>
      <c r="O1697" s="415">
        <v>0</v>
      </c>
      <c r="P1697" s="415">
        <v>0</v>
      </c>
      <c r="Q1697" s="481">
        <f t="shared" si="72"/>
        <v>-7494.37</v>
      </c>
    </row>
    <row r="1698" spans="1:17" outlineLevel="2" x14ac:dyDescent="0.3">
      <c r="A1698" s="366" t="str">
        <f>IFERROR(VLOOKUP(RIGHT(E1698,3)+0,[1]SchLocTable!$A$2:$B$47,2,FALSE)," ")</f>
        <v>Blackham</v>
      </c>
      <c r="B1698" s="366" t="str">
        <f>VLOOKUP(VALUE(D1698),$D$3:F$106,3,FALSE)</f>
        <v>Mathematics</v>
      </c>
      <c r="C1698" t="s">
        <v>314</v>
      </c>
      <c r="D1698">
        <v>816</v>
      </c>
      <c r="E1698" t="s">
        <v>683</v>
      </c>
      <c r="F1698" t="s">
        <v>316</v>
      </c>
      <c r="G1698">
        <v>3</v>
      </c>
      <c r="H1698" s="502">
        <v>51000</v>
      </c>
      <c r="I1698" s="415">
        <v>236038.58276000002</v>
      </c>
      <c r="J1698" s="415">
        <v>227618.51</v>
      </c>
      <c r="K1698" s="415">
        <v>251995.31</v>
      </c>
      <c r="L1698" s="415">
        <v>236075.06</v>
      </c>
      <c r="M1698" s="415">
        <v>231080.98</v>
      </c>
      <c r="N1698" s="415">
        <v>225266.87</v>
      </c>
      <c r="O1698" s="415">
        <v>221055.63</v>
      </c>
      <c r="P1698" s="415">
        <v>217971</v>
      </c>
      <c r="Q1698" s="481">
        <f t="shared" si="72"/>
        <v>-8420.07276000001</v>
      </c>
    </row>
    <row r="1699" spans="1:17" outlineLevel="2" x14ac:dyDescent="0.3">
      <c r="A1699" s="366" t="str">
        <f>IFERROR(VLOOKUP(RIGHT(E1699,3)+0,[1]SchLocTable!$A$2:$B$47,2,FALSE)," ")</f>
        <v>Blackham</v>
      </c>
      <c r="B1699" s="366" t="str">
        <f>VLOOKUP(VALUE(D1699),$D$3:F$106,3,FALSE)</f>
        <v>Mathematics</v>
      </c>
      <c r="C1699" t="s">
        <v>314</v>
      </c>
      <c r="D1699">
        <v>816</v>
      </c>
      <c r="E1699" t="s">
        <v>683</v>
      </c>
      <c r="F1699" t="s">
        <v>321</v>
      </c>
      <c r="G1699" t="s">
        <v>319</v>
      </c>
      <c r="H1699" s="502">
        <v>52917</v>
      </c>
      <c r="I1699" s="415">
        <v>31289.327999999998</v>
      </c>
      <c r="J1699" s="415">
        <v>26074.44</v>
      </c>
      <c r="K1699" s="415">
        <v>58763.88</v>
      </c>
      <c r="L1699" s="415">
        <v>57976.59</v>
      </c>
      <c r="M1699" s="415">
        <v>54362.7</v>
      </c>
      <c r="N1699" s="415">
        <v>50774.43</v>
      </c>
      <c r="O1699" s="415">
        <v>48712.86</v>
      </c>
      <c r="P1699" s="415">
        <v>45876.39</v>
      </c>
      <c r="Q1699" s="481">
        <f t="shared" si="72"/>
        <v>-5214.887999999999</v>
      </c>
    </row>
    <row r="1700" spans="1:17" outlineLevel="2" x14ac:dyDescent="0.3">
      <c r="A1700" s="366" t="str">
        <f>IFERROR(VLOOKUP(RIGHT(E1700,3)+0,[1]SchLocTable!$A$2:$B$47,2,FALSE)," ")</f>
        <v>Blackham</v>
      </c>
      <c r="B1700" s="366" t="str">
        <f>VLOOKUP(VALUE(D1700),$D$3:F$106,3,FALSE)</f>
        <v>Mathematics</v>
      </c>
      <c r="C1700" t="s">
        <v>314</v>
      </c>
      <c r="D1700">
        <v>816</v>
      </c>
      <c r="E1700" t="s">
        <v>683</v>
      </c>
      <c r="F1700" t="s">
        <v>318</v>
      </c>
      <c r="G1700" t="s">
        <v>319</v>
      </c>
      <c r="H1700" s="502">
        <v>51140</v>
      </c>
      <c r="I1700" s="415">
        <v>2200</v>
      </c>
      <c r="J1700" s="415">
        <v>1300</v>
      </c>
      <c r="K1700" s="415">
        <v>2200</v>
      </c>
      <c r="L1700" s="415">
        <v>2200</v>
      </c>
      <c r="M1700" s="415">
        <v>1200</v>
      </c>
      <c r="N1700" s="415">
        <v>1200</v>
      </c>
      <c r="O1700" s="415">
        <v>1200</v>
      </c>
      <c r="P1700" s="415">
        <v>1200</v>
      </c>
      <c r="Q1700" s="481">
        <f t="shared" si="72"/>
        <v>-900</v>
      </c>
    </row>
    <row r="1701" spans="1:17" outlineLevel="2" x14ac:dyDescent="0.3">
      <c r="A1701" s="366" t="str">
        <f>IFERROR(VLOOKUP(RIGHT(E1701,3)+0,[1]SchLocTable!$A$2:$B$47,2,FALSE)," ")</f>
        <v>Blackham</v>
      </c>
      <c r="B1701" s="366" t="str">
        <f>VLOOKUP(VALUE(D1701),$D$3:F$106,3,FALSE)</f>
        <v>Mathematics</v>
      </c>
      <c r="C1701" t="s">
        <v>314</v>
      </c>
      <c r="D1701">
        <v>816</v>
      </c>
      <c r="E1701" t="s">
        <v>683</v>
      </c>
      <c r="F1701" t="s">
        <v>320</v>
      </c>
      <c r="G1701" t="s">
        <v>319</v>
      </c>
      <c r="H1701" s="502">
        <v>52360</v>
      </c>
      <c r="I1701" s="415">
        <v>3422.55945002</v>
      </c>
      <c r="J1701" s="415">
        <v>2323</v>
      </c>
      <c r="K1701" s="415">
        <v>2285.62</v>
      </c>
      <c r="L1701" s="415">
        <v>2204.98</v>
      </c>
      <c r="M1701" s="415">
        <v>2144.75</v>
      </c>
      <c r="N1701" s="415">
        <v>2101.69</v>
      </c>
      <c r="O1701" s="415">
        <v>2051.71</v>
      </c>
      <c r="P1701" s="415">
        <v>2023.62</v>
      </c>
      <c r="Q1701" s="481">
        <f t="shared" si="72"/>
        <v>-1099.55945002</v>
      </c>
    </row>
    <row r="1702" spans="1:17" outlineLevel="2" x14ac:dyDescent="0.3">
      <c r="A1702" s="366" t="str">
        <f>IFERROR(VLOOKUP(RIGHT(E1702,3)+0,[1]SchLocTable!$A$2:$B$47,2,FALSE)," ")</f>
        <v>Blackham</v>
      </c>
      <c r="B1702" s="366" t="str">
        <f>VLOOKUP(VALUE(D1702),$D$3:F$106,3,FALSE)</f>
        <v>Mathematics</v>
      </c>
      <c r="C1702" t="s">
        <v>314</v>
      </c>
      <c r="D1702">
        <v>816</v>
      </c>
      <c r="E1702" t="s">
        <v>683</v>
      </c>
      <c r="F1702" t="s">
        <v>324</v>
      </c>
      <c r="G1702" t="s">
        <v>319</v>
      </c>
      <c r="H1702" s="502">
        <v>52385</v>
      </c>
      <c r="I1702" s="415">
        <v>0</v>
      </c>
      <c r="J1702" s="415">
        <v>0</v>
      </c>
      <c r="K1702" s="415">
        <v>0</v>
      </c>
      <c r="L1702" s="415">
        <v>0</v>
      </c>
      <c r="M1702" s="415">
        <v>0</v>
      </c>
      <c r="N1702" s="415">
        <v>0</v>
      </c>
      <c r="O1702" s="415">
        <v>0</v>
      </c>
      <c r="P1702" s="415">
        <v>0</v>
      </c>
      <c r="Q1702" s="481">
        <f t="shared" si="72"/>
        <v>0</v>
      </c>
    </row>
    <row r="1703" spans="1:17" outlineLevel="2" x14ac:dyDescent="0.3">
      <c r="A1703" s="366" t="str">
        <f>IFERROR(VLOOKUP(RIGHT(E1703,3)+0,[1]SchLocTable!$A$2:$B$47,2,FALSE)," ")</f>
        <v>Dunbar</v>
      </c>
      <c r="B1703" s="366" t="str">
        <f>VLOOKUP(VALUE(D1703),$D$3:F$106,3,FALSE)</f>
        <v>Mathematics</v>
      </c>
      <c r="C1703" t="s">
        <v>314</v>
      </c>
      <c r="D1703">
        <v>816</v>
      </c>
      <c r="E1703" t="s">
        <v>684</v>
      </c>
      <c r="F1703" t="s">
        <v>316</v>
      </c>
      <c r="G1703">
        <v>1</v>
      </c>
      <c r="H1703" s="502">
        <v>51000</v>
      </c>
      <c r="I1703" s="415">
        <v>100258.00096</v>
      </c>
      <c r="J1703" s="415">
        <v>95393</v>
      </c>
      <c r="K1703" s="415">
        <v>93293.98</v>
      </c>
      <c r="L1703" s="415">
        <v>91241.02</v>
      </c>
      <c r="M1703" s="415">
        <v>89892.92</v>
      </c>
      <c r="N1703" s="415">
        <v>88764.06</v>
      </c>
      <c r="O1703" s="415">
        <v>60343.08</v>
      </c>
      <c r="P1703" s="415">
        <v>32220</v>
      </c>
      <c r="Q1703" s="481">
        <f t="shared" si="72"/>
        <v>-4865.0009600000049</v>
      </c>
    </row>
    <row r="1704" spans="1:17" outlineLevel="2" x14ac:dyDescent="0.3">
      <c r="A1704" s="366" t="str">
        <f>IFERROR(VLOOKUP(RIGHT(E1704,3)+0,[1]SchLocTable!$A$2:$B$47,2,FALSE)," ")</f>
        <v>Dunbar</v>
      </c>
      <c r="B1704" s="366" t="str">
        <f>VLOOKUP(VALUE(D1704),$D$3:F$106,3,FALSE)</f>
        <v>Mathematics</v>
      </c>
      <c r="C1704" t="s">
        <v>314</v>
      </c>
      <c r="D1704">
        <v>816</v>
      </c>
      <c r="E1704" t="s">
        <v>684</v>
      </c>
      <c r="F1704" t="s">
        <v>321</v>
      </c>
      <c r="G1704" t="s">
        <v>319</v>
      </c>
      <c r="H1704" s="502">
        <v>52917</v>
      </c>
      <c r="I1704" s="415">
        <v>16158.239999999998</v>
      </c>
      <c r="J1704" s="415">
        <v>13465.2</v>
      </c>
      <c r="K1704" s="415">
        <v>12283.32</v>
      </c>
      <c r="L1704" s="415">
        <v>12164.67</v>
      </c>
      <c r="M1704" s="415">
        <v>11384.73</v>
      </c>
      <c r="N1704" s="415">
        <v>10712.73</v>
      </c>
      <c r="O1704" s="415">
        <v>28822.34</v>
      </c>
      <c r="P1704" s="415">
        <v>9182.4599999999991</v>
      </c>
      <c r="Q1704" s="481">
        <f t="shared" si="72"/>
        <v>-2693.0399999999972</v>
      </c>
    </row>
    <row r="1705" spans="1:17" outlineLevel="2" x14ac:dyDescent="0.3">
      <c r="A1705" s="366" t="str">
        <f>IFERROR(VLOOKUP(RIGHT(E1705,3)+0,[1]SchLocTable!$A$2:$B$47,2,FALSE)," ")</f>
        <v>Dunbar</v>
      </c>
      <c r="B1705" s="366" t="str">
        <f>VLOOKUP(VALUE(D1705),$D$3:F$106,3,FALSE)</f>
        <v>Mathematics</v>
      </c>
      <c r="C1705" t="s">
        <v>314</v>
      </c>
      <c r="D1705">
        <v>816</v>
      </c>
      <c r="E1705" t="s">
        <v>684</v>
      </c>
      <c r="F1705" t="s">
        <v>318</v>
      </c>
      <c r="G1705" t="s">
        <v>319</v>
      </c>
      <c r="H1705" s="502">
        <v>51140</v>
      </c>
      <c r="I1705" s="415">
        <v>1200</v>
      </c>
      <c r="J1705" s="415">
        <v>0</v>
      </c>
      <c r="K1705" s="415">
        <v>1200</v>
      </c>
      <c r="L1705" s="415">
        <v>1200</v>
      </c>
      <c r="M1705" s="415">
        <v>1100</v>
      </c>
      <c r="N1705" s="415">
        <v>1100</v>
      </c>
      <c r="O1705" s="415">
        <v>0</v>
      </c>
      <c r="P1705" s="415">
        <v>0</v>
      </c>
      <c r="Q1705" s="481">
        <f t="shared" si="72"/>
        <v>-1200</v>
      </c>
    </row>
    <row r="1706" spans="1:17" outlineLevel="2" x14ac:dyDescent="0.3">
      <c r="A1706" s="366" t="str">
        <f>IFERROR(VLOOKUP(RIGHT(E1706,3)+0,[1]SchLocTable!$A$2:$B$47,2,FALSE)," ")</f>
        <v>Dunbar</v>
      </c>
      <c r="B1706" s="366" t="str">
        <f>VLOOKUP(VALUE(D1706),$D$3:F$106,3,FALSE)</f>
        <v>Mathematics</v>
      </c>
      <c r="C1706" t="s">
        <v>314</v>
      </c>
      <c r="D1706">
        <v>816</v>
      </c>
      <c r="E1706" t="s">
        <v>684</v>
      </c>
      <c r="F1706" t="s">
        <v>320</v>
      </c>
      <c r="G1706" t="s">
        <v>319</v>
      </c>
      <c r="H1706" s="502">
        <v>52360</v>
      </c>
      <c r="I1706" s="415">
        <v>1453.7410139200001</v>
      </c>
      <c r="J1706" s="415">
        <v>1329</v>
      </c>
      <c r="K1706" s="415">
        <v>1318.43</v>
      </c>
      <c r="L1706" s="415">
        <v>1290.77</v>
      </c>
      <c r="M1706" s="415">
        <v>1274.1500000000001</v>
      </c>
      <c r="N1706" s="415">
        <v>1261.8399999999999</v>
      </c>
      <c r="O1706" s="415">
        <v>765.23</v>
      </c>
      <c r="P1706" s="415">
        <v>432.66</v>
      </c>
      <c r="Q1706" s="481">
        <f t="shared" si="72"/>
        <v>-124.74101392000011</v>
      </c>
    </row>
    <row r="1707" spans="1:17" outlineLevel="2" x14ac:dyDescent="0.3">
      <c r="A1707" s="366" t="str">
        <f>IFERROR(VLOOKUP(RIGHT(E1707,3)+0,[1]SchLocTable!$A$2:$B$47,2,FALSE)," ")</f>
        <v>Curiale</v>
      </c>
      <c r="B1707" s="366" t="str">
        <f>VLOOKUP(VALUE(D1707),$D$3:F$106,3,FALSE)</f>
        <v>Mathematics</v>
      </c>
      <c r="C1707" t="s">
        <v>314</v>
      </c>
      <c r="D1707">
        <v>816</v>
      </c>
      <c r="E1707" t="s">
        <v>685</v>
      </c>
      <c r="F1707" t="s">
        <v>316</v>
      </c>
      <c r="G1707" t="s">
        <v>319</v>
      </c>
      <c r="H1707" s="502">
        <v>51000</v>
      </c>
      <c r="I1707" s="415">
        <v>80000</v>
      </c>
      <c r="J1707" s="415">
        <v>0</v>
      </c>
      <c r="K1707" s="415">
        <v>58228.46</v>
      </c>
      <c r="L1707" s="415">
        <v>55140.5</v>
      </c>
      <c r="M1707" s="415">
        <v>54993.120000000003</v>
      </c>
      <c r="N1707" s="415">
        <v>52902.98</v>
      </c>
      <c r="O1707" s="415">
        <v>50535.94</v>
      </c>
      <c r="P1707" s="415">
        <v>76988.94</v>
      </c>
      <c r="Q1707" s="481">
        <f t="shared" si="72"/>
        <v>-80000</v>
      </c>
    </row>
    <row r="1708" spans="1:17" outlineLevel="2" x14ac:dyDescent="0.3">
      <c r="A1708" s="366" t="str">
        <f>IFERROR(VLOOKUP(RIGHT(E1708,3)+0,[1]SchLocTable!$A$2:$B$47,2,FALSE)," ")</f>
        <v>Curiale</v>
      </c>
      <c r="B1708" s="366" t="str">
        <f>VLOOKUP(VALUE(D1708),$D$3:F$106,3,FALSE)</f>
        <v>Mathematics</v>
      </c>
      <c r="C1708" t="s">
        <v>314</v>
      </c>
      <c r="D1708">
        <v>816</v>
      </c>
      <c r="E1708" t="s">
        <v>685</v>
      </c>
      <c r="F1708" t="s">
        <v>320</v>
      </c>
      <c r="G1708" t="s">
        <v>319</v>
      </c>
      <c r="H1708" s="502">
        <v>52360</v>
      </c>
      <c r="I1708" s="415">
        <v>1160</v>
      </c>
      <c r="J1708" s="415">
        <v>0</v>
      </c>
      <c r="K1708" s="415">
        <v>844.31</v>
      </c>
      <c r="L1708" s="415">
        <v>799.53</v>
      </c>
      <c r="M1708" s="415">
        <v>797.4</v>
      </c>
      <c r="N1708" s="415">
        <v>767.08</v>
      </c>
      <c r="O1708" s="415">
        <v>732.78</v>
      </c>
      <c r="P1708" s="415">
        <v>1110.6500000000001</v>
      </c>
      <c r="Q1708" s="481">
        <f t="shared" si="72"/>
        <v>-1160</v>
      </c>
    </row>
    <row r="1709" spans="1:17" outlineLevel="2" x14ac:dyDescent="0.3">
      <c r="A1709" s="366" t="str">
        <f>IFERROR(VLOOKUP(RIGHT(E1709,3)+0,[1]SchLocTable!$A$2:$B$47,2,FALSE)," ")</f>
        <v>High Horizons Magnet</v>
      </c>
      <c r="B1709" s="366" t="str">
        <f>VLOOKUP(VALUE(D1709),$D$3:F$106,3,FALSE)</f>
        <v>Mathematics</v>
      </c>
      <c r="C1709" t="s">
        <v>314</v>
      </c>
      <c r="D1709">
        <v>816</v>
      </c>
      <c r="E1709" t="s">
        <v>686</v>
      </c>
      <c r="F1709" t="s">
        <v>316</v>
      </c>
      <c r="G1709">
        <v>1</v>
      </c>
      <c r="H1709" s="502">
        <v>51000</v>
      </c>
      <c r="I1709" s="415">
        <v>73593.016900000002</v>
      </c>
      <c r="J1709" s="415">
        <v>70022</v>
      </c>
      <c r="K1709" s="415">
        <v>66996.02</v>
      </c>
      <c r="L1709" s="415">
        <v>63339.12</v>
      </c>
      <c r="M1709" s="415">
        <v>60342.879999999997</v>
      </c>
      <c r="N1709" s="415">
        <v>57346.12</v>
      </c>
      <c r="O1709" s="415">
        <v>54992.76</v>
      </c>
      <c r="P1709" s="415">
        <v>51222.080000000002</v>
      </c>
      <c r="Q1709" s="481">
        <f t="shared" si="72"/>
        <v>-3571.0169000000024</v>
      </c>
    </row>
    <row r="1710" spans="1:17" outlineLevel="2" x14ac:dyDescent="0.3">
      <c r="A1710" s="366" t="str">
        <f>IFERROR(VLOOKUP(RIGHT(E1710,3)+0,[1]SchLocTable!$A$2:$B$47,2,FALSE)," ")</f>
        <v>High Horizons Magnet</v>
      </c>
      <c r="B1710" s="366" t="str">
        <f>VLOOKUP(VALUE(D1710),$D$3:F$106,3,FALSE)</f>
        <v>Mathematics</v>
      </c>
      <c r="C1710" t="s">
        <v>314</v>
      </c>
      <c r="D1710">
        <v>816</v>
      </c>
      <c r="E1710" t="s">
        <v>686</v>
      </c>
      <c r="F1710" t="s">
        <v>321</v>
      </c>
      <c r="G1710" t="s">
        <v>319</v>
      </c>
      <c r="H1710" s="502">
        <v>52917</v>
      </c>
      <c r="I1710" s="415">
        <v>46066.859999999993</v>
      </c>
      <c r="J1710" s="415">
        <v>38389.050000000003</v>
      </c>
      <c r="K1710" s="415">
        <v>34787.339999999997</v>
      </c>
      <c r="L1710" s="415">
        <v>34178.129999999997</v>
      </c>
      <c r="M1710" s="415">
        <v>32175.15</v>
      </c>
      <c r="N1710" s="415">
        <v>29879.85</v>
      </c>
      <c r="O1710" s="415">
        <v>27527.7</v>
      </c>
      <c r="P1710" s="415">
        <v>0</v>
      </c>
      <c r="Q1710" s="481">
        <f t="shared" si="72"/>
        <v>-7677.8099999999904</v>
      </c>
    </row>
    <row r="1711" spans="1:17" outlineLevel="2" x14ac:dyDescent="0.3">
      <c r="A1711" s="366" t="str">
        <f>IFERROR(VLOOKUP(RIGHT(E1711,3)+0,[1]SchLocTable!$A$2:$B$47,2,FALSE)," ")</f>
        <v>High Horizons Magnet</v>
      </c>
      <c r="B1711" s="366" t="str">
        <f>VLOOKUP(VALUE(D1711),$D$3:F$106,3,FALSE)</f>
        <v>Mathematics</v>
      </c>
      <c r="C1711" t="s">
        <v>314</v>
      </c>
      <c r="D1711">
        <v>816</v>
      </c>
      <c r="E1711" t="s">
        <v>686</v>
      </c>
      <c r="F1711" t="s">
        <v>320</v>
      </c>
      <c r="G1711" t="s">
        <v>319</v>
      </c>
      <c r="H1711" s="502">
        <v>52360</v>
      </c>
      <c r="I1711" s="415">
        <v>1067.0987450500002</v>
      </c>
      <c r="J1711" s="415">
        <v>807</v>
      </c>
      <c r="K1711" s="415">
        <v>822.49</v>
      </c>
      <c r="L1711" s="415">
        <v>776.2</v>
      </c>
      <c r="M1711" s="415">
        <v>744.94</v>
      </c>
      <c r="N1711" s="415">
        <v>714.28</v>
      </c>
      <c r="O1711" s="415">
        <v>692.54</v>
      </c>
      <c r="P1711" s="415">
        <v>742.72</v>
      </c>
      <c r="Q1711" s="481">
        <f t="shared" si="72"/>
        <v>-260.09874505000016</v>
      </c>
    </row>
    <row r="1712" spans="1:17" outlineLevel="2" x14ac:dyDescent="0.3">
      <c r="A1712" s="366" t="str">
        <f>IFERROR(VLOOKUP(RIGHT(E1712,3)+0,[1]SchLocTable!$A$2:$B$47,2,FALSE)," ")</f>
        <v>Multicultural Magnet</v>
      </c>
      <c r="B1712" s="366" t="str">
        <f>VLOOKUP(VALUE(D1712),$D$3:F$106,3,FALSE)</f>
        <v>Mathematics</v>
      </c>
      <c r="C1712" t="s">
        <v>314</v>
      </c>
      <c r="D1712">
        <v>816</v>
      </c>
      <c r="E1712" t="s">
        <v>687</v>
      </c>
      <c r="F1712" t="s">
        <v>316</v>
      </c>
      <c r="G1712">
        <v>1</v>
      </c>
      <c r="H1712" s="502">
        <v>51000</v>
      </c>
      <c r="I1712" s="415">
        <v>110428.46490000001</v>
      </c>
      <c r="J1712" s="415">
        <v>105070</v>
      </c>
      <c r="K1712" s="415">
        <v>102757.98</v>
      </c>
      <c r="L1712" s="415">
        <v>100497.02</v>
      </c>
      <c r="M1712" s="415">
        <v>9901.1</v>
      </c>
      <c r="N1712" s="415">
        <v>97548.88</v>
      </c>
      <c r="O1712" s="415">
        <v>96106.92</v>
      </c>
      <c r="P1712" s="415">
        <v>94593.98</v>
      </c>
      <c r="Q1712" s="481">
        <f t="shared" si="72"/>
        <v>-5358.4649000000063</v>
      </c>
    </row>
    <row r="1713" spans="1:17" outlineLevel="2" x14ac:dyDescent="0.3">
      <c r="A1713" s="366" t="str">
        <f>IFERROR(VLOOKUP(RIGHT(E1713,3)+0,[1]SchLocTable!$A$2:$B$47,2,FALSE)," ")</f>
        <v>Multicultural Magnet</v>
      </c>
      <c r="B1713" s="366" t="str">
        <f>VLOOKUP(VALUE(D1713),$D$3:F$106,3,FALSE)</f>
        <v>Mathematics</v>
      </c>
      <c r="C1713" t="s">
        <v>314</v>
      </c>
      <c r="D1713">
        <v>816</v>
      </c>
      <c r="E1713" t="s">
        <v>687</v>
      </c>
      <c r="F1713" t="s">
        <v>321</v>
      </c>
      <c r="G1713" t="s">
        <v>319</v>
      </c>
      <c r="H1713" s="502">
        <v>52917</v>
      </c>
      <c r="I1713" s="415">
        <v>15644.663999999999</v>
      </c>
      <c r="J1713" s="415">
        <v>13037.22</v>
      </c>
      <c r="K1713" s="415">
        <v>11844</v>
      </c>
      <c r="L1713" s="415">
        <v>28076.37</v>
      </c>
      <c r="M1713" s="415">
        <v>4657.82</v>
      </c>
      <c r="N1713" s="415">
        <v>27024.99</v>
      </c>
      <c r="O1713" s="415">
        <v>29077.5</v>
      </c>
      <c r="P1713" s="415">
        <v>27385.05</v>
      </c>
      <c r="Q1713" s="481">
        <f t="shared" si="72"/>
        <v>-2607.4439999999995</v>
      </c>
    </row>
    <row r="1714" spans="1:17" outlineLevel="2" x14ac:dyDescent="0.3">
      <c r="A1714" s="366" t="str">
        <f>IFERROR(VLOOKUP(RIGHT(E1714,3)+0,[1]SchLocTable!$A$2:$B$47,2,FALSE)," ")</f>
        <v>Multicultural Magnet</v>
      </c>
      <c r="B1714" s="366" t="str">
        <f>VLOOKUP(VALUE(D1714),$D$3:F$106,3,FALSE)</f>
        <v>Mathematics</v>
      </c>
      <c r="C1714" t="s">
        <v>314</v>
      </c>
      <c r="D1714">
        <v>816</v>
      </c>
      <c r="E1714" t="s">
        <v>687</v>
      </c>
      <c r="F1714" t="s">
        <v>318</v>
      </c>
      <c r="G1714" t="s">
        <v>319</v>
      </c>
      <c r="H1714" s="502">
        <v>51140</v>
      </c>
      <c r="I1714" s="415">
        <v>1100</v>
      </c>
      <c r="J1714" s="415">
        <v>0</v>
      </c>
      <c r="K1714" s="415">
        <v>900</v>
      </c>
      <c r="L1714" s="415">
        <v>900</v>
      </c>
      <c r="M1714" s="415">
        <v>900</v>
      </c>
      <c r="N1714" s="415">
        <v>900</v>
      </c>
      <c r="O1714" s="415">
        <v>900</v>
      </c>
      <c r="P1714" s="415">
        <v>900</v>
      </c>
      <c r="Q1714" s="481">
        <f t="shared" si="72"/>
        <v>-1100</v>
      </c>
    </row>
    <row r="1715" spans="1:17" outlineLevel="2" x14ac:dyDescent="0.3">
      <c r="A1715" s="366" t="str">
        <f>IFERROR(VLOOKUP(RIGHT(E1715,3)+0,[1]SchLocTable!$A$2:$B$47,2,FALSE)," ")</f>
        <v>Multicultural Magnet</v>
      </c>
      <c r="B1715" s="366" t="str">
        <f>VLOOKUP(VALUE(D1715),$D$3:F$106,3,FALSE)</f>
        <v>Mathematics</v>
      </c>
      <c r="C1715" t="s">
        <v>314</v>
      </c>
      <c r="D1715">
        <v>816</v>
      </c>
      <c r="E1715" t="s">
        <v>687</v>
      </c>
      <c r="F1715" t="s">
        <v>320</v>
      </c>
      <c r="G1715" t="s">
        <v>319</v>
      </c>
      <c r="H1715" s="502">
        <v>52360</v>
      </c>
      <c r="I1715" s="415">
        <v>1601.2127410500002</v>
      </c>
      <c r="J1715" s="415">
        <v>1469</v>
      </c>
      <c r="K1715" s="415">
        <v>1452.48</v>
      </c>
      <c r="L1715" s="415">
        <v>1353.63</v>
      </c>
      <c r="M1715" s="415">
        <v>50.21</v>
      </c>
      <c r="N1715" s="415">
        <v>1321.83</v>
      </c>
      <c r="O1715" s="415">
        <v>1296.17</v>
      </c>
      <c r="P1715" s="415">
        <v>1282.1300000000001</v>
      </c>
      <c r="Q1715" s="481">
        <f t="shared" si="72"/>
        <v>-132.2127410500002</v>
      </c>
    </row>
    <row r="1716" spans="1:17" outlineLevel="2" x14ac:dyDescent="0.3">
      <c r="A1716" s="366" t="str">
        <f>IFERROR(VLOOKUP(RIGHT(E1716,3)+0,[1]SchLocTable!$A$2:$B$47,2,FALSE)," ")</f>
        <v>Bassick HS</v>
      </c>
      <c r="B1716" s="366" t="str">
        <f>VLOOKUP(VALUE(D1716),$D$3:F$106,3,FALSE)</f>
        <v>Mathematics</v>
      </c>
      <c r="C1716" t="s">
        <v>314</v>
      </c>
      <c r="D1716">
        <v>816</v>
      </c>
      <c r="E1716" t="s">
        <v>688</v>
      </c>
      <c r="F1716" t="s">
        <v>316</v>
      </c>
      <c r="G1716">
        <v>6</v>
      </c>
      <c r="H1716" s="502">
        <v>51000</v>
      </c>
      <c r="I1716" s="415">
        <v>429838.31536999997</v>
      </c>
      <c r="J1716" s="415">
        <v>268851.87</v>
      </c>
      <c r="K1716" s="415">
        <v>243191.23</v>
      </c>
      <c r="L1716" s="415">
        <v>448243.73</v>
      </c>
      <c r="M1716" s="415">
        <v>578868.47999999998</v>
      </c>
      <c r="N1716" s="415">
        <v>428007.43</v>
      </c>
      <c r="O1716" s="415">
        <v>526498.18000000005</v>
      </c>
      <c r="P1716" s="415">
        <v>439562.07</v>
      </c>
      <c r="Q1716" s="481">
        <f t="shared" si="72"/>
        <v>-160986.44536999997</v>
      </c>
    </row>
    <row r="1717" spans="1:17" outlineLevel="2" x14ac:dyDescent="0.3">
      <c r="A1717" s="366" t="str">
        <f>IFERROR(VLOOKUP(RIGHT(E1717,3)+0,[1]SchLocTable!$A$2:$B$47,2,FALSE)," ")</f>
        <v>Bassick HS</v>
      </c>
      <c r="B1717" s="366" t="str">
        <f>VLOOKUP(VALUE(D1717),$D$3:F$106,3,FALSE)</f>
        <v>Mathematics</v>
      </c>
      <c r="C1717" t="s">
        <v>314</v>
      </c>
      <c r="D1717">
        <v>816</v>
      </c>
      <c r="E1717" t="s">
        <v>688</v>
      </c>
      <c r="F1717" t="s">
        <v>321</v>
      </c>
      <c r="G1717" t="s">
        <v>319</v>
      </c>
      <c r="H1717" s="502">
        <v>52917</v>
      </c>
      <c r="I1717" s="415">
        <v>79245.288</v>
      </c>
      <c r="J1717" s="415">
        <v>39037.74</v>
      </c>
      <c r="K1717" s="415">
        <v>34871.4</v>
      </c>
      <c r="L1717" s="415">
        <v>79276.05</v>
      </c>
      <c r="M1717" s="415">
        <v>137903</v>
      </c>
      <c r="N1717" s="415">
        <v>75666.570000000007</v>
      </c>
      <c r="O1717" s="415">
        <v>124952.5</v>
      </c>
      <c r="P1717" s="415">
        <v>75547.27</v>
      </c>
      <c r="Q1717" s="481">
        <f t="shared" si="72"/>
        <v>-40207.548000000003</v>
      </c>
    </row>
    <row r="1718" spans="1:17" outlineLevel="2" x14ac:dyDescent="0.3">
      <c r="A1718" s="366" t="str">
        <f>IFERROR(VLOOKUP(RIGHT(E1718,3)+0,[1]SchLocTable!$A$2:$B$47,2,FALSE)," ")</f>
        <v>Bassick HS</v>
      </c>
      <c r="B1718" s="366" t="str">
        <f>VLOOKUP(VALUE(D1718),$D$3:F$106,3,FALSE)</f>
        <v>Mathematics</v>
      </c>
      <c r="C1718" t="s">
        <v>314</v>
      </c>
      <c r="D1718">
        <v>816</v>
      </c>
      <c r="E1718" t="s">
        <v>688</v>
      </c>
      <c r="F1718" t="s">
        <v>318</v>
      </c>
      <c r="G1718" t="s">
        <v>319</v>
      </c>
      <c r="H1718" s="502">
        <v>51140</v>
      </c>
      <c r="I1718" s="415">
        <v>0</v>
      </c>
      <c r="J1718" s="415">
        <v>0</v>
      </c>
      <c r="K1718" s="415">
        <v>0</v>
      </c>
      <c r="L1718" s="415">
        <v>0</v>
      </c>
      <c r="M1718" s="415">
        <v>1800</v>
      </c>
      <c r="N1718" s="415">
        <v>900</v>
      </c>
      <c r="O1718" s="415">
        <v>900</v>
      </c>
      <c r="P1718" s="415">
        <v>0</v>
      </c>
      <c r="Q1718" s="481">
        <f t="shared" si="72"/>
        <v>0</v>
      </c>
    </row>
    <row r="1719" spans="1:17" outlineLevel="2" x14ac:dyDescent="0.3">
      <c r="A1719" s="366" t="str">
        <f>IFERROR(VLOOKUP(RIGHT(E1719,3)+0,[1]SchLocTable!$A$2:$B$47,2,FALSE)," ")</f>
        <v>Bassick HS</v>
      </c>
      <c r="B1719" s="366" t="str">
        <f>VLOOKUP(VALUE(D1719),$D$3:F$106,3,FALSE)</f>
        <v>Mathematics</v>
      </c>
      <c r="C1719" t="s">
        <v>314</v>
      </c>
      <c r="D1719">
        <v>816</v>
      </c>
      <c r="E1719" t="s">
        <v>688</v>
      </c>
      <c r="F1719" t="s">
        <v>320</v>
      </c>
      <c r="G1719" t="s">
        <v>319</v>
      </c>
      <c r="H1719" s="502">
        <v>52360</v>
      </c>
      <c r="I1719" s="415">
        <v>6232.6555728650001</v>
      </c>
      <c r="J1719" s="415">
        <v>3870.89</v>
      </c>
      <c r="K1719" s="415">
        <v>3359.86</v>
      </c>
      <c r="L1719" s="415">
        <v>6152.81</v>
      </c>
      <c r="M1719" s="415">
        <v>8006.47</v>
      </c>
      <c r="N1719" s="415">
        <v>6470.4</v>
      </c>
      <c r="O1719" s="415">
        <v>7172.23</v>
      </c>
      <c r="P1719" s="415">
        <v>6090.32</v>
      </c>
      <c r="Q1719" s="481">
        <f t="shared" si="72"/>
        <v>-2361.7655728650002</v>
      </c>
    </row>
    <row r="1720" spans="1:17" outlineLevel="2" x14ac:dyDescent="0.3">
      <c r="A1720" s="366" t="str">
        <f>IFERROR(VLOOKUP(RIGHT(E1720,3)+0,[1]SchLocTable!$A$2:$B$47,2,FALSE)," ")</f>
        <v>Bassick HS</v>
      </c>
      <c r="B1720" s="366" t="str">
        <f>VLOOKUP(VALUE(D1720),$D$3:F$106,3,FALSE)</f>
        <v>Mathematics</v>
      </c>
      <c r="C1720" t="s">
        <v>314</v>
      </c>
      <c r="D1720">
        <v>816</v>
      </c>
      <c r="E1720" t="s">
        <v>688</v>
      </c>
      <c r="F1720" t="s">
        <v>324</v>
      </c>
      <c r="G1720" t="s">
        <v>319</v>
      </c>
      <c r="H1720" s="502">
        <v>52385</v>
      </c>
      <c r="I1720" s="415">
        <v>4171.05</v>
      </c>
      <c r="J1720" s="415">
        <v>0</v>
      </c>
      <c r="K1720" s="415">
        <v>1098.07</v>
      </c>
      <c r="L1720" s="415">
        <v>1271</v>
      </c>
      <c r="M1720" s="415">
        <v>0</v>
      </c>
      <c r="N1720" s="415">
        <v>1238.43</v>
      </c>
      <c r="O1720" s="415">
        <v>0</v>
      </c>
      <c r="P1720" s="415">
        <v>312.48</v>
      </c>
      <c r="Q1720" s="481">
        <f t="shared" si="72"/>
        <v>-4171.05</v>
      </c>
    </row>
    <row r="1721" spans="1:17" outlineLevel="2" x14ac:dyDescent="0.3">
      <c r="A1721" s="366" t="str">
        <f>IFERROR(VLOOKUP(RIGHT(E1721,3)+0,[1]SchLocTable!$A$2:$B$47,2,FALSE)," ")</f>
        <v>Bassick HS</v>
      </c>
      <c r="B1721" s="366" t="str">
        <f>VLOOKUP(VALUE(D1721),$D$3:F$106,3,FALSE)</f>
        <v>Mathematics</v>
      </c>
      <c r="C1721" t="s">
        <v>314</v>
      </c>
      <c r="D1721">
        <v>816</v>
      </c>
      <c r="E1721" t="s">
        <v>688</v>
      </c>
      <c r="F1721" t="s">
        <v>689</v>
      </c>
      <c r="G1721" t="s">
        <v>319</v>
      </c>
      <c r="H1721" s="502">
        <v>51142</v>
      </c>
      <c r="I1721" s="415">
        <v>0</v>
      </c>
      <c r="J1721" s="415">
        <v>0</v>
      </c>
      <c r="K1721" s="415">
        <v>385</v>
      </c>
      <c r="L1721" s="415">
        <v>0</v>
      </c>
      <c r="M1721" s="415">
        <v>0</v>
      </c>
      <c r="N1721" s="415">
        <v>0</v>
      </c>
      <c r="O1721" s="415">
        <v>0</v>
      </c>
      <c r="P1721" s="415">
        <v>0</v>
      </c>
      <c r="Q1721" s="481">
        <f t="shared" si="72"/>
        <v>0</v>
      </c>
    </row>
    <row r="1722" spans="1:17" outlineLevel="2" x14ac:dyDescent="0.3">
      <c r="A1722" s="366" t="str">
        <f>IFERROR(VLOOKUP(RIGHT(E1722,3)+0,[1]SchLocTable!$A$2:$B$47,2,FALSE)," ")</f>
        <v>Bassick HS</v>
      </c>
      <c r="B1722" s="366" t="str">
        <f>VLOOKUP(VALUE(D1722),$D$3:F$106,3,FALSE)</f>
        <v>Mathematics</v>
      </c>
      <c r="C1722" t="s">
        <v>314</v>
      </c>
      <c r="D1722">
        <v>816</v>
      </c>
      <c r="E1722" t="s">
        <v>688</v>
      </c>
      <c r="F1722" t="s">
        <v>329</v>
      </c>
      <c r="G1722" t="s">
        <v>319</v>
      </c>
      <c r="H1722" s="502">
        <v>51154</v>
      </c>
      <c r="I1722" s="415">
        <v>0</v>
      </c>
      <c r="J1722" s="415">
        <v>0</v>
      </c>
      <c r="K1722" s="415">
        <v>0</v>
      </c>
      <c r="L1722" s="415">
        <v>0</v>
      </c>
      <c r="M1722" s="415">
        <v>11050</v>
      </c>
      <c r="N1722" s="415">
        <v>0</v>
      </c>
      <c r="O1722" s="415">
        <v>0</v>
      </c>
      <c r="P1722" s="415">
        <v>0</v>
      </c>
      <c r="Q1722" s="481">
        <f t="shared" si="72"/>
        <v>0</v>
      </c>
    </row>
    <row r="1723" spans="1:17" outlineLevel="2" x14ac:dyDescent="0.3">
      <c r="A1723" s="366" t="str">
        <f>IFERROR(VLOOKUP(RIGHT(E1723,3)+0,[1]SchLocTable!$A$2:$B$47,2,FALSE)," ")</f>
        <v>Central HS</v>
      </c>
      <c r="B1723" s="366" t="str">
        <f>VLOOKUP(VALUE(D1723),$D$3:F$106,3,FALSE)</f>
        <v>Mathematics</v>
      </c>
      <c r="C1723" t="s">
        <v>314</v>
      </c>
      <c r="D1723">
        <v>816</v>
      </c>
      <c r="E1723" t="s">
        <v>690</v>
      </c>
      <c r="F1723" t="s">
        <v>316</v>
      </c>
      <c r="G1723">
        <v>13.7</v>
      </c>
      <c r="H1723" s="502">
        <v>51000</v>
      </c>
      <c r="I1723" s="415">
        <v>1287920.45584</v>
      </c>
      <c r="J1723" s="415">
        <v>1225424</v>
      </c>
      <c r="K1723" s="415">
        <v>1180749.83</v>
      </c>
      <c r="L1723" s="415">
        <v>1082108.75</v>
      </c>
      <c r="M1723" s="415">
        <v>1098053.82</v>
      </c>
      <c r="N1723" s="415">
        <v>1075402.51</v>
      </c>
      <c r="O1723" s="415">
        <v>1190506.8500000001</v>
      </c>
      <c r="P1723" s="415">
        <v>1229038.98</v>
      </c>
      <c r="Q1723" s="481">
        <f t="shared" si="72"/>
        <v>-62496.455839999951</v>
      </c>
    </row>
    <row r="1724" spans="1:17" outlineLevel="2" x14ac:dyDescent="0.3">
      <c r="A1724" s="366" t="str">
        <f>IFERROR(VLOOKUP(RIGHT(E1724,3)+0,[1]SchLocTable!$A$2:$B$47,2,FALSE)," ")</f>
        <v>Central HS</v>
      </c>
      <c r="B1724" s="366" t="str">
        <f>VLOOKUP(VALUE(D1724),$D$3:F$106,3,FALSE)</f>
        <v>Mathematics</v>
      </c>
      <c r="C1724" t="s">
        <v>314</v>
      </c>
      <c r="D1724">
        <v>816</v>
      </c>
      <c r="E1724" t="s">
        <v>690</v>
      </c>
      <c r="F1724" t="s">
        <v>321</v>
      </c>
      <c r="G1724" t="s">
        <v>319</v>
      </c>
      <c r="H1724" s="502">
        <v>52917</v>
      </c>
      <c r="I1724" s="415">
        <v>474718.86</v>
      </c>
      <c r="J1724" s="415">
        <v>395599.05</v>
      </c>
      <c r="K1724" s="415">
        <v>359171.82</v>
      </c>
      <c r="L1724" s="415">
        <v>318447.90000000002</v>
      </c>
      <c r="M1724" s="415">
        <v>276462.05</v>
      </c>
      <c r="N1724" s="415">
        <v>234309.42</v>
      </c>
      <c r="O1724" s="415">
        <v>248335.23</v>
      </c>
      <c r="P1724" s="415">
        <v>230901.33</v>
      </c>
      <c r="Q1724" s="481">
        <f t="shared" si="72"/>
        <v>-79119.81</v>
      </c>
    </row>
    <row r="1725" spans="1:17" outlineLevel="2" x14ac:dyDescent="0.3">
      <c r="A1725" s="366" t="str">
        <f>IFERROR(VLOOKUP(RIGHT(E1725,3)+0,[1]SchLocTable!$A$2:$B$47,2,FALSE)," ")</f>
        <v>Central HS</v>
      </c>
      <c r="B1725" s="366" t="str">
        <f>VLOOKUP(VALUE(D1725),$D$3:F$106,3,FALSE)</f>
        <v>Mathematics</v>
      </c>
      <c r="C1725" t="s">
        <v>314</v>
      </c>
      <c r="D1725">
        <v>816</v>
      </c>
      <c r="E1725" t="s">
        <v>690</v>
      </c>
      <c r="F1725" t="s">
        <v>318</v>
      </c>
      <c r="G1725" t="s">
        <v>319</v>
      </c>
      <c r="H1725" s="502">
        <v>51140</v>
      </c>
      <c r="I1725" s="415">
        <v>6200</v>
      </c>
      <c r="J1725" s="415">
        <v>0</v>
      </c>
      <c r="K1725" s="415">
        <v>6200</v>
      </c>
      <c r="L1725" s="415">
        <v>5300</v>
      </c>
      <c r="M1725" s="415">
        <v>4400</v>
      </c>
      <c r="N1725" s="415">
        <v>4300</v>
      </c>
      <c r="O1725" s="415">
        <v>4200</v>
      </c>
      <c r="P1725" s="415">
        <v>4200</v>
      </c>
      <c r="Q1725" s="481">
        <f t="shared" si="72"/>
        <v>-6200</v>
      </c>
    </row>
    <row r="1726" spans="1:17" outlineLevel="2" x14ac:dyDescent="0.3">
      <c r="A1726" s="366" t="str">
        <f>IFERROR(VLOOKUP(RIGHT(E1726,3)+0,[1]SchLocTable!$A$2:$B$47,2,FALSE)," ")</f>
        <v>Central HS</v>
      </c>
      <c r="B1726" s="366" t="str">
        <f>VLOOKUP(VALUE(D1726),$D$3:F$106,3,FALSE)</f>
        <v>Mathematics</v>
      </c>
      <c r="C1726" t="s">
        <v>314</v>
      </c>
      <c r="D1726">
        <v>816</v>
      </c>
      <c r="E1726" t="s">
        <v>690</v>
      </c>
      <c r="F1726" t="s">
        <v>320</v>
      </c>
      <c r="G1726" t="s">
        <v>319</v>
      </c>
      <c r="H1726" s="502">
        <v>52360</v>
      </c>
      <c r="I1726" s="415">
        <v>18674.84660968</v>
      </c>
      <c r="J1726" s="415">
        <v>14316</v>
      </c>
      <c r="K1726" s="415">
        <v>14187.19</v>
      </c>
      <c r="L1726" s="415">
        <v>12988.55</v>
      </c>
      <c r="M1726" s="415">
        <v>13346.69</v>
      </c>
      <c r="N1726" s="415">
        <v>13525.67</v>
      </c>
      <c r="O1726" s="415">
        <v>15049.22</v>
      </c>
      <c r="P1726" s="415">
        <v>15504.93</v>
      </c>
      <c r="Q1726" s="481">
        <f t="shared" si="72"/>
        <v>-4358.8466096800003</v>
      </c>
    </row>
    <row r="1727" spans="1:17" outlineLevel="2" x14ac:dyDescent="0.3">
      <c r="A1727" s="366" t="str">
        <f>IFERROR(VLOOKUP(RIGHT(E1727,3)+0,[1]SchLocTable!$A$2:$B$47,2,FALSE)," ")</f>
        <v>Central HS</v>
      </c>
      <c r="B1727" s="366" t="str">
        <f>VLOOKUP(VALUE(D1727),$D$3:F$106,3,FALSE)</f>
        <v>Mathematics</v>
      </c>
      <c r="C1727" t="s">
        <v>314</v>
      </c>
      <c r="D1727">
        <v>816</v>
      </c>
      <c r="E1727" t="s">
        <v>690</v>
      </c>
      <c r="F1727" t="s">
        <v>324</v>
      </c>
      <c r="G1727" t="s">
        <v>319</v>
      </c>
      <c r="H1727" s="502">
        <v>52385</v>
      </c>
      <c r="I1727" s="415">
        <v>0</v>
      </c>
      <c r="J1727" s="415">
        <v>0</v>
      </c>
      <c r="K1727" s="415">
        <v>108.5</v>
      </c>
      <c r="L1727" s="415">
        <v>0</v>
      </c>
      <c r="M1727" s="415">
        <v>1000.42</v>
      </c>
      <c r="N1727" s="415">
        <v>2330.04</v>
      </c>
      <c r="O1727" s="415">
        <v>1768.18</v>
      </c>
      <c r="P1727" s="415">
        <v>0</v>
      </c>
      <c r="Q1727" s="481">
        <f t="shared" ref="Q1727:Q1790" si="73">J1727-I1727</f>
        <v>0</v>
      </c>
    </row>
    <row r="1728" spans="1:17" outlineLevel="2" x14ac:dyDescent="0.3">
      <c r="A1728" s="366" t="str">
        <f>IFERROR(VLOOKUP(RIGHT(E1728,3)+0,[1]SchLocTable!$A$2:$B$47,2,FALSE)," ")</f>
        <v>Harding HS</v>
      </c>
      <c r="B1728" s="366" t="str">
        <f>VLOOKUP(VALUE(D1728),$D$3:F$106,3,FALSE)</f>
        <v>Mathematics</v>
      </c>
      <c r="C1728" t="s">
        <v>314</v>
      </c>
      <c r="D1728">
        <v>816</v>
      </c>
      <c r="E1728" t="s">
        <v>691</v>
      </c>
      <c r="F1728" t="s">
        <v>316</v>
      </c>
      <c r="G1728">
        <v>1</v>
      </c>
      <c r="H1728" s="502">
        <v>51000</v>
      </c>
      <c r="I1728" s="415">
        <v>79770.878979999994</v>
      </c>
      <c r="J1728" s="415">
        <v>75899.98</v>
      </c>
      <c r="K1728" s="415">
        <v>203690.88</v>
      </c>
      <c r="L1728" s="415">
        <v>562686.88</v>
      </c>
      <c r="M1728" s="415">
        <v>538406.63</v>
      </c>
      <c r="N1728" s="415">
        <v>493576.99</v>
      </c>
      <c r="O1728" s="415">
        <v>539981.56000000006</v>
      </c>
      <c r="P1728" s="415">
        <v>544358.26</v>
      </c>
      <c r="Q1728" s="481">
        <f t="shared" si="73"/>
        <v>-3870.8989799999981</v>
      </c>
    </row>
    <row r="1729" spans="1:17" outlineLevel="2" x14ac:dyDescent="0.3">
      <c r="A1729" s="366" t="str">
        <f>IFERROR(VLOOKUP(RIGHT(E1729,3)+0,[1]SchLocTable!$A$2:$B$47,2,FALSE)," ")</f>
        <v>Harding HS</v>
      </c>
      <c r="B1729" s="366" t="str">
        <f>VLOOKUP(VALUE(D1729),$D$3:F$106,3,FALSE)</f>
        <v>Mathematics</v>
      </c>
      <c r="C1729" t="s">
        <v>314</v>
      </c>
      <c r="D1729">
        <v>816</v>
      </c>
      <c r="E1729" t="s">
        <v>691</v>
      </c>
      <c r="F1729" t="s">
        <v>321</v>
      </c>
      <c r="G1729" t="s">
        <v>319</v>
      </c>
      <c r="H1729" s="502">
        <v>52917</v>
      </c>
      <c r="I1729" s="415">
        <v>46330.955999999998</v>
      </c>
      <c r="J1729" s="415">
        <v>38609.129999999997</v>
      </c>
      <c r="K1729" s="415">
        <v>47234.52</v>
      </c>
      <c r="L1729" s="415">
        <v>134846.23000000001</v>
      </c>
      <c r="M1729" s="415">
        <v>128826.93</v>
      </c>
      <c r="N1729" s="415">
        <v>125319.46</v>
      </c>
      <c r="O1729" s="415">
        <v>142833.1</v>
      </c>
      <c r="P1729" s="415">
        <v>110788.23</v>
      </c>
      <c r="Q1729" s="481">
        <f t="shared" si="73"/>
        <v>-7721.8260000000009</v>
      </c>
    </row>
    <row r="1730" spans="1:17" outlineLevel="1" x14ac:dyDescent="0.3">
      <c r="A1730" s="366" t="str">
        <f>IFERROR(VLOOKUP(RIGHT(E1730,3)+0,[1]SchLocTable!$A$2:$B$47,2,FALSE)," ")</f>
        <v>Harding HS</v>
      </c>
      <c r="B1730" s="366" t="str">
        <f>VLOOKUP(VALUE(D1730),$D$3:F$106,3,FALSE)</f>
        <v>Mathematics</v>
      </c>
      <c r="C1730" t="s">
        <v>314</v>
      </c>
      <c r="D1730">
        <v>816</v>
      </c>
      <c r="E1730" t="s">
        <v>691</v>
      </c>
      <c r="F1730" t="s">
        <v>318</v>
      </c>
      <c r="G1730" t="s">
        <v>319</v>
      </c>
      <c r="H1730" s="502">
        <v>51140</v>
      </c>
      <c r="I1730" s="415">
        <v>0</v>
      </c>
      <c r="J1730" s="415">
        <v>0</v>
      </c>
      <c r="K1730" s="415">
        <v>900</v>
      </c>
      <c r="L1730" s="415">
        <v>2000</v>
      </c>
      <c r="M1730" s="415">
        <v>0</v>
      </c>
      <c r="N1730" s="415">
        <v>0</v>
      </c>
      <c r="O1730" s="415">
        <v>0</v>
      </c>
      <c r="P1730" s="415">
        <v>0</v>
      </c>
      <c r="Q1730" s="481">
        <f t="shared" si="73"/>
        <v>0</v>
      </c>
    </row>
    <row r="1731" spans="1:17" outlineLevel="2" x14ac:dyDescent="0.3">
      <c r="A1731" s="366" t="str">
        <f>IFERROR(VLOOKUP(RIGHT(E1731,3)+0,[1]SchLocTable!$A$2:$B$47,2,FALSE)," ")</f>
        <v>Harding HS</v>
      </c>
      <c r="B1731" s="366" t="str">
        <f>VLOOKUP(VALUE(D1731),$D$3:F$106,3,FALSE)</f>
        <v>Mathematics</v>
      </c>
      <c r="C1731" t="s">
        <v>314</v>
      </c>
      <c r="D1731">
        <v>816</v>
      </c>
      <c r="E1731" t="s">
        <v>691</v>
      </c>
      <c r="F1731" t="s">
        <v>320</v>
      </c>
      <c r="G1731" t="s">
        <v>319</v>
      </c>
      <c r="H1731" s="502">
        <v>52360</v>
      </c>
      <c r="I1731" s="415">
        <v>1156.67774521</v>
      </c>
      <c r="J1731" s="415">
        <v>1076.29</v>
      </c>
      <c r="K1731" s="415">
        <v>2739.68</v>
      </c>
      <c r="L1731" s="415">
        <v>7615.08</v>
      </c>
      <c r="M1731" s="415">
        <v>7258.87</v>
      </c>
      <c r="N1731" s="415">
        <v>6668.28</v>
      </c>
      <c r="O1731" s="415">
        <v>7288.3</v>
      </c>
      <c r="P1731" s="415">
        <v>7470.68</v>
      </c>
      <c r="Q1731" s="481">
        <f t="shared" si="73"/>
        <v>-80.387745210000048</v>
      </c>
    </row>
    <row r="1732" spans="1:17" outlineLevel="2" x14ac:dyDescent="0.3">
      <c r="A1732" s="366" t="str">
        <f>IFERROR(VLOOKUP(RIGHT(E1732,3)+0,[1]SchLocTable!$A$2:$B$47,2,FALSE)," ")</f>
        <v>Harding HS</v>
      </c>
      <c r="B1732" s="366" t="str">
        <f>VLOOKUP(VALUE(D1732),$D$3:F$106,3,FALSE)</f>
        <v>Mathematics</v>
      </c>
      <c r="C1732" t="s">
        <v>314</v>
      </c>
      <c r="D1732">
        <v>816</v>
      </c>
      <c r="E1732" t="s">
        <v>691</v>
      </c>
      <c r="F1732" t="s">
        <v>324</v>
      </c>
      <c r="G1732" t="s">
        <v>319</v>
      </c>
      <c r="H1732" s="502">
        <v>52385</v>
      </c>
      <c r="I1732" s="415">
        <v>0</v>
      </c>
      <c r="J1732" s="415">
        <v>0</v>
      </c>
      <c r="K1732" s="415">
        <v>2297.34</v>
      </c>
      <c r="L1732" s="415">
        <v>0</v>
      </c>
      <c r="M1732" s="415">
        <v>3878.49</v>
      </c>
      <c r="N1732" s="415">
        <v>3968.9</v>
      </c>
      <c r="O1732" s="415">
        <v>0</v>
      </c>
      <c r="P1732" s="415">
        <v>0</v>
      </c>
      <c r="Q1732" s="481">
        <f t="shared" si="73"/>
        <v>0</v>
      </c>
    </row>
    <row r="1733" spans="1:17" outlineLevel="2" x14ac:dyDescent="0.3">
      <c r="A1733" s="366" t="str">
        <f>IFERROR(VLOOKUP(RIGHT(E1733,3)+0,[1]SchLocTable!$A$2:$B$47,2,FALSE)," ")</f>
        <v>Harding HS</v>
      </c>
      <c r="B1733" s="366" t="str">
        <f>VLOOKUP(VALUE(D1733),$D$3:F$106,3,FALSE)</f>
        <v>Mathematics</v>
      </c>
      <c r="C1733" t="s">
        <v>314</v>
      </c>
      <c r="D1733">
        <v>816</v>
      </c>
      <c r="E1733" t="s">
        <v>691</v>
      </c>
      <c r="F1733" t="s">
        <v>533</v>
      </c>
      <c r="G1733" t="s">
        <v>319</v>
      </c>
      <c r="H1733" s="502">
        <v>52397</v>
      </c>
      <c r="I1733" s="415">
        <v>0</v>
      </c>
      <c r="J1733" s="415">
        <v>0</v>
      </c>
      <c r="K1733" s="415">
        <v>0</v>
      </c>
      <c r="L1733" s="415">
        <v>1368</v>
      </c>
      <c r="M1733" s="415">
        <v>0</v>
      </c>
      <c r="N1733" s="415">
        <v>0</v>
      </c>
      <c r="O1733" s="415">
        <v>0</v>
      </c>
      <c r="P1733" s="415">
        <v>0</v>
      </c>
      <c r="Q1733" s="481">
        <f t="shared" si="73"/>
        <v>0</v>
      </c>
    </row>
    <row r="1734" spans="1:17" outlineLevel="2" x14ac:dyDescent="0.3">
      <c r="A1734" s="366" t="str">
        <f>IFERROR(VLOOKUP(RIGHT(E1734,3)+0,[1]SchLocTable!$A$2:$B$47,2,FALSE)," ")</f>
        <v xml:space="preserve"> </v>
      </c>
      <c r="B1734" s="366" t="str">
        <f>VLOOKUP(VALUE(D1734),$D$3:F$106,3,FALSE)</f>
        <v>Science</v>
      </c>
      <c r="C1734" t="s">
        <v>314</v>
      </c>
      <c r="D1734">
        <v>817</v>
      </c>
      <c r="E1734" t="s">
        <v>1315</v>
      </c>
      <c r="F1734" t="s">
        <v>316</v>
      </c>
      <c r="G1734" t="s">
        <v>319</v>
      </c>
      <c r="H1734" s="502">
        <v>51000</v>
      </c>
      <c r="I1734" s="415">
        <v>64054.33008</v>
      </c>
      <c r="J1734" s="415">
        <v>0</v>
      </c>
      <c r="K1734" s="415">
        <v>0</v>
      </c>
      <c r="L1734" s="415">
        <v>0</v>
      </c>
      <c r="M1734" s="415">
        <v>0</v>
      </c>
      <c r="N1734" s="415">
        <v>0</v>
      </c>
      <c r="O1734" s="415">
        <v>0</v>
      </c>
      <c r="P1734" s="415">
        <v>0</v>
      </c>
      <c r="Q1734" s="481">
        <f t="shared" si="73"/>
        <v>-64054.33008</v>
      </c>
    </row>
    <row r="1735" spans="1:17" outlineLevel="2" x14ac:dyDescent="0.3">
      <c r="A1735" s="366" t="str">
        <f>IFERROR(VLOOKUP(RIGHT(E1735,3)+0,[1]SchLocTable!$A$2:$B$47,2,FALSE)," ")</f>
        <v xml:space="preserve"> </v>
      </c>
      <c r="B1735" s="366" t="str">
        <f>VLOOKUP(VALUE(D1735),$D$3:F$106,3,FALSE)</f>
        <v>Science</v>
      </c>
      <c r="C1735" t="s">
        <v>314</v>
      </c>
      <c r="D1735">
        <v>817</v>
      </c>
      <c r="E1735" t="s">
        <v>1315</v>
      </c>
      <c r="F1735" t="s">
        <v>321</v>
      </c>
      <c r="G1735" t="s">
        <v>319</v>
      </c>
      <c r="H1735" s="502">
        <v>52917</v>
      </c>
      <c r="I1735" s="415">
        <v>46330.955999999998</v>
      </c>
      <c r="J1735" s="415">
        <v>0</v>
      </c>
      <c r="K1735" s="415">
        <v>0</v>
      </c>
      <c r="L1735" s="415">
        <v>0</v>
      </c>
      <c r="M1735" s="415">
        <v>0</v>
      </c>
      <c r="N1735" s="415">
        <v>0</v>
      </c>
      <c r="O1735" s="415">
        <v>0</v>
      </c>
      <c r="P1735" s="415">
        <v>0</v>
      </c>
      <c r="Q1735" s="481">
        <f t="shared" si="73"/>
        <v>-46330.955999999998</v>
      </c>
    </row>
    <row r="1736" spans="1:17" outlineLevel="2" x14ac:dyDescent="0.3">
      <c r="A1736" s="366" t="str">
        <f>IFERROR(VLOOKUP(RIGHT(E1736,3)+0,[1]SchLocTable!$A$2:$B$47,2,FALSE)," ")</f>
        <v xml:space="preserve"> </v>
      </c>
      <c r="B1736" s="366" t="str">
        <f>VLOOKUP(VALUE(D1736),$D$3:F$106,3,FALSE)</f>
        <v>Science</v>
      </c>
      <c r="C1736" t="s">
        <v>314</v>
      </c>
      <c r="D1736">
        <v>817</v>
      </c>
      <c r="E1736" t="s">
        <v>1315</v>
      </c>
      <c r="F1736" t="s">
        <v>320</v>
      </c>
      <c r="G1736" t="s">
        <v>319</v>
      </c>
      <c r="H1736" s="502">
        <v>52360</v>
      </c>
      <c r="I1736" s="415">
        <v>928.78778616</v>
      </c>
      <c r="J1736" s="415">
        <v>0</v>
      </c>
      <c r="K1736" s="415">
        <v>0</v>
      </c>
      <c r="L1736" s="415">
        <v>0</v>
      </c>
      <c r="M1736" s="415">
        <v>0</v>
      </c>
      <c r="N1736" s="415">
        <v>0</v>
      </c>
      <c r="O1736" s="415">
        <v>0</v>
      </c>
      <c r="P1736" s="415">
        <v>0</v>
      </c>
      <c r="Q1736" s="481">
        <f t="shared" si="73"/>
        <v>-928.78778616</v>
      </c>
    </row>
    <row r="1737" spans="1:17" outlineLevel="2" x14ac:dyDescent="0.3">
      <c r="A1737" s="366" t="str">
        <f>IFERROR(VLOOKUP(RIGHT(E1737,3)+0,[1]SchLocTable!$A$2:$B$47,2,FALSE)," ")</f>
        <v>Barnum</v>
      </c>
      <c r="B1737" s="366" t="str">
        <f>VLOOKUP(VALUE(D1737),$D$3:F$106,3,FALSE)</f>
        <v>Science</v>
      </c>
      <c r="C1737" t="s">
        <v>314</v>
      </c>
      <c r="D1737">
        <v>817</v>
      </c>
      <c r="E1737" t="s">
        <v>692</v>
      </c>
      <c r="F1737" t="s">
        <v>316</v>
      </c>
      <c r="G1737" t="s">
        <v>319</v>
      </c>
      <c r="H1737" s="502">
        <v>51000</v>
      </c>
      <c r="I1737" s="415">
        <v>0</v>
      </c>
      <c r="J1737" s="415">
        <v>0</v>
      </c>
      <c r="K1737" s="415">
        <v>0</v>
      </c>
      <c r="L1737" s="415">
        <v>67605.919999999998</v>
      </c>
      <c r="M1737" s="415">
        <v>42375</v>
      </c>
      <c r="N1737" s="415">
        <v>52902.98</v>
      </c>
      <c r="O1737" s="415">
        <v>52902.98</v>
      </c>
      <c r="P1737" s="415">
        <v>52069.94</v>
      </c>
      <c r="Q1737" s="481">
        <f t="shared" si="73"/>
        <v>0</v>
      </c>
    </row>
    <row r="1738" spans="1:17" outlineLevel="2" x14ac:dyDescent="0.3">
      <c r="A1738" s="366" t="str">
        <f>IFERROR(VLOOKUP(RIGHT(E1738,3)+0,[1]SchLocTable!$A$2:$B$47,2,FALSE)," ")</f>
        <v>Barnum</v>
      </c>
      <c r="B1738" s="366" t="str">
        <f>VLOOKUP(VALUE(D1738),$D$3:F$106,3,FALSE)</f>
        <v>Science</v>
      </c>
      <c r="C1738" t="s">
        <v>314</v>
      </c>
      <c r="D1738">
        <v>817</v>
      </c>
      <c r="E1738" t="s">
        <v>692</v>
      </c>
      <c r="F1738" t="s">
        <v>320</v>
      </c>
      <c r="G1738" t="s">
        <v>319</v>
      </c>
      <c r="H1738" s="502">
        <v>52360</v>
      </c>
      <c r="I1738" s="415">
        <v>0</v>
      </c>
      <c r="J1738" s="415">
        <v>0</v>
      </c>
      <c r="K1738" s="415">
        <v>0</v>
      </c>
      <c r="L1738" s="415">
        <v>980.28</v>
      </c>
      <c r="M1738" s="415">
        <v>614.44000000000005</v>
      </c>
      <c r="N1738" s="415">
        <v>767.09</v>
      </c>
      <c r="O1738" s="415">
        <v>729.81</v>
      </c>
      <c r="P1738" s="415">
        <v>720.37</v>
      </c>
      <c r="Q1738" s="481">
        <f t="shared" si="73"/>
        <v>0</v>
      </c>
    </row>
    <row r="1739" spans="1:17" outlineLevel="2" x14ac:dyDescent="0.3">
      <c r="A1739" s="366" t="str">
        <f>IFERROR(VLOOKUP(RIGHT(E1739,3)+0,[1]SchLocTable!$A$2:$B$47,2,FALSE)," ")</f>
        <v>Barnum</v>
      </c>
      <c r="B1739" s="366" t="str">
        <f>VLOOKUP(VALUE(D1739),$D$3:F$106,3,FALSE)</f>
        <v>Science</v>
      </c>
      <c r="C1739" t="s">
        <v>314</v>
      </c>
      <c r="D1739">
        <v>817</v>
      </c>
      <c r="E1739" t="s">
        <v>692</v>
      </c>
      <c r="F1739" t="s">
        <v>324</v>
      </c>
      <c r="G1739" t="s">
        <v>319</v>
      </c>
      <c r="H1739" s="502">
        <v>52385</v>
      </c>
      <c r="I1739" s="415">
        <v>0</v>
      </c>
      <c r="J1739" s="415">
        <v>0</v>
      </c>
      <c r="K1739" s="415">
        <v>0</v>
      </c>
      <c r="L1739" s="415">
        <v>155</v>
      </c>
      <c r="M1739" s="415">
        <v>2627.25</v>
      </c>
      <c r="N1739" s="415">
        <v>0</v>
      </c>
      <c r="O1739" s="415">
        <v>0</v>
      </c>
      <c r="P1739" s="415">
        <v>0</v>
      </c>
      <c r="Q1739" s="481">
        <f t="shared" si="73"/>
        <v>0</v>
      </c>
    </row>
    <row r="1740" spans="1:17" outlineLevel="2" x14ac:dyDescent="0.3">
      <c r="A1740" s="366" t="str">
        <f>IFERROR(VLOOKUP(RIGHT(E1740,3)+0,[1]SchLocTable!$A$2:$B$47,2,FALSE)," ")</f>
        <v>Black Rock</v>
      </c>
      <c r="B1740" s="366" t="str">
        <f>VLOOKUP(VALUE(D1740),$D$3:F$106,3,FALSE)</f>
        <v>Science</v>
      </c>
      <c r="C1740" t="s">
        <v>314</v>
      </c>
      <c r="D1740">
        <v>817</v>
      </c>
      <c r="E1740" t="s">
        <v>693</v>
      </c>
      <c r="F1740" t="s">
        <v>316</v>
      </c>
      <c r="G1740">
        <v>1</v>
      </c>
      <c r="H1740" s="502">
        <v>51000</v>
      </c>
      <c r="I1740" s="415">
        <v>110428.46490000001</v>
      </c>
      <c r="J1740" s="415">
        <v>105070</v>
      </c>
      <c r="K1740" s="415">
        <v>102205.1</v>
      </c>
      <c r="L1740" s="415">
        <v>100497.02</v>
      </c>
      <c r="M1740" s="415">
        <v>50536.08</v>
      </c>
      <c r="N1740" s="415">
        <v>48171.06</v>
      </c>
      <c r="O1740" s="415">
        <v>45591</v>
      </c>
      <c r="P1740" s="415">
        <v>44873</v>
      </c>
      <c r="Q1740" s="481">
        <f t="shared" si="73"/>
        <v>-5358.4649000000063</v>
      </c>
    </row>
    <row r="1741" spans="1:17" outlineLevel="2" x14ac:dyDescent="0.3">
      <c r="A1741" s="366" t="str">
        <f>IFERROR(VLOOKUP(RIGHT(E1741,3)+0,[1]SchLocTable!$A$2:$B$47,2,FALSE)," ")</f>
        <v>Black Rock</v>
      </c>
      <c r="B1741" s="366" t="str">
        <f>VLOOKUP(VALUE(D1741),$D$3:F$106,3,FALSE)</f>
        <v>Science</v>
      </c>
      <c r="C1741" t="s">
        <v>314</v>
      </c>
      <c r="D1741">
        <v>817</v>
      </c>
      <c r="E1741" t="s">
        <v>693</v>
      </c>
      <c r="F1741" t="s">
        <v>321</v>
      </c>
      <c r="G1741" t="s">
        <v>319</v>
      </c>
      <c r="H1741" s="502">
        <v>52917</v>
      </c>
      <c r="I1741" s="415">
        <v>46066.859999999993</v>
      </c>
      <c r="J1741" s="415">
        <v>38148</v>
      </c>
      <c r="K1741" s="415">
        <v>29817.72</v>
      </c>
      <c r="L1741" s="415">
        <v>34606.949999999997</v>
      </c>
      <c r="M1741" s="415">
        <v>10952.55</v>
      </c>
      <c r="N1741" s="415">
        <v>10177.23</v>
      </c>
      <c r="O1741" s="415">
        <v>9817.68</v>
      </c>
      <c r="P1741" s="415">
        <v>8850.2000000000007</v>
      </c>
      <c r="Q1741" s="481">
        <f t="shared" si="73"/>
        <v>-7918.8599999999933</v>
      </c>
    </row>
    <row r="1742" spans="1:17" outlineLevel="2" x14ac:dyDescent="0.3">
      <c r="A1742" s="366" t="str">
        <f>IFERROR(VLOOKUP(RIGHT(E1742,3)+0,[1]SchLocTable!$A$2:$B$47,2,FALSE)," ")</f>
        <v>Black Rock</v>
      </c>
      <c r="B1742" s="366" t="str">
        <f>VLOOKUP(VALUE(D1742),$D$3:F$106,3,FALSE)</f>
        <v>Science</v>
      </c>
      <c r="C1742" t="s">
        <v>314</v>
      </c>
      <c r="D1742">
        <v>817</v>
      </c>
      <c r="E1742" t="s">
        <v>693</v>
      </c>
      <c r="F1742" t="s">
        <v>320</v>
      </c>
      <c r="G1742" t="s">
        <v>319</v>
      </c>
      <c r="H1742" s="502">
        <v>52360</v>
      </c>
      <c r="I1742" s="415">
        <v>1601.2127410500002</v>
      </c>
      <c r="J1742" s="415">
        <v>1355</v>
      </c>
      <c r="K1742" s="415">
        <v>1354.3</v>
      </c>
      <c r="L1742" s="415">
        <v>1313.9</v>
      </c>
      <c r="M1742" s="415">
        <v>688.88</v>
      </c>
      <c r="N1742" s="415">
        <v>658.66</v>
      </c>
      <c r="O1742" s="415">
        <v>623.77</v>
      </c>
      <c r="P1742" s="415">
        <v>617.6</v>
      </c>
      <c r="Q1742" s="481">
        <f t="shared" si="73"/>
        <v>-246.2127410500002</v>
      </c>
    </row>
    <row r="1743" spans="1:17" outlineLevel="2" x14ac:dyDescent="0.3">
      <c r="A1743" s="366" t="str">
        <f>IFERROR(VLOOKUP(RIGHT(E1743,3)+0,[1]SchLocTable!$A$2:$B$47,2,FALSE)," ")</f>
        <v>Columbus</v>
      </c>
      <c r="B1743" s="366" t="str">
        <f>VLOOKUP(VALUE(D1743),$D$3:F$106,3,FALSE)</f>
        <v>Science</v>
      </c>
      <c r="C1743" t="s">
        <v>314</v>
      </c>
      <c r="D1743">
        <v>817</v>
      </c>
      <c r="E1743" t="s">
        <v>694</v>
      </c>
      <c r="F1743" t="s">
        <v>316</v>
      </c>
      <c r="G1743">
        <v>1</v>
      </c>
      <c r="H1743" s="502">
        <v>51000</v>
      </c>
      <c r="I1743" s="415">
        <v>64054.33008</v>
      </c>
      <c r="J1743" s="415">
        <v>60946</v>
      </c>
      <c r="K1743" s="415">
        <v>57918.9</v>
      </c>
      <c r="L1743" s="415">
        <v>54993.120000000003</v>
      </c>
      <c r="M1743" s="415">
        <v>31001.78</v>
      </c>
      <c r="N1743" s="415">
        <v>50718.02</v>
      </c>
      <c r="O1743" s="415">
        <v>50535.94</v>
      </c>
      <c r="P1743" s="415">
        <v>49740.08</v>
      </c>
      <c r="Q1743" s="481">
        <f t="shared" si="73"/>
        <v>-3108.3300799999997</v>
      </c>
    </row>
    <row r="1744" spans="1:17" outlineLevel="2" x14ac:dyDescent="0.3">
      <c r="A1744" s="366" t="str">
        <f>IFERROR(VLOOKUP(RIGHT(E1744,3)+0,[1]SchLocTable!$A$2:$B$47,2,FALSE)," ")</f>
        <v>Columbus</v>
      </c>
      <c r="B1744" s="366" t="str">
        <f>VLOOKUP(VALUE(D1744),$D$3:F$106,3,FALSE)</f>
        <v>Science</v>
      </c>
      <c r="C1744" t="s">
        <v>314</v>
      </c>
      <c r="D1744">
        <v>817</v>
      </c>
      <c r="E1744" t="s">
        <v>694</v>
      </c>
      <c r="F1744" t="s">
        <v>321</v>
      </c>
      <c r="G1744" t="s">
        <v>319</v>
      </c>
      <c r="H1744" s="502">
        <v>52917</v>
      </c>
      <c r="I1744" s="415">
        <v>37369.331999999995</v>
      </c>
      <c r="J1744" s="415">
        <v>15950</v>
      </c>
      <c r="K1744" s="415">
        <v>18801.060000000001</v>
      </c>
      <c r="L1744" s="415">
        <v>11550</v>
      </c>
      <c r="M1744" s="415">
        <v>5185.5</v>
      </c>
      <c r="N1744" s="415">
        <v>10177.23</v>
      </c>
      <c r="O1744" s="415">
        <v>9817.68</v>
      </c>
      <c r="P1744" s="415">
        <v>9292.7099999999991</v>
      </c>
      <c r="Q1744" s="481">
        <f t="shared" si="73"/>
        <v>-21419.331999999995</v>
      </c>
    </row>
    <row r="1745" spans="1:17" outlineLevel="2" x14ac:dyDescent="0.3">
      <c r="A1745" s="366" t="str">
        <f>IFERROR(VLOOKUP(RIGHT(E1745,3)+0,[1]SchLocTable!$A$2:$B$47,2,FALSE)," ")</f>
        <v>Columbus</v>
      </c>
      <c r="B1745" s="366" t="str">
        <f>VLOOKUP(VALUE(D1745),$D$3:F$106,3,FALSE)</f>
        <v>Science</v>
      </c>
      <c r="C1745" t="s">
        <v>314</v>
      </c>
      <c r="D1745">
        <v>817</v>
      </c>
      <c r="E1745" t="s">
        <v>694</v>
      </c>
      <c r="F1745" t="s">
        <v>320</v>
      </c>
      <c r="G1745" t="s">
        <v>319</v>
      </c>
      <c r="H1745" s="502">
        <v>52360</v>
      </c>
      <c r="I1745" s="415">
        <v>928.78778616</v>
      </c>
      <c r="J1745" s="415">
        <v>813</v>
      </c>
      <c r="K1745" s="415">
        <v>759.16</v>
      </c>
      <c r="L1745" s="415">
        <v>749.35</v>
      </c>
      <c r="M1745" s="415">
        <v>428.57</v>
      </c>
      <c r="N1745" s="415">
        <v>695.61</v>
      </c>
      <c r="O1745" s="415">
        <v>695.48</v>
      </c>
      <c r="P1745" s="415">
        <v>686.52</v>
      </c>
      <c r="Q1745" s="481">
        <f t="shared" si="73"/>
        <v>-115.78778616</v>
      </c>
    </row>
    <row r="1746" spans="1:17" outlineLevel="2" x14ac:dyDescent="0.3">
      <c r="A1746" s="366" t="str">
        <f>IFERROR(VLOOKUP(RIGHT(E1746,3)+0,[1]SchLocTable!$A$2:$B$47,2,FALSE)," ")</f>
        <v>Physical Science HS</v>
      </c>
      <c r="B1746" s="366" t="str">
        <f>VLOOKUP(VALUE(D1746),$D$3:F$106,3,FALSE)</f>
        <v>Science</v>
      </c>
      <c r="C1746" t="s">
        <v>314</v>
      </c>
      <c r="D1746">
        <v>817</v>
      </c>
      <c r="E1746" t="s">
        <v>695</v>
      </c>
      <c r="F1746" t="s">
        <v>316</v>
      </c>
      <c r="G1746">
        <v>4</v>
      </c>
      <c r="H1746" s="502">
        <v>51000</v>
      </c>
      <c r="I1746" s="415">
        <v>431543.42719000002</v>
      </c>
      <c r="J1746" s="415">
        <v>410603</v>
      </c>
      <c r="K1746" s="415">
        <v>401567.98</v>
      </c>
      <c r="L1746" s="415">
        <v>193719.97</v>
      </c>
      <c r="M1746" s="415">
        <v>201407.05</v>
      </c>
      <c r="N1746" s="415">
        <v>318515.90999999997</v>
      </c>
      <c r="O1746" s="415">
        <v>160232.94</v>
      </c>
      <c r="P1746" s="415">
        <v>136779.79999999999</v>
      </c>
      <c r="Q1746" s="481">
        <f t="shared" si="73"/>
        <v>-20940.427190000017</v>
      </c>
    </row>
    <row r="1747" spans="1:17" outlineLevel="2" x14ac:dyDescent="0.3">
      <c r="A1747" s="366" t="str">
        <f>IFERROR(VLOOKUP(RIGHT(E1747,3)+0,[1]SchLocTable!$A$2:$B$47,2,FALSE)," ")</f>
        <v>Physical Science HS</v>
      </c>
      <c r="B1747" s="366" t="str">
        <f>VLOOKUP(VALUE(D1747),$D$3:F$106,3,FALSE)</f>
        <v>Science</v>
      </c>
      <c r="C1747" t="s">
        <v>314</v>
      </c>
      <c r="D1747">
        <v>817</v>
      </c>
      <c r="E1747" t="s">
        <v>695</v>
      </c>
      <c r="F1747" t="s">
        <v>321</v>
      </c>
      <c r="G1747" t="s">
        <v>319</v>
      </c>
      <c r="H1747" s="502">
        <v>52917</v>
      </c>
      <c r="I1747" s="415">
        <v>185323.82399999999</v>
      </c>
      <c r="J1747" s="415">
        <v>154436.51999999999</v>
      </c>
      <c r="K1747" s="415">
        <v>140303.51999999999</v>
      </c>
      <c r="L1747" s="415">
        <v>67980.36</v>
      </c>
      <c r="M1747" s="415">
        <v>96063.24</v>
      </c>
      <c r="N1747" s="415">
        <v>89366.07</v>
      </c>
      <c r="O1747" s="415">
        <v>87648.14</v>
      </c>
      <c r="P1747" s="415">
        <v>48249.85</v>
      </c>
      <c r="Q1747" s="481">
        <f t="shared" si="73"/>
        <v>-30887.304000000004</v>
      </c>
    </row>
    <row r="1748" spans="1:17" outlineLevel="2" x14ac:dyDescent="0.3">
      <c r="A1748" s="366" t="str">
        <f>IFERROR(VLOOKUP(RIGHT(E1748,3)+0,[1]SchLocTable!$A$2:$B$47,2,FALSE)," ")</f>
        <v>Physical Science HS</v>
      </c>
      <c r="B1748" s="366" t="str">
        <f>VLOOKUP(VALUE(D1748),$D$3:F$106,3,FALSE)</f>
        <v>Science</v>
      </c>
      <c r="C1748" t="s">
        <v>314</v>
      </c>
      <c r="D1748">
        <v>817</v>
      </c>
      <c r="E1748" t="s">
        <v>695</v>
      </c>
      <c r="F1748" t="s">
        <v>320</v>
      </c>
      <c r="G1748" t="s">
        <v>319</v>
      </c>
      <c r="H1748" s="502">
        <v>52360</v>
      </c>
      <c r="I1748" s="415">
        <v>6257.3796942549998</v>
      </c>
      <c r="J1748" s="415">
        <v>5157</v>
      </c>
      <c r="K1748" s="415">
        <v>5223.8500000000004</v>
      </c>
      <c r="L1748" s="415">
        <v>2525.48</v>
      </c>
      <c r="M1748" s="415">
        <v>3758.4</v>
      </c>
      <c r="N1748" s="415">
        <v>2386.5300000000002</v>
      </c>
      <c r="O1748" s="415">
        <v>2913.03</v>
      </c>
      <c r="P1748" s="415">
        <v>2041.89</v>
      </c>
      <c r="Q1748" s="481">
        <f t="shared" si="73"/>
        <v>-1100.3796942549998</v>
      </c>
    </row>
    <row r="1749" spans="1:17" outlineLevel="2" x14ac:dyDescent="0.3">
      <c r="A1749" s="366" t="str">
        <f>IFERROR(VLOOKUP(RIGHT(E1749,3)+0,[1]SchLocTable!$A$2:$B$47,2,FALSE)," ")</f>
        <v>Marin</v>
      </c>
      <c r="B1749" s="366" t="str">
        <f>VLOOKUP(VALUE(D1749),$D$3:F$106,3,FALSE)</f>
        <v>Science</v>
      </c>
      <c r="C1749" t="s">
        <v>314</v>
      </c>
      <c r="D1749">
        <v>817</v>
      </c>
      <c r="E1749" t="s">
        <v>696</v>
      </c>
      <c r="F1749" t="s">
        <v>316</v>
      </c>
      <c r="G1749">
        <v>1</v>
      </c>
      <c r="H1749" s="502">
        <v>51000</v>
      </c>
      <c r="I1749" s="415">
        <v>67234.666589999993</v>
      </c>
      <c r="J1749" s="415">
        <v>63972</v>
      </c>
      <c r="K1749" s="415">
        <v>63290.080000000002</v>
      </c>
      <c r="L1749" s="415">
        <v>45875</v>
      </c>
      <c r="M1749" s="415">
        <v>15352.49</v>
      </c>
      <c r="N1749" s="415">
        <v>135550.01</v>
      </c>
      <c r="O1749" s="415">
        <v>88086.84</v>
      </c>
      <c r="P1749" s="415">
        <v>43081.51</v>
      </c>
      <c r="Q1749" s="481">
        <f t="shared" si="73"/>
        <v>-3262.6665899999934</v>
      </c>
    </row>
    <row r="1750" spans="1:17" outlineLevel="2" x14ac:dyDescent="0.3">
      <c r="A1750" s="366" t="str">
        <f>IFERROR(VLOOKUP(RIGHT(E1750,3)+0,[1]SchLocTable!$A$2:$B$47,2,FALSE)," ")</f>
        <v>Marin</v>
      </c>
      <c r="B1750" s="366" t="str">
        <f>VLOOKUP(VALUE(D1750),$D$3:F$106,3,FALSE)</f>
        <v>Science</v>
      </c>
      <c r="C1750" t="s">
        <v>314</v>
      </c>
      <c r="D1750">
        <v>817</v>
      </c>
      <c r="E1750" t="s">
        <v>696</v>
      </c>
      <c r="F1750" t="s">
        <v>321</v>
      </c>
      <c r="G1750" t="s">
        <v>319</v>
      </c>
      <c r="H1750" s="502">
        <v>52917</v>
      </c>
      <c r="I1750" s="415">
        <v>46066.859999999993</v>
      </c>
      <c r="J1750" s="415">
        <v>417</v>
      </c>
      <c r="K1750" s="415">
        <v>336.42</v>
      </c>
      <c r="L1750" s="415">
        <v>352.44</v>
      </c>
      <c r="M1750" s="415">
        <v>2608.75</v>
      </c>
      <c r="N1750" s="415">
        <v>10232.879999999999</v>
      </c>
      <c r="O1750" s="415">
        <v>4250.16</v>
      </c>
      <c r="P1750" s="415">
        <v>0</v>
      </c>
      <c r="Q1750" s="481">
        <f t="shared" si="73"/>
        <v>-45649.859999999993</v>
      </c>
    </row>
    <row r="1751" spans="1:17" outlineLevel="2" x14ac:dyDescent="0.3">
      <c r="A1751" s="366" t="str">
        <f>IFERROR(VLOOKUP(RIGHT(E1751,3)+0,[1]SchLocTable!$A$2:$B$47,2,FALSE)," ")</f>
        <v>Marin</v>
      </c>
      <c r="B1751" s="366" t="str">
        <f>VLOOKUP(VALUE(D1751),$D$3:F$106,3,FALSE)</f>
        <v>Science</v>
      </c>
      <c r="C1751" t="s">
        <v>314</v>
      </c>
      <c r="D1751">
        <v>817</v>
      </c>
      <c r="E1751" t="s">
        <v>696</v>
      </c>
      <c r="F1751" t="s">
        <v>320</v>
      </c>
      <c r="G1751" t="s">
        <v>319</v>
      </c>
      <c r="H1751" s="502">
        <v>52360</v>
      </c>
      <c r="I1751" s="415">
        <v>974.902665555</v>
      </c>
      <c r="J1751" s="415">
        <v>903.42</v>
      </c>
      <c r="K1751" s="415">
        <v>916.85</v>
      </c>
      <c r="L1751" s="415">
        <v>664.29</v>
      </c>
      <c r="M1751" s="415">
        <v>212.09</v>
      </c>
      <c r="N1751" s="415">
        <v>1938.56</v>
      </c>
      <c r="O1751" s="415">
        <v>1242.6400000000001</v>
      </c>
      <c r="P1751" s="415">
        <v>632.9</v>
      </c>
      <c r="Q1751" s="481">
        <f t="shared" si="73"/>
        <v>-71.48266555500004</v>
      </c>
    </row>
    <row r="1752" spans="1:17" outlineLevel="2" x14ac:dyDescent="0.3">
      <c r="A1752" s="366" t="str">
        <f>IFERROR(VLOOKUP(RIGHT(E1752,3)+0,[1]SchLocTable!$A$2:$B$47,2,FALSE)," ")</f>
        <v>Hallen</v>
      </c>
      <c r="B1752" s="366" t="str">
        <f>VLOOKUP(VALUE(D1752),$D$3:F$106,3,FALSE)</f>
        <v>Science</v>
      </c>
      <c r="C1752" t="s">
        <v>314</v>
      </c>
      <c r="D1752">
        <v>817</v>
      </c>
      <c r="E1752" t="s">
        <v>1319</v>
      </c>
      <c r="F1752" t="s">
        <v>316</v>
      </c>
      <c r="G1752" t="s">
        <v>319</v>
      </c>
      <c r="H1752" s="502">
        <v>51000</v>
      </c>
      <c r="I1752" s="415">
        <v>80000</v>
      </c>
      <c r="J1752" s="415">
        <v>0</v>
      </c>
      <c r="K1752" s="415"/>
      <c r="L1752" s="415">
        <v>0</v>
      </c>
      <c r="M1752" s="415">
        <v>0</v>
      </c>
      <c r="N1752" s="415">
        <v>0</v>
      </c>
      <c r="O1752" s="415">
        <v>0</v>
      </c>
      <c r="P1752" s="415">
        <v>0</v>
      </c>
      <c r="Q1752" s="481">
        <f t="shared" si="73"/>
        <v>-80000</v>
      </c>
    </row>
    <row r="1753" spans="1:17" outlineLevel="2" x14ac:dyDescent="0.3">
      <c r="A1753" s="366" t="str">
        <f>IFERROR(VLOOKUP(RIGHT(E1753,3)+0,[1]SchLocTable!$A$2:$B$47,2,FALSE)," ")</f>
        <v>Hallen</v>
      </c>
      <c r="B1753" s="366" t="str">
        <f>VLOOKUP(VALUE(D1753),$D$3:F$106,3,FALSE)</f>
        <v>Science</v>
      </c>
      <c r="C1753" t="s">
        <v>314</v>
      </c>
      <c r="D1753">
        <v>817</v>
      </c>
      <c r="E1753" t="s">
        <v>1319</v>
      </c>
      <c r="F1753" t="s">
        <v>321</v>
      </c>
      <c r="G1753" t="s">
        <v>319</v>
      </c>
      <c r="H1753" s="502">
        <v>52917</v>
      </c>
      <c r="I1753" s="415">
        <v>32400</v>
      </c>
      <c r="J1753" s="415">
        <v>0</v>
      </c>
      <c r="K1753" s="415"/>
      <c r="L1753" s="415">
        <v>0</v>
      </c>
      <c r="M1753" s="415">
        <v>0</v>
      </c>
      <c r="N1753" s="415">
        <v>0</v>
      </c>
      <c r="O1753" s="415">
        <v>0</v>
      </c>
      <c r="P1753" s="415">
        <v>0</v>
      </c>
      <c r="Q1753" s="481">
        <f t="shared" si="73"/>
        <v>-32400</v>
      </c>
    </row>
    <row r="1754" spans="1:17" outlineLevel="2" x14ac:dyDescent="0.3">
      <c r="A1754" s="366" t="str">
        <f>IFERROR(VLOOKUP(RIGHT(E1754,3)+0,[1]SchLocTable!$A$2:$B$47,2,FALSE)," ")</f>
        <v>Hallen</v>
      </c>
      <c r="B1754" s="366" t="str">
        <f>VLOOKUP(VALUE(D1754),$D$3:F$106,3,FALSE)</f>
        <v>Science</v>
      </c>
      <c r="C1754" t="s">
        <v>314</v>
      </c>
      <c r="D1754">
        <v>817</v>
      </c>
      <c r="E1754" t="s">
        <v>1319</v>
      </c>
      <c r="F1754" t="s">
        <v>320</v>
      </c>
      <c r="G1754" t="s">
        <v>319</v>
      </c>
      <c r="H1754" s="502">
        <v>52360</v>
      </c>
      <c r="I1754" s="415">
        <v>1160</v>
      </c>
      <c r="J1754" s="415">
        <v>0</v>
      </c>
      <c r="K1754" s="415"/>
      <c r="L1754" s="415">
        <v>0</v>
      </c>
      <c r="M1754" s="415">
        <v>0</v>
      </c>
      <c r="N1754" s="415">
        <v>0</v>
      </c>
      <c r="O1754" s="415">
        <v>0</v>
      </c>
      <c r="P1754" s="415">
        <v>0</v>
      </c>
      <c r="Q1754" s="481">
        <f t="shared" si="73"/>
        <v>-1160</v>
      </c>
    </row>
    <row r="1755" spans="1:17" outlineLevel="2" x14ac:dyDescent="0.3">
      <c r="A1755" s="366" t="str">
        <f>IFERROR(VLOOKUP(RIGHT(E1755,3)+0,[1]SchLocTable!$A$2:$B$47,2,FALSE)," ")</f>
        <v>Hallen</v>
      </c>
      <c r="B1755" s="366" t="str">
        <f>VLOOKUP(VALUE(D1755),$D$3:F$106,3,FALSE)</f>
        <v>Science</v>
      </c>
      <c r="C1755" t="s">
        <v>314</v>
      </c>
      <c r="D1755">
        <v>817</v>
      </c>
      <c r="E1755" t="s">
        <v>1319</v>
      </c>
      <c r="F1755" t="s">
        <v>392</v>
      </c>
      <c r="G1755" t="s">
        <v>319</v>
      </c>
      <c r="H1755" s="502">
        <v>52504</v>
      </c>
      <c r="I1755" s="415">
        <v>0</v>
      </c>
      <c r="J1755" s="415">
        <v>0</v>
      </c>
      <c r="K1755" s="415"/>
      <c r="L1755" s="415">
        <v>0</v>
      </c>
      <c r="M1755" s="415">
        <v>0</v>
      </c>
      <c r="N1755" s="415">
        <v>0</v>
      </c>
      <c r="O1755" s="415">
        <v>0</v>
      </c>
      <c r="P1755" s="415">
        <v>0</v>
      </c>
      <c r="Q1755" s="481">
        <f t="shared" si="73"/>
        <v>0</v>
      </c>
    </row>
    <row r="1756" spans="1:17" outlineLevel="2" x14ac:dyDescent="0.3">
      <c r="A1756" s="366" t="str">
        <f>IFERROR(VLOOKUP(RIGHT(E1756,3)+0,[1]SchLocTable!$A$2:$B$47,2,FALSE)," ")</f>
        <v>Hooker</v>
      </c>
      <c r="B1756" s="366" t="str">
        <f>VLOOKUP(VALUE(D1756),$D$3:F$106,3,FALSE)</f>
        <v>Science</v>
      </c>
      <c r="C1756" t="s">
        <v>314</v>
      </c>
      <c r="D1756">
        <v>817</v>
      </c>
      <c r="E1756" t="s">
        <v>697</v>
      </c>
      <c r="F1756" t="s">
        <v>316</v>
      </c>
      <c r="G1756" t="s">
        <v>319</v>
      </c>
      <c r="H1756" s="502">
        <v>51000</v>
      </c>
      <c r="I1756" s="415">
        <v>0</v>
      </c>
      <c r="J1756" s="415">
        <v>0</v>
      </c>
      <c r="K1756" s="415">
        <v>0</v>
      </c>
      <c r="L1756" s="415">
        <v>0</v>
      </c>
      <c r="M1756" s="415">
        <v>24481.01</v>
      </c>
      <c r="N1756" s="415">
        <v>0</v>
      </c>
      <c r="O1756" s="415">
        <v>0</v>
      </c>
      <c r="P1756" s="415">
        <v>50799.06</v>
      </c>
      <c r="Q1756" s="481">
        <f t="shared" si="73"/>
        <v>0</v>
      </c>
    </row>
    <row r="1757" spans="1:17" outlineLevel="2" x14ac:dyDescent="0.3">
      <c r="A1757" s="366" t="str">
        <f>IFERROR(VLOOKUP(RIGHT(E1757,3)+0,[1]SchLocTable!$A$2:$B$47,2,FALSE)," ")</f>
        <v>Hooker</v>
      </c>
      <c r="B1757" s="366" t="str">
        <f>VLOOKUP(VALUE(D1757),$D$3:F$106,3,FALSE)</f>
        <v>Science</v>
      </c>
      <c r="C1757" t="s">
        <v>314</v>
      </c>
      <c r="D1757">
        <v>817</v>
      </c>
      <c r="E1757" t="s">
        <v>697</v>
      </c>
      <c r="F1757" t="s">
        <v>321</v>
      </c>
      <c r="G1757" t="s">
        <v>319</v>
      </c>
      <c r="H1757" s="502">
        <v>52917</v>
      </c>
      <c r="I1757" s="415">
        <v>0</v>
      </c>
      <c r="J1757" s="415">
        <v>0</v>
      </c>
      <c r="K1757" s="415">
        <v>0</v>
      </c>
      <c r="L1757" s="415">
        <v>0</v>
      </c>
      <c r="M1757" s="415">
        <v>7726</v>
      </c>
      <c r="N1757" s="415">
        <v>0</v>
      </c>
      <c r="O1757" s="415">
        <v>0</v>
      </c>
      <c r="P1757" s="415">
        <v>9245.67</v>
      </c>
      <c r="Q1757" s="481">
        <f t="shared" si="73"/>
        <v>0</v>
      </c>
    </row>
    <row r="1758" spans="1:17" outlineLevel="2" x14ac:dyDescent="0.3">
      <c r="A1758" s="366" t="str">
        <f>IFERROR(VLOOKUP(RIGHT(E1758,3)+0,[1]SchLocTable!$A$2:$B$47,2,FALSE)," ")</f>
        <v>Hooker</v>
      </c>
      <c r="B1758" s="366" t="str">
        <f>VLOOKUP(VALUE(D1758),$D$3:F$106,3,FALSE)</f>
        <v>Science</v>
      </c>
      <c r="C1758" t="s">
        <v>314</v>
      </c>
      <c r="D1758">
        <v>817</v>
      </c>
      <c r="E1758" t="s">
        <v>697</v>
      </c>
      <c r="F1758" t="s">
        <v>320</v>
      </c>
      <c r="G1758" t="s">
        <v>319</v>
      </c>
      <c r="H1758" s="502">
        <v>52360</v>
      </c>
      <c r="I1758" s="415">
        <v>0</v>
      </c>
      <c r="J1758" s="415">
        <v>0</v>
      </c>
      <c r="K1758" s="415">
        <v>0</v>
      </c>
      <c r="L1758" s="415">
        <v>0</v>
      </c>
      <c r="M1758" s="415">
        <v>323.99</v>
      </c>
      <c r="N1758" s="415">
        <v>0</v>
      </c>
      <c r="O1758" s="415">
        <v>0</v>
      </c>
      <c r="P1758" s="415">
        <v>701.96</v>
      </c>
      <c r="Q1758" s="481">
        <f t="shared" si="73"/>
        <v>0</v>
      </c>
    </row>
    <row r="1759" spans="1:17" outlineLevel="2" x14ac:dyDescent="0.3">
      <c r="A1759" s="366" t="str">
        <f>IFERROR(VLOOKUP(RIGHT(E1759,3)+0,[1]SchLocTable!$A$2:$B$47,2,FALSE)," ")</f>
        <v>Batalla</v>
      </c>
      <c r="B1759" s="366" t="str">
        <f>VLOOKUP(VALUE(D1759),$D$3:F$106,3,FALSE)</f>
        <v>Science</v>
      </c>
      <c r="C1759" t="s">
        <v>314</v>
      </c>
      <c r="D1759">
        <v>817</v>
      </c>
      <c r="E1759" t="s">
        <v>698</v>
      </c>
      <c r="F1759" t="s">
        <v>316</v>
      </c>
      <c r="G1759">
        <v>2</v>
      </c>
      <c r="H1759" s="502">
        <v>51000</v>
      </c>
      <c r="I1759" s="415">
        <v>128147.92155</v>
      </c>
      <c r="J1759" s="415">
        <v>0</v>
      </c>
      <c r="K1759" s="415">
        <v>0</v>
      </c>
      <c r="L1759" s="415">
        <v>63339.12</v>
      </c>
      <c r="M1759" s="415">
        <v>60342.879999999997</v>
      </c>
      <c r="N1759" s="415">
        <v>123781.04</v>
      </c>
      <c r="O1759" s="415">
        <v>142248.07999999999</v>
      </c>
      <c r="P1759" s="415">
        <v>140008.18</v>
      </c>
      <c r="Q1759" s="481">
        <f t="shared" si="73"/>
        <v>-128147.92155</v>
      </c>
    </row>
    <row r="1760" spans="1:17" outlineLevel="2" x14ac:dyDescent="0.3">
      <c r="A1760" s="366" t="str">
        <f>IFERROR(VLOOKUP(RIGHT(E1760,3)+0,[1]SchLocTable!$A$2:$B$47,2,FALSE)," ")</f>
        <v>Batalla</v>
      </c>
      <c r="B1760" s="366" t="str">
        <f>VLOOKUP(VALUE(D1760),$D$3:F$106,3,FALSE)</f>
        <v>Science</v>
      </c>
      <c r="C1760" t="s">
        <v>314</v>
      </c>
      <c r="D1760">
        <v>817</v>
      </c>
      <c r="E1760" t="s">
        <v>698</v>
      </c>
      <c r="F1760" t="s">
        <v>321</v>
      </c>
      <c r="G1760" t="s">
        <v>319</v>
      </c>
      <c r="H1760" s="502">
        <v>52917</v>
      </c>
      <c r="I1760" s="415">
        <v>0</v>
      </c>
      <c r="J1760" s="415">
        <v>0</v>
      </c>
      <c r="K1760" s="415">
        <v>0</v>
      </c>
      <c r="L1760" s="415">
        <v>11684.82</v>
      </c>
      <c r="M1760" s="415">
        <v>10956.75</v>
      </c>
      <c r="N1760" s="415">
        <v>34768.47</v>
      </c>
      <c r="O1760" s="415">
        <v>32855.42</v>
      </c>
      <c r="P1760" s="415">
        <v>0</v>
      </c>
      <c r="Q1760" s="481">
        <f t="shared" si="73"/>
        <v>0</v>
      </c>
    </row>
    <row r="1761" spans="1:17" outlineLevel="2" x14ac:dyDescent="0.3">
      <c r="A1761" s="366" t="str">
        <f>IFERROR(VLOOKUP(RIGHT(E1761,3)+0,[1]SchLocTable!$A$2:$B$47,2,FALSE)," ")</f>
        <v>Batalla</v>
      </c>
      <c r="B1761" s="366" t="str">
        <f>VLOOKUP(VALUE(D1761),$D$3:F$106,3,FALSE)</f>
        <v>Science</v>
      </c>
      <c r="C1761" t="s">
        <v>314</v>
      </c>
      <c r="D1761">
        <v>817</v>
      </c>
      <c r="E1761" t="s">
        <v>698</v>
      </c>
      <c r="F1761" t="s">
        <v>320</v>
      </c>
      <c r="G1761" t="s">
        <v>319</v>
      </c>
      <c r="H1761" s="502">
        <v>52360</v>
      </c>
      <c r="I1761" s="415">
        <v>1858.1448624750001</v>
      </c>
      <c r="J1761" s="415">
        <v>0</v>
      </c>
      <c r="K1761" s="415">
        <v>0</v>
      </c>
      <c r="L1761" s="415">
        <v>870</v>
      </c>
      <c r="M1761" s="415">
        <v>830.79</v>
      </c>
      <c r="N1761" s="415">
        <v>1675.03</v>
      </c>
      <c r="O1761" s="415">
        <v>1953.75</v>
      </c>
      <c r="P1761" s="415">
        <v>2046.06</v>
      </c>
      <c r="Q1761" s="481">
        <f t="shared" si="73"/>
        <v>-1858.1448624750001</v>
      </c>
    </row>
    <row r="1762" spans="1:17" outlineLevel="2" x14ac:dyDescent="0.3">
      <c r="A1762" s="366" t="str">
        <f>IFERROR(VLOOKUP(RIGHT(E1762,3)+0,[1]SchLocTable!$A$2:$B$47,2,FALSE)," ")</f>
        <v>Batalla</v>
      </c>
      <c r="B1762" s="366" t="str">
        <f>VLOOKUP(VALUE(D1762),$D$3:F$106,3,FALSE)</f>
        <v>Science</v>
      </c>
      <c r="C1762" t="s">
        <v>314</v>
      </c>
      <c r="D1762">
        <v>817</v>
      </c>
      <c r="E1762" t="s">
        <v>698</v>
      </c>
      <c r="F1762" t="s">
        <v>324</v>
      </c>
      <c r="G1762" t="s">
        <v>319</v>
      </c>
      <c r="H1762" s="502">
        <v>52385</v>
      </c>
      <c r="I1762" s="415">
        <v>4171.05</v>
      </c>
      <c r="J1762" s="415">
        <v>0</v>
      </c>
      <c r="K1762" s="415">
        <v>0</v>
      </c>
      <c r="L1762" s="415">
        <v>0</v>
      </c>
      <c r="M1762" s="415">
        <v>0</v>
      </c>
      <c r="N1762" s="415">
        <v>0</v>
      </c>
      <c r="O1762" s="415">
        <v>0</v>
      </c>
      <c r="P1762" s="415">
        <v>0</v>
      </c>
      <c r="Q1762" s="481">
        <f t="shared" si="73"/>
        <v>-4171.05</v>
      </c>
    </row>
    <row r="1763" spans="1:17" outlineLevel="2" x14ac:dyDescent="0.3">
      <c r="A1763" s="366" t="str">
        <f>IFERROR(VLOOKUP(RIGHT(E1763,3)+0,[1]SchLocTable!$A$2:$B$47,2,FALSE)," ")</f>
        <v>Info Tech HS</v>
      </c>
      <c r="B1763" s="366" t="str">
        <f>VLOOKUP(VALUE(D1763),$D$3:F$106,3,FALSE)</f>
        <v>Science</v>
      </c>
      <c r="C1763" t="s">
        <v>314</v>
      </c>
      <c r="D1763">
        <v>817</v>
      </c>
      <c r="E1763" t="s">
        <v>699</v>
      </c>
      <c r="F1763" t="s">
        <v>316</v>
      </c>
      <c r="G1763">
        <v>2</v>
      </c>
      <c r="H1763" s="502">
        <v>51000</v>
      </c>
      <c r="I1763" s="415">
        <v>161769.77588</v>
      </c>
      <c r="J1763" s="415">
        <v>77802</v>
      </c>
      <c r="K1763" s="415">
        <v>73480.94</v>
      </c>
      <c r="L1763" s="415">
        <v>80805.55</v>
      </c>
      <c r="M1763" s="415">
        <v>192668.03</v>
      </c>
      <c r="N1763" s="415">
        <v>106558.89</v>
      </c>
      <c r="O1763" s="415">
        <v>42896.1</v>
      </c>
      <c r="P1763" s="415">
        <v>53697</v>
      </c>
      <c r="Q1763" s="481">
        <f t="shared" si="73"/>
        <v>-83967.775880000001</v>
      </c>
    </row>
    <row r="1764" spans="1:17" outlineLevel="2" x14ac:dyDescent="0.3">
      <c r="A1764" s="366" t="str">
        <f>IFERROR(VLOOKUP(RIGHT(E1764,3)+0,[1]SchLocTable!$A$2:$B$47,2,FALSE)," ")</f>
        <v>Info Tech HS</v>
      </c>
      <c r="B1764" s="366" t="str">
        <f>VLOOKUP(VALUE(D1764),$D$3:F$106,3,FALSE)</f>
        <v>Science</v>
      </c>
      <c r="C1764" t="s">
        <v>314</v>
      </c>
      <c r="D1764">
        <v>817</v>
      </c>
      <c r="E1764" t="s">
        <v>699</v>
      </c>
      <c r="F1764" t="s">
        <v>321</v>
      </c>
      <c r="G1764" t="s">
        <v>319</v>
      </c>
      <c r="H1764" s="502">
        <v>52917</v>
      </c>
      <c r="I1764" s="415">
        <v>48044.663999999997</v>
      </c>
      <c r="J1764" s="415">
        <v>13037.22</v>
      </c>
      <c r="K1764" s="415">
        <v>11844</v>
      </c>
      <c r="L1764" s="415">
        <v>19884.77</v>
      </c>
      <c r="M1764" s="415">
        <v>75842.759999999995</v>
      </c>
      <c r="N1764" s="415">
        <v>40103.4</v>
      </c>
      <c r="O1764" s="415">
        <v>19635.36</v>
      </c>
      <c r="P1764" s="415">
        <v>18538.38</v>
      </c>
      <c r="Q1764" s="481">
        <f t="shared" si="73"/>
        <v>-35007.443999999996</v>
      </c>
    </row>
    <row r="1765" spans="1:17" outlineLevel="2" x14ac:dyDescent="0.3">
      <c r="A1765" s="366" t="str">
        <f>IFERROR(VLOOKUP(RIGHT(E1765,3)+0,[1]SchLocTable!$A$2:$B$47,2,FALSE)," ")</f>
        <v>Info Tech HS</v>
      </c>
      <c r="B1765" s="366" t="str">
        <f>VLOOKUP(VALUE(D1765),$D$3:F$106,3,FALSE)</f>
        <v>Science</v>
      </c>
      <c r="C1765" t="s">
        <v>314</v>
      </c>
      <c r="D1765">
        <v>817</v>
      </c>
      <c r="E1765" t="s">
        <v>699</v>
      </c>
      <c r="F1765" t="s">
        <v>320</v>
      </c>
      <c r="G1765" t="s">
        <v>319</v>
      </c>
      <c r="H1765" s="502">
        <v>52360</v>
      </c>
      <c r="I1765" s="415">
        <v>2345.6617502600002</v>
      </c>
      <c r="J1765" s="415">
        <v>1058</v>
      </c>
      <c r="K1765" s="415">
        <v>1014.92</v>
      </c>
      <c r="L1765" s="415">
        <v>1077.56</v>
      </c>
      <c r="M1765" s="415">
        <v>2851.35</v>
      </c>
      <c r="N1765" s="415">
        <v>1388.3</v>
      </c>
      <c r="O1765" s="415">
        <v>1489.9</v>
      </c>
      <c r="P1765" s="415">
        <v>1470.52</v>
      </c>
      <c r="Q1765" s="481">
        <f t="shared" si="73"/>
        <v>-1287.6617502600002</v>
      </c>
    </row>
    <row r="1766" spans="1:17" outlineLevel="1" x14ac:dyDescent="0.3">
      <c r="A1766" s="366" t="str">
        <f>IFERROR(VLOOKUP(RIGHT(E1766,3)+0,[1]SchLocTable!$A$2:$B$47,2,FALSE)," ")</f>
        <v>BMA HS</v>
      </c>
      <c r="B1766" s="366" t="str">
        <f>VLOOKUP(VALUE(D1766),$D$3:F$106,3,FALSE)</f>
        <v>Science</v>
      </c>
      <c r="C1766" t="s">
        <v>314</v>
      </c>
      <c r="D1766">
        <v>817</v>
      </c>
      <c r="E1766" t="s">
        <v>700</v>
      </c>
      <c r="F1766" t="s">
        <v>316</v>
      </c>
      <c r="G1766">
        <v>3</v>
      </c>
      <c r="H1766" s="502">
        <v>51000</v>
      </c>
      <c r="I1766" s="415">
        <v>309075.64168</v>
      </c>
      <c r="J1766" s="415">
        <v>294078</v>
      </c>
      <c r="K1766" s="415">
        <v>225801.84</v>
      </c>
      <c r="L1766" s="415">
        <v>219374.98</v>
      </c>
      <c r="M1766" s="415">
        <v>241512.98</v>
      </c>
      <c r="N1766" s="415">
        <v>282803.82</v>
      </c>
      <c r="O1766" s="415">
        <v>283511.8</v>
      </c>
      <c r="P1766" s="415">
        <v>279047.08</v>
      </c>
      <c r="Q1766" s="481">
        <f t="shared" si="73"/>
        <v>-14997.641680000001</v>
      </c>
    </row>
    <row r="1767" spans="1:17" outlineLevel="2" x14ac:dyDescent="0.3">
      <c r="A1767" s="366" t="str">
        <f>IFERROR(VLOOKUP(RIGHT(E1767,3)+0,[1]SchLocTable!$A$2:$B$47,2,FALSE)," ")</f>
        <v>BMA HS</v>
      </c>
      <c r="B1767" s="366" t="str">
        <f>VLOOKUP(VALUE(D1767),$D$3:F$106,3,FALSE)</f>
        <v>Science</v>
      </c>
      <c r="C1767" t="s">
        <v>314</v>
      </c>
      <c r="D1767">
        <v>817</v>
      </c>
      <c r="E1767" t="s">
        <v>700</v>
      </c>
      <c r="F1767" t="s">
        <v>321</v>
      </c>
      <c r="G1767" t="s">
        <v>319</v>
      </c>
      <c r="H1767" s="502">
        <v>52917</v>
      </c>
      <c r="I1767" s="415">
        <v>94203.144</v>
      </c>
      <c r="J1767" s="415">
        <v>78502.62</v>
      </c>
      <c r="K1767" s="415">
        <v>71469.72</v>
      </c>
      <c r="L1767" s="415">
        <v>70653.03</v>
      </c>
      <c r="M1767" s="415">
        <v>66182.759999999995</v>
      </c>
      <c r="N1767" s="415">
        <v>63914.23</v>
      </c>
      <c r="O1767" s="415">
        <v>59426.97</v>
      </c>
      <c r="P1767" s="415">
        <v>56114.52</v>
      </c>
      <c r="Q1767" s="481">
        <f t="shared" si="73"/>
        <v>-15700.524000000005</v>
      </c>
    </row>
    <row r="1768" spans="1:17" outlineLevel="2" x14ac:dyDescent="0.3">
      <c r="A1768" s="366" t="str">
        <f>IFERROR(VLOOKUP(RIGHT(E1768,3)+0,[1]SchLocTable!$A$2:$B$47,2,FALSE)," ")</f>
        <v>BMA HS</v>
      </c>
      <c r="B1768" s="366" t="str">
        <f>VLOOKUP(VALUE(D1768),$D$3:F$106,3,FALSE)</f>
        <v>Science</v>
      </c>
      <c r="C1768" t="s">
        <v>314</v>
      </c>
      <c r="D1768">
        <v>817</v>
      </c>
      <c r="E1768" t="s">
        <v>700</v>
      </c>
      <c r="F1768" t="s">
        <v>318</v>
      </c>
      <c r="G1768" t="s">
        <v>319</v>
      </c>
      <c r="H1768" s="502">
        <v>51140</v>
      </c>
      <c r="I1768" s="415">
        <v>900</v>
      </c>
      <c r="J1768" s="415">
        <v>0</v>
      </c>
      <c r="K1768" s="415">
        <v>0</v>
      </c>
      <c r="L1768" s="415">
        <v>0</v>
      </c>
      <c r="M1768" s="415">
        <v>0</v>
      </c>
      <c r="N1768" s="415">
        <v>0</v>
      </c>
      <c r="O1768" s="415">
        <v>0</v>
      </c>
      <c r="P1768" s="415">
        <v>0</v>
      </c>
      <c r="Q1768" s="481">
        <f t="shared" si="73"/>
        <v>-900</v>
      </c>
    </row>
    <row r="1769" spans="1:17" outlineLevel="2" x14ac:dyDescent="0.3">
      <c r="A1769" s="366" t="str">
        <f>IFERROR(VLOOKUP(RIGHT(E1769,3)+0,[1]SchLocTable!$A$2:$B$47,2,FALSE)," ")</f>
        <v>BMA HS</v>
      </c>
      <c r="B1769" s="366" t="str">
        <f>VLOOKUP(VALUE(D1769),$D$3:F$106,3,FALSE)</f>
        <v>Science</v>
      </c>
      <c r="C1769" t="s">
        <v>314</v>
      </c>
      <c r="D1769">
        <v>817</v>
      </c>
      <c r="E1769" t="s">
        <v>700</v>
      </c>
      <c r="F1769" t="s">
        <v>320</v>
      </c>
      <c r="G1769" t="s">
        <v>319</v>
      </c>
      <c r="H1769" s="502">
        <v>52360</v>
      </c>
      <c r="I1769" s="415">
        <v>4481.5968043600005</v>
      </c>
      <c r="J1769" s="415">
        <v>3854</v>
      </c>
      <c r="K1769" s="415">
        <v>3805.16</v>
      </c>
      <c r="L1769" s="415">
        <v>3679.04</v>
      </c>
      <c r="M1769" s="415">
        <v>3522.73</v>
      </c>
      <c r="N1769" s="415">
        <v>3852.92</v>
      </c>
      <c r="O1769" s="415">
        <v>3886.82</v>
      </c>
      <c r="P1769" s="415">
        <v>3838.94</v>
      </c>
      <c r="Q1769" s="481">
        <f t="shared" si="73"/>
        <v>-627.59680436000053</v>
      </c>
    </row>
    <row r="1770" spans="1:17" outlineLevel="2" x14ac:dyDescent="0.3">
      <c r="A1770" s="366" t="str">
        <f>IFERROR(VLOOKUP(RIGHT(E1770,3)+0,[1]SchLocTable!$A$2:$B$47,2,FALSE)," ")</f>
        <v>Park City Magnet</v>
      </c>
      <c r="B1770" s="366" t="str">
        <f>VLOOKUP(VALUE(D1770),$D$3:F$106,3,FALSE)</f>
        <v>Science</v>
      </c>
      <c r="C1770" t="s">
        <v>314</v>
      </c>
      <c r="D1770">
        <v>817</v>
      </c>
      <c r="E1770" t="s">
        <v>701</v>
      </c>
      <c r="F1770" t="s">
        <v>316</v>
      </c>
      <c r="G1770" t="s">
        <v>319</v>
      </c>
      <c r="H1770" s="502">
        <v>51000</v>
      </c>
      <c r="I1770" s="415">
        <v>80000</v>
      </c>
      <c r="J1770" s="415">
        <v>0</v>
      </c>
      <c r="K1770" s="415">
        <v>46000</v>
      </c>
      <c r="L1770" s="415">
        <v>45750</v>
      </c>
      <c r="M1770" s="415">
        <v>26000</v>
      </c>
      <c r="N1770" s="415">
        <v>54622.1</v>
      </c>
      <c r="O1770" s="415">
        <v>51611.040000000001</v>
      </c>
      <c r="P1770" s="415">
        <v>50799.06</v>
      </c>
      <c r="Q1770" s="481">
        <f t="shared" si="73"/>
        <v>-80000</v>
      </c>
    </row>
    <row r="1771" spans="1:17" outlineLevel="2" x14ac:dyDescent="0.3">
      <c r="A1771" s="366" t="str">
        <f>IFERROR(VLOOKUP(RIGHT(E1771,3)+0,[1]SchLocTable!$A$2:$B$47,2,FALSE)," ")</f>
        <v>Park City Magnet</v>
      </c>
      <c r="B1771" s="366" t="str">
        <f>VLOOKUP(VALUE(D1771),$D$3:F$106,3,FALSE)</f>
        <v>Science</v>
      </c>
      <c r="C1771" t="s">
        <v>314</v>
      </c>
      <c r="D1771">
        <v>817</v>
      </c>
      <c r="E1771" t="s">
        <v>701</v>
      </c>
      <c r="F1771" t="s">
        <v>320</v>
      </c>
      <c r="G1771" t="s">
        <v>319</v>
      </c>
      <c r="H1771" s="502">
        <v>52360</v>
      </c>
      <c r="I1771" s="415">
        <v>1160</v>
      </c>
      <c r="J1771" s="415">
        <v>0</v>
      </c>
      <c r="K1771" s="415">
        <v>667</v>
      </c>
      <c r="L1771" s="415">
        <v>663.38</v>
      </c>
      <c r="M1771" s="415">
        <v>377</v>
      </c>
      <c r="N1771" s="415">
        <v>752.07</v>
      </c>
      <c r="O1771" s="415">
        <v>711.06</v>
      </c>
      <c r="P1771" s="415">
        <v>701.96</v>
      </c>
      <c r="Q1771" s="481">
        <f t="shared" si="73"/>
        <v>-1160</v>
      </c>
    </row>
    <row r="1772" spans="1:17" outlineLevel="2" x14ac:dyDescent="0.3">
      <c r="A1772" s="366" t="str">
        <f>IFERROR(VLOOKUP(RIGHT(E1772,3)+0,[1]SchLocTable!$A$2:$B$47,2,FALSE)," ")</f>
        <v>Park City Magnet</v>
      </c>
      <c r="B1772" s="366" t="str">
        <f>VLOOKUP(VALUE(D1772),$D$3:F$106,3,FALSE)</f>
        <v>Science</v>
      </c>
      <c r="C1772" t="s">
        <v>314</v>
      </c>
      <c r="D1772">
        <v>817</v>
      </c>
      <c r="E1772" t="s">
        <v>701</v>
      </c>
      <c r="F1772" t="s">
        <v>324</v>
      </c>
      <c r="G1772" t="s">
        <v>319</v>
      </c>
      <c r="H1772" s="502">
        <v>52385</v>
      </c>
      <c r="I1772" s="415">
        <v>0</v>
      </c>
      <c r="J1772" s="415">
        <v>0</v>
      </c>
      <c r="K1772" s="415">
        <v>2852</v>
      </c>
      <c r="L1772" s="415">
        <v>2836.5</v>
      </c>
      <c r="M1772" s="415">
        <v>1612</v>
      </c>
      <c r="N1772" s="415">
        <v>0</v>
      </c>
      <c r="O1772" s="415">
        <v>0</v>
      </c>
      <c r="P1772" s="415">
        <v>0</v>
      </c>
      <c r="Q1772" s="481">
        <f t="shared" si="73"/>
        <v>0</v>
      </c>
    </row>
    <row r="1773" spans="1:17" outlineLevel="2" x14ac:dyDescent="0.3">
      <c r="A1773" s="366" t="str">
        <f>IFERROR(VLOOKUP(RIGHT(E1773,3)+0,[1]SchLocTable!$A$2:$B$47,2,FALSE)," ")</f>
        <v>Zoo Science HS</v>
      </c>
      <c r="B1773" s="366" t="str">
        <f>VLOOKUP(VALUE(D1773),$D$3:F$106,3,FALSE)</f>
        <v>Science</v>
      </c>
      <c r="C1773" t="s">
        <v>314</v>
      </c>
      <c r="D1773">
        <v>817</v>
      </c>
      <c r="E1773" t="s">
        <v>702</v>
      </c>
      <c r="F1773" t="s">
        <v>316</v>
      </c>
      <c r="G1773">
        <v>2</v>
      </c>
      <c r="H1773" s="502">
        <v>51000</v>
      </c>
      <c r="I1773" s="415">
        <v>161130.76486</v>
      </c>
      <c r="J1773" s="415">
        <v>149692</v>
      </c>
      <c r="K1773" s="415">
        <v>145856.1</v>
      </c>
      <c r="L1773" s="415">
        <v>325538.83</v>
      </c>
      <c r="M1773" s="415">
        <v>317567.35999999999</v>
      </c>
      <c r="N1773" s="415">
        <v>243748.09</v>
      </c>
      <c r="O1773" s="415">
        <v>118393.44</v>
      </c>
      <c r="P1773" s="415">
        <v>115605.14</v>
      </c>
      <c r="Q1773" s="481">
        <f t="shared" si="73"/>
        <v>-11438.764859999996</v>
      </c>
    </row>
    <row r="1774" spans="1:17" outlineLevel="2" x14ac:dyDescent="0.3">
      <c r="A1774" s="366" t="str">
        <f>IFERROR(VLOOKUP(RIGHT(E1774,3)+0,[1]SchLocTable!$A$2:$B$47,2,FALSE)," ")</f>
        <v>Zoo Science HS</v>
      </c>
      <c r="B1774" s="366" t="str">
        <f>VLOOKUP(VALUE(D1774),$D$3:F$106,3,FALSE)</f>
        <v>Science</v>
      </c>
      <c r="C1774" t="s">
        <v>314</v>
      </c>
      <c r="D1774">
        <v>817</v>
      </c>
      <c r="E1774" t="s">
        <v>702</v>
      </c>
      <c r="F1774" t="s">
        <v>321</v>
      </c>
      <c r="G1774" t="s">
        <v>319</v>
      </c>
      <c r="H1774" s="502">
        <v>52917</v>
      </c>
      <c r="I1774" s="415">
        <v>45817.12799999999</v>
      </c>
      <c r="J1774" s="415">
        <v>38180.94</v>
      </c>
      <c r="K1774" s="415">
        <v>34636.559999999998</v>
      </c>
      <c r="L1774" s="415">
        <v>35086.800000000003</v>
      </c>
      <c r="M1774" s="415">
        <v>60682.59</v>
      </c>
      <c r="N1774" s="415">
        <v>50239.14</v>
      </c>
      <c r="O1774" s="415">
        <v>47849.75</v>
      </c>
      <c r="P1774" s="415">
        <v>19979.900000000001</v>
      </c>
      <c r="Q1774" s="481">
        <f t="shared" si="73"/>
        <v>-7636.1879999999874</v>
      </c>
    </row>
    <row r="1775" spans="1:17" outlineLevel="2" x14ac:dyDescent="0.3">
      <c r="A1775" s="366" t="str">
        <f>IFERROR(VLOOKUP(RIGHT(E1775,3)+0,[1]SchLocTable!$A$2:$B$47,2,FALSE)," ")</f>
        <v>Zoo Science HS</v>
      </c>
      <c r="B1775" s="366" t="str">
        <f>VLOOKUP(VALUE(D1775),$D$3:F$106,3,FALSE)</f>
        <v>Science</v>
      </c>
      <c r="C1775" t="s">
        <v>314</v>
      </c>
      <c r="D1775">
        <v>817</v>
      </c>
      <c r="E1775" t="s">
        <v>702</v>
      </c>
      <c r="F1775" t="s">
        <v>318</v>
      </c>
      <c r="G1775" t="s">
        <v>319</v>
      </c>
      <c r="H1775" s="502">
        <v>51140</v>
      </c>
      <c r="I1775" s="415">
        <v>1100</v>
      </c>
      <c r="J1775" s="415">
        <v>0</v>
      </c>
      <c r="K1775" s="415">
        <v>900</v>
      </c>
      <c r="L1775" s="415">
        <v>900</v>
      </c>
      <c r="M1775" s="415">
        <v>900</v>
      </c>
      <c r="N1775" s="415">
        <v>900</v>
      </c>
      <c r="O1775" s="415">
        <v>900</v>
      </c>
      <c r="P1775" s="415">
        <v>900</v>
      </c>
      <c r="Q1775" s="481">
        <f t="shared" si="73"/>
        <v>-1100</v>
      </c>
    </row>
    <row r="1776" spans="1:17" outlineLevel="2" x14ac:dyDescent="0.3">
      <c r="A1776" s="366" t="str">
        <f>IFERROR(VLOOKUP(RIGHT(E1776,3)+0,[1]SchLocTable!$A$2:$B$47,2,FALSE)," ")</f>
        <v>Zoo Science HS</v>
      </c>
      <c r="B1776" s="366" t="str">
        <f>VLOOKUP(VALUE(D1776),$D$3:F$106,3,FALSE)</f>
        <v>Science</v>
      </c>
      <c r="C1776" t="s">
        <v>314</v>
      </c>
      <c r="D1776">
        <v>817</v>
      </c>
      <c r="E1776" t="s">
        <v>702</v>
      </c>
      <c r="F1776" t="s">
        <v>320</v>
      </c>
      <c r="G1776" t="s">
        <v>319</v>
      </c>
      <c r="H1776" s="502">
        <v>52360</v>
      </c>
      <c r="I1776" s="415">
        <v>2336.3960904700002</v>
      </c>
      <c r="J1776" s="415">
        <v>1979</v>
      </c>
      <c r="K1776" s="415">
        <v>1962.52</v>
      </c>
      <c r="L1776" s="415">
        <v>4581.93</v>
      </c>
      <c r="M1776" s="415">
        <v>3897.91</v>
      </c>
      <c r="N1776" s="415">
        <v>2584.61</v>
      </c>
      <c r="O1776" s="415">
        <v>2533.4899999999998</v>
      </c>
      <c r="P1776" s="415">
        <v>2499.7600000000002</v>
      </c>
      <c r="Q1776" s="481">
        <f t="shared" si="73"/>
        <v>-357.39609047000022</v>
      </c>
    </row>
    <row r="1777" spans="1:17" outlineLevel="2" x14ac:dyDescent="0.3">
      <c r="A1777" s="366" t="str">
        <f>IFERROR(VLOOKUP(RIGHT(E1777,3)+0,[1]SchLocTable!$A$2:$B$47,2,FALSE)," ")</f>
        <v>Zoo Science HS</v>
      </c>
      <c r="B1777" s="366" t="str">
        <f>VLOOKUP(VALUE(D1777),$D$3:F$106,3,FALSE)</f>
        <v>Science</v>
      </c>
      <c r="C1777" t="s">
        <v>314</v>
      </c>
      <c r="D1777">
        <v>817</v>
      </c>
      <c r="E1777" t="s">
        <v>702</v>
      </c>
      <c r="F1777" t="s">
        <v>324</v>
      </c>
      <c r="G1777" t="s">
        <v>319</v>
      </c>
      <c r="H1777" s="502">
        <v>52385</v>
      </c>
      <c r="I1777" s="415">
        <v>0</v>
      </c>
      <c r="J1777" s="415">
        <v>0</v>
      </c>
      <c r="K1777" s="415">
        <v>0</v>
      </c>
      <c r="L1777" s="415">
        <v>573.5</v>
      </c>
      <c r="M1777" s="415">
        <v>0</v>
      </c>
      <c r="N1777" s="415">
        <v>0</v>
      </c>
      <c r="O1777" s="415">
        <v>82.15</v>
      </c>
      <c r="P1777" s="415">
        <v>0</v>
      </c>
      <c r="Q1777" s="481">
        <f t="shared" si="73"/>
        <v>0</v>
      </c>
    </row>
    <row r="1778" spans="1:17" outlineLevel="2" x14ac:dyDescent="0.3">
      <c r="A1778" s="366" t="str">
        <f>IFERROR(VLOOKUP(RIGHT(E1778,3)+0,[1]SchLocTable!$A$2:$B$47,2,FALSE)," ")</f>
        <v>Classical Studies Academy</v>
      </c>
      <c r="B1778" s="366" t="str">
        <f>VLOOKUP(VALUE(D1778),$D$3:F$106,3,FALSE)</f>
        <v>Science</v>
      </c>
      <c r="C1778" t="s">
        <v>314</v>
      </c>
      <c r="D1778">
        <v>817</v>
      </c>
      <c r="E1778" t="s">
        <v>703</v>
      </c>
      <c r="F1778" t="s">
        <v>316</v>
      </c>
      <c r="G1778" t="s">
        <v>319</v>
      </c>
      <c r="H1778" s="502">
        <v>51000</v>
      </c>
      <c r="I1778" s="415">
        <v>80000</v>
      </c>
      <c r="J1778" s="415">
        <v>0</v>
      </c>
      <c r="K1778" s="415">
        <v>0</v>
      </c>
      <c r="L1778" s="415">
        <v>46375</v>
      </c>
      <c r="M1778" s="415">
        <v>2234.06</v>
      </c>
      <c r="N1778" s="415">
        <v>77032.02</v>
      </c>
      <c r="O1778" s="415">
        <v>72752.94</v>
      </c>
      <c r="P1778" s="415">
        <v>71607.899999999994</v>
      </c>
      <c r="Q1778" s="481">
        <f t="shared" si="73"/>
        <v>-80000</v>
      </c>
    </row>
    <row r="1779" spans="1:17" outlineLevel="2" x14ac:dyDescent="0.3">
      <c r="A1779" s="366" t="str">
        <f>IFERROR(VLOOKUP(RIGHT(E1779,3)+0,[1]SchLocTable!$A$2:$B$47,2,FALSE)," ")</f>
        <v>Classical Studies Academy</v>
      </c>
      <c r="B1779" s="366" t="str">
        <f>VLOOKUP(VALUE(D1779),$D$3:F$106,3,FALSE)</f>
        <v>Science</v>
      </c>
      <c r="C1779" t="s">
        <v>314</v>
      </c>
      <c r="D1779">
        <v>817</v>
      </c>
      <c r="E1779" t="s">
        <v>703</v>
      </c>
      <c r="F1779" t="s">
        <v>321</v>
      </c>
      <c r="G1779" t="s">
        <v>319</v>
      </c>
      <c r="H1779" s="502">
        <v>52917</v>
      </c>
      <c r="I1779" s="415">
        <v>32400</v>
      </c>
      <c r="J1779" s="415">
        <v>0</v>
      </c>
      <c r="K1779" s="415">
        <v>0</v>
      </c>
      <c r="L1779" s="415">
        <v>5515.9</v>
      </c>
      <c r="M1779" s="415">
        <v>679.73</v>
      </c>
      <c r="N1779" s="415">
        <v>30308.67</v>
      </c>
      <c r="O1779" s="415">
        <v>29077.5</v>
      </c>
      <c r="P1779" s="415">
        <v>27385.05</v>
      </c>
      <c r="Q1779" s="481">
        <f t="shared" si="73"/>
        <v>-32400</v>
      </c>
    </row>
    <row r="1780" spans="1:17" outlineLevel="2" x14ac:dyDescent="0.3">
      <c r="A1780" s="366" t="str">
        <f>IFERROR(VLOOKUP(RIGHT(E1780,3)+0,[1]SchLocTable!$A$2:$B$47,2,FALSE)," ")</f>
        <v>Classical Studies Academy</v>
      </c>
      <c r="B1780" s="366" t="str">
        <f>VLOOKUP(VALUE(D1780),$D$3:F$106,3,FALSE)</f>
        <v>Science</v>
      </c>
      <c r="C1780" t="s">
        <v>314</v>
      </c>
      <c r="D1780">
        <v>817</v>
      </c>
      <c r="E1780" t="s">
        <v>703</v>
      </c>
      <c r="F1780" t="s">
        <v>320</v>
      </c>
      <c r="G1780" t="s">
        <v>319</v>
      </c>
      <c r="H1780" s="502">
        <v>52360</v>
      </c>
      <c r="I1780" s="415">
        <v>1160</v>
      </c>
      <c r="J1780" s="415">
        <v>0</v>
      </c>
      <c r="K1780" s="415">
        <v>0</v>
      </c>
      <c r="L1780" s="415">
        <v>649.64</v>
      </c>
      <c r="M1780" s="415">
        <v>29.66</v>
      </c>
      <c r="N1780" s="415">
        <v>998.69</v>
      </c>
      <c r="O1780" s="415">
        <v>944.48</v>
      </c>
      <c r="P1780" s="415">
        <v>935.78</v>
      </c>
      <c r="Q1780" s="481">
        <f t="shared" si="73"/>
        <v>-1160</v>
      </c>
    </row>
    <row r="1781" spans="1:17" outlineLevel="2" x14ac:dyDescent="0.3">
      <c r="A1781" s="366" t="str">
        <f>IFERROR(VLOOKUP(RIGHT(E1781,3)+0,[1]SchLocTable!$A$2:$B$47,2,FALSE)," ")</f>
        <v>Classical Studies Academy</v>
      </c>
      <c r="B1781" s="366" t="str">
        <f>VLOOKUP(VALUE(D1781),$D$3:F$106,3,FALSE)</f>
        <v>Science</v>
      </c>
      <c r="C1781" t="s">
        <v>314</v>
      </c>
      <c r="D1781">
        <v>817</v>
      </c>
      <c r="E1781" t="s">
        <v>703</v>
      </c>
      <c r="F1781" t="s">
        <v>324</v>
      </c>
      <c r="G1781" t="s">
        <v>319</v>
      </c>
      <c r="H1781" s="502">
        <v>52385</v>
      </c>
      <c r="I1781" s="415">
        <v>0</v>
      </c>
      <c r="J1781" s="415">
        <v>0</v>
      </c>
      <c r="K1781" s="415">
        <v>0</v>
      </c>
      <c r="L1781" s="415">
        <v>2777.74</v>
      </c>
      <c r="M1781" s="415">
        <v>0</v>
      </c>
      <c r="N1781" s="415">
        <v>0</v>
      </c>
      <c r="O1781" s="415">
        <v>0</v>
      </c>
      <c r="P1781" s="415">
        <v>0</v>
      </c>
      <c r="Q1781" s="481">
        <f t="shared" si="73"/>
        <v>0</v>
      </c>
    </row>
    <row r="1782" spans="1:17" outlineLevel="2" x14ac:dyDescent="0.3">
      <c r="A1782" s="366" t="str">
        <f>IFERROR(VLOOKUP(RIGHT(E1782,3)+0,[1]SchLocTable!$A$2:$B$47,2,FALSE)," ")</f>
        <v>Tisdale</v>
      </c>
      <c r="B1782" s="366" t="str">
        <f>VLOOKUP(VALUE(D1782),$D$3:F$106,3,FALSE)</f>
        <v>Science</v>
      </c>
      <c r="C1782" t="s">
        <v>314</v>
      </c>
      <c r="D1782">
        <v>817</v>
      </c>
      <c r="E1782" t="s">
        <v>704</v>
      </c>
      <c r="F1782" t="s">
        <v>316</v>
      </c>
      <c r="G1782">
        <v>1</v>
      </c>
      <c r="H1782" s="502">
        <v>51000</v>
      </c>
      <c r="I1782" s="415">
        <v>110428.46490000001</v>
      </c>
      <c r="J1782" s="415">
        <v>105070</v>
      </c>
      <c r="K1782" s="415">
        <v>102757.98</v>
      </c>
      <c r="L1782" s="415">
        <v>166043</v>
      </c>
      <c r="M1782" s="415">
        <v>159354.78</v>
      </c>
      <c r="N1782" s="415">
        <v>126574.3</v>
      </c>
      <c r="O1782" s="415">
        <v>128207.6</v>
      </c>
      <c r="P1782" s="415">
        <v>159846.18</v>
      </c>
      <c r="Q1782" s="481">
        <f t="shared" si="73"/>
        <v>-5358.4649000000063</v>
      </c>
    </row>
    <row r="1783" spans="1:17" outlineLevel="2" x14ac:dyDescent="0.3">
      <c r="A1783" s="366" t="str">
        <f>IFERROR(VLOOKUP(RIGHT(E1783,3)+0,[1]SchLocTable!$A$2:$B$47,2,FALSE)," ")</f>
        <v>Tisdale</v>
      </c>
      <c r="B1783" s="366" t="str">
        <f>VLOOKUP(VALUE(D1783),$D$3:F$106,3,FALSE)</f>
        <v>Science</v>
      </c>
      <c r="C1783" t="s">
        <v>314</v>
      </c>
      <c r="D1783">
        <v>817</v>
      </c>
      <c r="E1783" t="s">
        <v>704</v>
      </c>
      <c r="F1783" t="s">
        <v>321</v>
      </c>
      <c r="G1783" t="s">
        <v>319</v>
      </c>
      <c r="H1783" s="502">
        <v>52917</v>
      </c>
      <c r="I1783" s="415">
        <v>37644.263999999996</v>
      </c>
      <c r="J1783" s="415">
        <v>31370.22</v>
      </c>
      <c r="K1783" s="415">
        <v>31305.72</v>
      </c>
      <c r="L1783" s="415">
        <v>62203.47</v>
      </c>
      <c r="M1783" s="415">
        <v>50525.35</v>
      </c>
      <c r="N1783" s="415">
        <v>40541.550000000003</v>
      </c>
      <c r="O1783" s="415">
        <v>34645.019999999997</v>
      </c>
      <c r="P1783" s="415">
        <v>36630.720000000001</v>
      </c>
      <c r="Q1783" s="481">
        <f t="shared" si="73"/>
        <v>-6274.0439999999944</v>
      </c>
    </row>
    <row r="1784" spans="1:17" outlineLevel="2" x14ac:dyDescent="0.3">
      <c r="A1784" s="366" t="str">
        <f>IFERROR(VLOOKUP(RIGHT(E1784,3)+0,[1]SchLocTable!$A$2:$B$47,2,FALSE)," ")</f>
        <v>Tisdale</v>
      </c>
      <c r="B1784" s="366" t="str">
        <f>VLOOKUP(VALUE(D1784),$D$3:F$106,3,FALSE)</f>
        <v>Science</v>
      </c>
      <c r="C1784" t="s">
        <v>314</v>
      </c>
      <c r="D1784">
        <v>817</v>
      </c>
      <c r="E1784" t="s">
        <v>704</v>
      </c>
      <c r="F1784" t="s">
        <v>320</v>
      </c>
      <c r="G1784" t="s">
        <v>319</v>
      </c>
      <c r="H1784" s="502">
        <v>52360</v>
      </c>
      <c r="I1784" s="415">
        <v>1601.2127410500002</v>
      </c>
      <c r="J1784" s="415">
        <v>1353</v>
      </c>
      <c r="K1784" s="415">
        <v>1356.18</v>
      </c>
      <c r="L1784" s="415">
        <v>2148.9299999999998</v>
      </c>
      <c r="M1784" s="415">
        <v>2106.63</v>
      </c>
      <c r="N1784" s="415">
        <v>1677.03</v>
      </c>
      <c r="O1784" s="415">
        <v>1740.48</v>
      </c>
      <c r="P1784" s="415">
        <v>2180.6</v>
      </c>
      <c r="Q1784" s="481">
        <f t="shared" si="73"/>
        <v>-248.2127410500002</v>
      </c>
    </row>
    <row r="1785" spans="1:17" outlineLevel="2" x14ac:dyDescent="0.3">
      <c r="A1785" s="366" t="str">
        <f>IFERROR(VLOOKUP(RIGHT(E1785,3)+0,[1]SchLocTable!$A$2:$B$47,2,FALSE)," ")</f>
        <v>Read</v>
      </c>
      <c r="B1785" s="366" t="str">
        <f>VLOOKUP(VALUE(D1785),$D$3:F$106,3,FALSE)</f>
        <v>Science</v>
      </c>
      <c r="C1785" t="s">
        <v>314</v>
      </c>
      <c r="D1785">
        <v>817</v>
      </c>
      <c r="E1785" t="s">
        <v>705</v>
      </c>
      <c r="F1785" t="s">
        <v>316</v>
      </c>
      <c r="G1785">
        <v>2</v>
      </c>
      <c r="H1785" s="502">
        <v>51000</v>
      </c>
      <c r="I1785" s="415">
        <v>177662.99486000001</v>
      </c>
      <c r="J1785" s="415">
        <v>169042</v>
      </c>
      <c r="K1785" s="415">
        <v>163704.06</v>
      </c>
      <c r="L1785" s="415">
        <v>157843.14000000001</v>
      </c>
      <c r="M1785" s="415">
        <v>148216.12</v>
      </c>
      <c r="N1785" s="415">
        <v>141799.97</v>
      </c>
      <c r="O1785" s="415">
        <v>133642.85999999999</v>
      </c>
      <c r="P1785" s="415">
        <v>131538.16</v>
      </c>
      <c r="Q1785" s="481">
        <f t="shared" si="73"/>
        <v>-8620.9948600000062</v>
      </c>
    </row>
    <row r="1786" spans="1:17" outlineLevel="2" x14ac:dyDescent="0.3">
      <c r="A1786" s="366" t="str">
        <f>IFERROR(VLOOKUP(RIGHT(E1786,3)+0,[1]SchLocTable!$A$2:$B$47,2,FALSE)," ")</f>
        <v>Read</v>
      </c>
      <c r="B1786" s="366" t="str">
        <f>VLOOKUP(VALUE(D1786),$D$3:F$106,3,FALSE)</f>
        <v>Science</v>
      </c>
      <c r="C1786" t="s">
        <v>314</v>
      </c>
      <c r="D1786">
        <v>817</v>
      </c>
      <c r="E1786" t="s">
        <v>705</v>
      </c>
      <c r="F1786" t="s">
        <v>321</v>
      </c>
      <c r="G1786" t="s">
        <v>319</v>
      </c>
      <c r="H1786" s="502">
        <v>52917</v>
      </c>
      <c r="I1786" s="415">
        <v>83461.391999999993</v>
      </c>
      <c r="J1786" s="415">
        <v>69551.16</v>
      </c>
      <c r="K1786" s="415">
        <v>52261.06</v>
      </c>
      <c r="L1786" s="415">
        <v>39761.19</v>
      </c>
      <c r="M1786" s="415">
        <v>32898.300000000003</v>
      </c>
      <c r="N1786" s="415">
        <v>20465.759999999998</v>
      </c>
      <c r="O1786" s="415">
        <v>19635.36</v>
      </c>
      <c r="P1786" s="415">
        <v>18491.34</v>
      </c>
      <c r="Q1786" s="481">
        <f t="shared" si="73"/>
        <v>-13910.231999999989</v>
      </c>
    </row>
    <row r="1787" spans="1:17" outlineLevel="2" x14ac:dyDescent="0.3">
      <c r="A1787" s="366" t="str">
        <f>IFERROR(VLOOKUP(RIGHT(E1787,3)+0,[1]SchLocTable!$A$2:$B$47,2,FALSE)," ")</f>
        <v>Read</v>
      </c>
      <c r="B1787" s="366" t="str">
        <f>VLOOKUP(VALUE(D1787),$D$3:F$106,3,FALSE)</f>
        <v>Science</v>
      </c>
      <c r="C1787" t="s">
        <v>314</v>
      </c>
      <c r="D1787">
        <v>817</v>
      </c>
      <c r="E1787" t="s">
        <v>705</v>
      </c>
      <c r="F1787" t="s">
        <v>318</v>
      </c>
      <c r="G1787" t="s">
        <v>319</v>
      </c>
      <c r="H1787" s="502">
        <v>51140</v>
      </c>
      <c r="I1787" s="415">
        <v>1100</v>
      </c>
      <c r="J1787" s="415">
        <v>0</v>
      </c>
      <c r="K1787" s="415">
        <v>900</v>
      </c>
      <c r="L1787" s="415">
        <v>900</v>
      </c>
      <c r="M1787" s="415">
        <v>900</v>
      </c>
      <c r="N1787" s="415">
        <v>900</v>
      </c>
      <c r="O1787" s="415">
        <v>900</v>
      </c>
      <c r="P1787" s="415">
        <v>900</v>
      </c>
      <c r="Q1787" s="481">
        <f t="shared" si="73"/>
        <v>-1100</v>
      </c>
    </row>
    <row r="1788" spans="1:17" outlineLevel="2" x14ac:dyDescent="0.3">
      <c r="A1788" s="366" t="str">
        <f>IFERROR(VLOOKUP(RIGHT(E1788,3)+0,[1]SchLocTable!$A$2:$B$47,2,FALSE)," ")</f>
        <v>Read</v>
      </c>
      <c r="B1788" s="366" t="str">
        <f>VLOOKUP(VALUE(D1788),$D$3:F$106,3,FALSE)</f>
        <v>Science</v>
      </c>
      <c r="C1788" t="s">
        <v>314</v>
      </c>
      <c r="D1788">
        <v>817</v>
      </c>
      <c r="E1788" t="s">
        <v>705</v>
      </c>
      <c r="F1788" t="s">
        <v>320</v>
      </c>
      <c r="G1788" t="s">
        <v>319</v>
      </c>
      <c r="H1788" s="502">
        <v>52360</v>
      </c>
      <c r="I1788" s="415">
        <v>2576.11342547</v>
      </c>
      <c r="J1788" s="415">
        <v>2089</v>
      </c>
      <c r="K1788" s="415">
        <v>2162.9899999999998</v>
      </c>
      <c r="L1788" s="415">
        <v>2136.77</v>
      </c>
      <c r="M1788" s="415">
        <v>2029.4</v>
      </c>
      <c r="N1788" s="415">
        <v>1989.23</v>
      </c>
      <c r="O1788" s="415">
        <v>1876.28</v>
      </c>
      <c r="P1788" s="415">
        <v>1851.1</v>
      </c>
      <c r="Q1788" s="481">
        <f t="shared" si="73"/>
        <v>-487.11342547000004</v>
      </c>
    </row>
    <row r="1789" spans="1:17" outlineLevel="2" x14ac:dyDescent="0.3">
      <c r="A1789" s="366" t="str">
        <f>IFERROR(VLOOKUP(RIGHT(E1789,3)+0,[1]SchLocTable!$A$2:$B$47,2,FALSE)," ")</f>
        <v>Roosevelt</v>
      </c>
      <c r="B1789" s="366" t="str">
        <f>VLOOKUP(VALUE(D1789),$D$3:F$106,3,FALSE)</f>
        <v>Science</v>
      </c>
      <c r="C1789" t="s">
        <v>314</v>
      </c>
      <c r="D1789">
        <v>817</v>
      </c>
      <c r="E1789" t="s">
        <v>706</v>
      </c>
      <c r="F1789" t="s">
        <v>316</v>
      </c>
      <c r="G1789">
        <v>1</v>
      </c>
      <c r="H1789" s="502">
        <v>51000</v>
      </c>
      <c r="I1789" s="415">
        <v>64054.33008</v>
      </c>
      <c r="J1789" s="415">
        <v>60946</v>
      </c>
      <c r="K1789" s="415">
        <v>56567.96</v>
      </c>
      <c r="L1789" s="415">
        <v>6732.24</v>
      </c>
      <c r="M1789" s="415">
        <v>0</v>
      </c>
      <c r="N1789" s="415">
        <v>46880.08</v>
      </c>
      <c r="O1789" s="415">
        <v>45590.46</v>
      </c>
      <c r="P1789" s="415">
        <v>54127.06</v>
      </c>
      <c r="Q1789" s="481">
        <f t="shared" si="73"/>
        <v>-3108.3300799999997</v>
      </c>
    </row>
    <row r="1790" spans="1:17" outlineLevel="2" x14ac:dyDescent="0.3">
      <c r="A1790" s="366" t="str">
        <f>IFERROR(VLOOKUP(RIGHT(E1790,3)+0,[1]SchLocTable!$A$2:$B$47,2,FALSE)," ")</f>
        <v>Roosevelt</v>
      </c>
      <c r="B1790" s="366" t="str">
        <f>VLOOKUP(VALUE(D1790),$D$3:F$106,3,FALSE)</f>
        <v>Science</v>
      </c>
      <c r="C1790" t="s">
        <v>314</v>
      </c>
      <c r="D1790">
        <v>817</v>
      </c>
      <c r="E1790" t="s">
        <v>706</v>
      </c>
      <c r="F1790" t="s">
        <v>321</v>
      </c>
      <c r="G1790" t="s">
        <v>319</v>
      </c>
      <c r="H1790" s="502">
        <v>52917</v>
      </c>
      <c r="I1790" s="415">
        <v>38158.091999999997</v>
      </c>
      <c r="J1790" s="415">
        <v>31665</v>
      </c>
      <c r="K1790" s="415">
        <v>27540.400000000001</v>
      </c>
      <c r="L1790" s="415">
        <v>1669.26</v>
      </c>
      <c r="M1790" s="415">
        <v>0</v>
      </c>
      <c r="N1790" s="415">
        <v>0</v>
      </c>
      <c r="O1790" s="415">
        <v>0</v>
      </c>
      <c r="P1790" s="415">
        <v>9245.67</v>
      </c>
      <c r="Q1790" s="481">
        <f t="shared" si="73"/>
        <v>-6493.0919999999969</v>
      </c>
    </row>
    <row r="1791" spans="1:17" outlineLevel="2" x14ac:dyDescent="0.3">
      <c r="A1791" s="366" t="str">
        <f>IFERROR(VLOOKUP(RIGHT(E1791,3)+0,[1]SchLocTable!$A$2:$B$47,2,FALSE)," ")</f>
        <v>Roosevelt</v>
      </c>
      <c r="B1791" s="366" t="str">
        <f>VLOOKUP(VALUE(D1791),$D$3:F$106,3,FALSE)</f>
        <v>Science</v>
      </c>
      <c r="C1791" t="s">
        <v>314</v>
      </c>
      <c r="D1791">
        <v>817</v>
      </c>
      <c r="E1791" t="s">
        <v>706</v>
      </c>
      <c r="F1791" t="s">
        <v>320</v>
      </c>
      <c r="G1791" t="s">
        <v>319</v>
      </c>
      <c r="H1791" s="502">
        <v>52360</v>
      </c>
      <c r="I1791" s="415">
        <v>928.78778616</v>
      </c>
      <c r="J1791" s="415">
        <v>745</v>
      </c>
      <c r="K1791" s="415">
        <v>703.05</v>
      </c>
      <c r="L1791" s="415">
        <v>90.7</v>
      </c>
      <c r="M1791" s="415">
        <v>0</v>
      </c>
      <c r="N1791" s="415">
        <v>679.77</v>
      </c>
      <c r="O1791" s="415">
        <v>661.06</v>
      </c>
      <c r="P1791" s="415">
        <v>750.2</v>
      </c>
      <c r="Q1791" s="481">
        <f t="shared" ref="Q1791:Q1854" si="74">J1791-I1791</f>
        <v>-183.78778616</v>
      </c>
    </row>
    <row r="1792" spans="1:17" outlineLevel="2" x14ac:dyDescent="0.3">
      <c r="A1792" s="366" t="str">
        <f>IFERROR(VLOOKUP(RIGHT(E1792,3)+0,[1]SchLocTable!$A$2:$B$47,2,FALSE)," ")</f>
        <v>Roosevelt</v>
      </c>
      <c r="B1792" s="366" t="str">
        <f>VLOOKUP(VALUE(D1792),$D$3:F$106,3,FALSE)</f>
        <v>Science</v>
      </c>
      <c r="C1792" t="s">
        <v>314</v>
      </c>
      <c r="D1792">
        <v>817</v>
      </c>
      <c r="E1792" t="s">
        <v>706</v>
      </c>
      <c r="F1792" t="s">
        <v>324</v>
      </c>
      <c r="G1792" t="s">
        <v>319</v>
      </c>
      <c r="H1792" s="502">
        <v>52385</v>
      </c>
      <c r="I1792" s="415">
        <v>0</v>
      </c>
      <c r="J1792" s="415">
        <v>0</v>
      </c>
      <c r="K1792" s="415">
        <v>525.73</v>
      </c>
      <c r="L1792" s="415">
        <v>0</v>
      </c>
      <c r="M1792" s="415">
        <v>0</v>
      </c>
      <c r="N1792" s="415">
        <v>0</v>
      </c>
      <c r="O1792" s="415">
        <v>390.6</v>
      </c>
      <c r="P1792" s="415">
        <v>0</v>
      </c>
      <c r="Q1792" s="481">
        <f t="shared" si="74"/>
        <v>0</v>
      </c>
    </row>
    <row r="1793" spans="1:17" outlineLevel="2" x14ac:dyDescent="0.3">
      <c r="A1793" s="366" t="str">
        <f>IFERROR(VLOOKUP(RIGHT(E1793,3)+0,[1]SchLocTable!$A$2:$B$47,2,FALSE)," ")</f>
        <v>Waltersville</v>
      </c>
      <c r="B1793" s="366" t="str">
        <f>VLOOKUP(VALUE(D1793),$D$3:F$106,3,FALSE)</f>
        <v>Science</v>
      </c>
      <c r="C1793" t="s">
        <v>314</v>
      </c>
      <c r="D1793">
        <v>817</v>
      </c>
      <c r="E1793" t="s">
        <v>707</v>
      </c>
      <c r="F1793" t="s">
        <v>316</v>
      </c>
      <c r="G1793">
        <v>1</v>
      </c>
      <c r="H1793" s="502">
        <v>51000</v>
      </c>
      <c r="I1793" s="415">
        <v>0</v>
      </c>
      <c r="J1793" s="415">
        <v>0</v>
      </c>
      <c r="K1793" s="415">
        <v>7900.74</v>
      </c>
      <c r="L1793" s="415">
        <v>60572.34</v>
      </c>
      <c r="M1793" s="415">
        <v>39344.82</v>
      </c>
      <c r="N1793" s="415">
        <v>42900</v>
      </c>
      <c r="O1793" s="415">
        <v>59913.88</v>
      </c>
      <c r="P1793" s="415">
        <v>58970.080000000002</v>
      </c>
      <c r="Q1793" s="481">
        <f t="shared" si="74"/>
        <v>0</v>
      </c>
    </row>
    <row r="1794" spans="1:17" outlineLevel="2" x14ac:dyDescent="0.3">
      <c r="A1794" s="366" t="str">
        <f>IFERROR(VLOOKUP(RIGHT(E1794,3)+0,[1]SchLocTable!$A$2:$B$47,2,FALSE)," ")</f>
        <v>Waltersville</v>
      </c>
      <c r="B1794" s="366" t="str">
        <f>VLOOKUP(VALUE(D1794),$D$3:F$106,3,FALSE)</f>
        <v>Science</v>
      </c>
      <c r="C1794" t="s">
        <v>314</v>
      </c>
      <c r="D1794">
        <v>817</v>
      </c>
      <c r="E1794" t="s">
        <v>707</v>
      </c>
      <c r="F1794" t="s">
        <v>321</v>
      </c>
      <c r="G1794" t="s">
        <v>319</v>
      </c>
      <c r="H1794" s="502">
        <v>52917</v>
      </c>
      <c r="I1794" s="415">
        <v>0</v>
      </c>
      <c r="J1794" s="415">
        <v>0</v>
      </c>
      <c r="K1794" s="415">
        <v>0</v>
      </c>
      <c r="L1794" s="415">
        <v>11684.82</v>
      </c>
      <c r="M1794" s="415">
        <v>0</v>
      </c>
      <c r="N1794" s="415">
        <v>10720.16</v>
      </c>
      <c r="O1794" s="415">
        <v>9817.68</v>
      </c>
      <c r="P1794" s="415">
        <v>9245.67</v>
      </c>
      <c r="Q1794" s="481">
        <f t="shared" si="74"/>
        <v>0</v>
      </c>
    </row>
    <row r="1795" spans="1:17" outlineLevel="2" x14ac:dyDescent="0.3">
      <c r="A1795" s="366" t="str">
        <f>IFERROR(VLOOKUP(RIGHT(E1795,3)+0,[1]SchLocTable!$A$2:$B$47,2,FALSE)," ")</f>
        <v>Waltersville</v>
      </c>
      <c r="B1795" s="366" t="str">
        <f>VLOOKUP(VALUE(D1795),$D$3:F$106,3,FALSE)</f>
        <v>Science</v>
      </c>
      <c r="C1795" t="s">
        <v>314</v>
      </c>
      <c r="D1795">
        <v>817</v>
      </c>
      <c r="E1795" t="s">
        <v>707</v>
      </c>
      <c r="F1795" t="s">
        <v>320</v>
      </c>
      <c r="G1795" t="s">
        <v>319</v>
      </c>
      <c r="H1795" s="502">
        <v>52360</v>
      </c>
      <c r="I1795" s="415">
        <v>0</v>
      </c>
      <c r="J1795" s="415">
        <v>0</v>
      </c>
      <c r="K1795" s="415">
        <v>114.56</v>
      </c>
      <c r="L1795" s="415">
        <v>829.9</v>
      </c>
      <c r="M1795" s="415">
        <v>570.5</v>
      </c>
      <c r="N1795" s="415">
        <v>580.17999999999995</v>
      </c>
      <c r="O1795" s="415">
        <v>831.46</v>
      </c>
      <c r="P1795" s="415">
        <v>820.44</v>
      </c>
      <c r="Q1795" s="481">
        <f t="shared" si="74"/>
        <v>0</v>
      </c>
    </row>
    <row r="1796" spans="1:17" outlineLevel="2" x14ac:dyDescent="0.3">
      <c r="A1796" s="366" t="str">
        <f>IFERROR(VLOOKUP(RIGHT(E1796,3)+0,[1]SchLocTable!$A$2:$B$47,2,FALSE)," ")</f>
        <v>Waltersville</v>
      </c>
      <c r="B1796" s="366" t="str">
        <f>VLOOKUP(VALUE(D1796),$D$3:F$106,3,FALSE)</f>
        <v>Science</v>
      </c>
      <c r="C1796" t="s">
        <v>314</v>
      </c>
      <c r="D1796">
        <v>817</v>
      </c>
      <c r="E1796" t="s">
        <v>707</v>
      </c>
      <c r="F1796" t="s">
        <v>324</v>
      </c>
      <c r="G1796" t="s">
        <v>319</v>
      </c>
      <c r="H1796" s="502">
        <v>52385</v>
      </c>
      <c r="I1796" s="415">
        <v>0</v>
      </c>
      <c r="J1796" s="415">
        <v>0</v>
      </c>
      <c r="K1796" s="415">
        <v>0</v>
      </c>
      <c r="L1796" s="415">
        <v>0</v>
      </c>
      <c r="M1796" s="415">
        <v>279</v>
      </c>
      <c r="N1796" s="415">
        <v>2480.79</v>
      </c>
      <c r="O1796" s="415">
        <v>0</v>
      </c>
      <c r="P1796" s="415">
        <v>0</v>
      </c>
      <c r="Q1796" s="481">
        <f t="shared" si="74"/>
        <v>0</v>
      </c>
    </row>
    <row r="1797" spans="1:17" outlineLevel="2" x14ac:dyDescent="0.3">
      <c r="A1797" s="366" t="str">
        <f>IFERROR(VLOOKUP(RIGHT(E1797,3)+0,[1]SchLocTable!$A$2:$B$47,2,FALSE)," ")</f>
        <v>Claytor</v>
      </c>
      <c r="B1797" s="366" t="str">
        <f>VLOOKUP(VALUE(D1797),$D$3:F$106,3,FALSE)</f>
        <v>Science</v>
      </c>
      <c r="C1797" t="s">
        <v>314</v>
      </c>
      <c r="D1797">
        <v>817</v>
      </c>
      <c r="E1797" t="s">
        <v>708</v>
      </c>
      <c r="F1797" t="s">
        <v>316</v>
      </c>
      <c r="G1797">
        <v>2</v>
      </c>
      <c r="H1797" s="502">
        <v>51000</v>
      </c>
      <c r="I1797" s="415">
        <v>147275</v>
      </c>
      <c r="J1797" s="415">
        <v>52750</v>
      </c>
      <c r="K1797" s="415">
        <v>45500</v>
      </c>
      <c r="L1797" s="415">
        <v>44375</v>
      </c>
      <c r="M1797" s="415">
        <v>45750</v>
      </c>
      <c r="N1797" s="415">
        <v>43275</v>
      </c>
      <c r="O1797" s="415">
        <v>39603.599999999999</v>
      </c>
      <c r="P1797" s="415">
        <v>48048</v>
      </c>
      <c r="Q1797" s="481">
        <f t="shared" si="74"/>
        <v>-94525</v>
      </c>
    </row>
    <row r="1798" spans="1:17" outlineLevel="2" x14ac:dyDescent="0.3">
      <c r="A1798" s="366" t="str">
        <f>IFERROR(VLOOKUP(RIGHT(E1798,3)+0,[1]SchLocTable!$A$2:$B$47,2,FALSE)," ")</f>
        <v>Claytor</v>
      </c>
      <c r="B1798" s="366" t="str">
        <f>VLOOKUP(VALUE(D1798),$D$3:F$106,3,FALSE)</f>
        <v>Science</v>
      </c>
      <c r="C1798" t="s">
        <v>314</v>
      </c>
      <c r="D1798">
        <v>817</v>
      </c>
      <c r="E1798" t="s">
        <v>708</v>
      </c>
      <c r="F1798" t="s">
        <v>321</v>
      </c>
      <c r="G1798" t="s">
        <v>319</v>
      </c>
      <c r="H1798" s="502">
        <v>52917</v>
      </c>
      <c r="I1798" s="415">
        <v>48755.040000000001</v>
      </c>
      <c r="J1798" s="415">
        <v>11437.18</v>
      </c>
      <c r="K1798" s="415">
        <v>11474.1</v>
      </c>
      <c r="L1798" s="415">
        <v>10905.9</v>
      </c>
      <c r="M1798" s="415">
        <v>10915.63</v>
      </c>
      <c r="N1798" s="415">
        <v>10661.86</v>
      </c>
      <c r="O1798" s="415">
        <v>20418.48</v>
      </c>
      <c r="P1798" s="415">
        <v>9245.67</v>
      </c>
      <c r="Q1798" s="481">
        <f t="shared" si="74"/>
        <v>-37317.86</v>
      </c>
    </row>
    <row r="1799" spans="1:17" outlineLevel="2" x14ac:dyDescent="0.3">
      <c r="A1799" s="366" t="str">
        <f>IFERROR(VLOOKUP(RIGHT(E1799,3)+0,[1]SchLocTable!$A$2:$B$47,2,FALSE)," ")</f>
        <v>Claytor</v>
      </c>
      <c r="B1799" s="366" t="str">
        <f>VLOOKUP(VALUE(D1799),$D$3:F$106,3,FALSE)</f>
        <v>Science</v>
      </c>
      <c r="C1799" t="s">
        <v>314</v>
      </c>
      <c r="D1799">
        <v>817</v>
      </c>
      <c r="E1799" t="s">
        <v>708</v>
      </c>
      <c r="F1799" t="s">
        <v>320</v>
      </c>
      <c r="G1799" t="s">
        <v>319</v>
      </c>
      <c r="H1799" s="502">
        <v>52360</v>
      </c>
      <c r="I1799" s="415">
        <v>2135.4875000000002</v>
      </c>
      <c r="J1799" s="415">
        <v>748.27</v>
      </c>
      <c r="K1799" s="415">
        <v>613.51</v>
      </c>
      <c r="L1799" s="415">
        <v>599.52</v>
      </c>
      <c r="M1799" s="415">
        <v>619.44000000000005</v>
      </c>
      <c r="N1799" s="415">
        <v>585.77</v>
      </c>
      <c r="O1799" s="415">
        <v>496.49</v>
      </c>
      <c r="P1799" s="415">
        <v>662.07</v>
      </c>
      <c r="Q1799" s="481">
        <f t="shared" si="74"/>
        <v>-1387.2175000000002</v>
      </c>
    </row>
    <row r="1800" spans="1:17" outlineLevel="2" x14ac:dyDescent="0.3">
      <c r="A1800" s="366" t="str">
        <f>IFERROR(VLOOKUP(RIGHT(E1800,3)+0,[1]SchLocTable!$A$2:$B$47,2,FALSE)," ")</f>
        <v>Claytor</v>
      </c>
      <c r="B1800" s="366" t="str">
        <f>VLOOKUP(VALUE(D1800),$D$3:F$106,3,FALSE)</f>
        <v>Science</v>
      </c>
      <c r="C1800" t="s">
        <v>314</v>
      </c>
      <c r="D1800">
        <v>817</v>
      </c>
      <c r="E1800" t="s">
        <v>708</v>
      </c>
      <c r="F1800" t="s">
        <v>324</v>
      </c>
      <c r="G1800" t="s">
        <v>319</v>
      </c>
      <c r="H1800" s="502">
        <v>52385</v>
      </c>
      <c r="I1800" s="415">
        <v>7966.53</v>
      </c>
      <c r="J1800" s="415">
        <v>3199.48</v>
      </c>
      <c r="K1800" s="415">
        <v>2623.27</v>
      </c>
      <c r="L1800" s="415">
        <v>2563.4499999999998</v>
      </c>
      <c r="M1800" s="415">
        <v>2648.63</v>
      </c>
      <c r="N1800" s="415">
        <v>2504.69</v>
      </c>
      <c r="O1800" s="415">
        <v>614.96</v>
      </c>
      <c r="P1800" s="415">
        <v>0</v>
      </c>
      <c r="Q1800" s="481">
        <f t="shared" si="74"/>
        <v>-4767.0499999999993</v>
      </c>
    </row>
    <row r="1801" spans="1:17" outlineLevel="2" x14ac:dyDescent="0.3">
      <c r="A1801" s="366" t="str">
        <f>IFERROR(VLOOKUP(RIGHT(E1801,3)+0,[1]SchLocTable!$A$2:$B$47,2,FALSE)," ")</f>
        <v>Johnson</v>
      </c>
      <c r="B1801" s="366" t="str">
        <f>VLOOKUP(VALUE(D1801),$D$3:F$106,3,FALSE)</f>
        <v>Science</v>
      </c>
      <c r="C1801" t="s">
        <v>314</v>
      </c>
      <c r="D1801">
        <v>817</v>
      </c>
      <c r="E1801" t="s">
        <v>709</v>
      </c>
      <c r="F1801" t="s">
        <v>316</v>
      </c>
      <c r="G1801">
        <v>2</v>
      </c>
      <c r="H1801" s="502">
        <v>51000</v>
      </c>
      <c r="I1801" s="415">
        <v>190428.46490000002</v>
      </c>
      <c r="J1801" s="415">
        <v>105070</v>
      </c>
      <c r="K1801" s="415">
        <v>119780.1</v>
      </c>
      <c r="L1801" s="415">
        <v>124897</v>
      </c>
      <c r="M1801" s="415">
        <v>50321.04</v>
      </c>
      <c r="N1801" s="415">
        <v>96988.62</v>
      </c>
      <c r="O1801" s="415">
        <v>93761.98</v>
      </c>
      <c r="P1801" s="415">
        <v>92284.92</v>
      </c>
      <c r="Q1801" s="481">
        <f t="shared" si="74"/>
        <v>-85358.464900000021</v>
      </c>
    </row>
    <row r="1802" spans="1:17" outlineLevel="1" x14ac:dyDescent="0.3">
      <c r="A1802" s="366" t="str">
        <f>IFERROR(VLOOKUP(RIGHT(E1802,3)+0,[1]SchLocTable!$A$2:$B$47,2,FALSE)," ")</f>
        <v>Johnson</v>
      </c>
      <c r="B1802" s="366" t="str">
        <f>VLOOKUP(VALUE(D1802),$D$3:F$106,3,FALSE)</f>
        <v>Science</v>
      </c>
      <c r="C1802" t="s">
        <v>314</v>
      </c>
      <c r="D1802">
        <v>817</v>
      </c>
      <c r="E1802" t="s">
        <v>709</v>
      </c>
      <c r="F1802" t="s">
        <v>321</v>
      </c>
      <c r="G1802" t="s">
        <v>319</v>
      </c>
      <c r="H1802" s="502">
        <v>52917</v>
      </c>
      <c r="I1802" s="415">
        <v>33427.404000000002</v>
      </c>
      <c r="J1802" s="415">
        <v>856.17</v>
      </c>
      <c r="K1802" s="415">
        <v>878.64</v>
      </c>
      <c r="L1802" s="415">
        <v>344.82</v>
      </c>
      <c r="M1802" s="415">
        <v>0</v>
      </c>
      <c r="N1802" s="415">
        <v>0</v>
      </c>
      <c r="O1802" s="415">
        <v>0</v>
      </c>
      <c r="P1802" s="415">
        <v>0</v>
      </c>
      <c r="Q1802" s="481">
        <f t="shared" si="74"/>
        <v>-32571.234000000004</v>
      </c>
    </row>
    <row r="1803" spans="1:17" outlineLevel="2" x14ac:dyDescent="0.3">
      <c r="A1803" s="366" t="str">
        <f>IFERROR(VLOOKUP(RIGHT(E1803,3)+0,[1]SchLocTable!$A$2:$B$47,2,FALSE)," ")</f>
        <v>Johnson</v>
      </c>
      <c r="B1803" s="366" t="str">
        <f>VLOOKUP(VALUE(D1803),$D$3:F$106,3,FALSE)</f>
        <v>Science</v>
      </c>
      <c r="C1803" t="s">
        <v>314</v>
      </c>
      <c r="D1803">
        <v>817</v>
      </c>
      <c r="E1803" t="s">
        <v>709</v>
      </c>
      <c r="F1803" t="s">
        <v>320</v>
      </c>
      <c r="G1803" t="s">
        <v>319</v>
      </c>
      <c r="H1803" s="502">
        <v>52360</v>
      </c>
      <c r="I1803" s="415">
        <v>2761.2127410500002</v>
      </c>
      <c r="J1803" s="415">
        <v>1517.32</v>
      </c>
      <c r="K1803" s="415">
        <v>1686.93</v>
      </c>
      <c r="L1803" s="415">
        <v>1779.21</v>
      </c>
      <c r="M1803" s="415">
        <v>729.66</v>
      </c>
      <c r="N1803" s="415">
        <v>1406.35</v>
      </c>
      <c r="O1803" s="415">
        <v>1359.54</v>
      </c>
      <c r="P1803" s="415">
        <v>1338.13</v>
      </c>
      <c r="Q1803" s="481">
        <f t="shared" si="74"/>
        <v>-1243.8927410500003</v>
      </c>
    </row>
    <row r="1804" spans="1:17" outlineLevel="2" x14ac:dyDescent="0.3">
      <c r="A1804" s="366" t="str">
        <f>IFERROR(VLOOKUP(RIGHT(E1804,3)+0,[1]SchLocTable!$A$2:$B$47,2,FALSE)," ")</f>
        <v>Johnson</v>
      </c>
      <c r="B1804" s="366" t="str">
        <f>VLOOKUP(VALUE(D1804),$D$3:F$106,3,FALSE)</f>
        <v>Science</v>
      </c>
      <c r="C1804" t="s">
        <v>314</v>
      </c>
      <c r="D1804">
        <v>817</v>
      </c>
      <c r="E1804" t="s">
        <v>709</v>
      </c>
      <c r="F1804" t="s">
        <v>324</v>
      </c>
      <c r="G1804" t="s">
        <v>319</v>
      </c>
      <c r="H1804" s="502">
        <v>52385</v>
      </c>
      <c r="I1804" s="415">
        <v>0</v>
      </c>
      <c r="J1804" s="415">
        <v>0</v>
      </c>
      <c r="K1804" s="415">
        <v>1588.75</v>
      </c>
      <c r="L1804" s="415">
        <v>2232</v>
      </c>
      <c r="M1804" s="415">
        <v>0</v>
      </c>
      <c r="N1804" s="415">
        <v>570.4</v>
      </c>
      <c r="O1804" s="415">
        <v>0</v>
      </c>
      <c r="P1804" s="415">
        <v>212.04</v>
      </c>
      <c r="Q1804" s="481">
        <f t="shared" si="74"/>
        <v>0</v>
      </c>
    </row>
    <row r="1805" spans="1:17" outlineLevel="2" x14ac:dyDescent="0.3">
      <c r="A1805" s="366" t="str">
        <f>IFERROR(VLOOKUP(RIGHT(E1805,3)+0,[1]SchLocTable!$A$2:$B$47,2,FALSE)," ")</f>
        <v>Winthrop</v>
      </c>
      <c r="B1805" s="366" t="str">
        <f>VLOOKUP(VALUE(D1805),$D$3:F$106,3,FALSE)</f>
        <v>Science</v>
      </c>
      <c r="C1805" t="s">
        <v>314</v>
      </c>
      <c r="D1805">
        <v>817</v>
      </c>
      <c r="E1805" t="s">
        <v>710</v>
      </c>
      <c r="F1805" t="s">
        <v>316</v>
      </c>
      <c r="G1805">
        <v>2</v>
      </c>
      <c r="H1805" s="502">
        <v>51000</v>
      </c>
      <c r="I1805" s="415">
        <v>153816.14117999998</v>
      </c>
      <c r="J1805" s="415">
        <v>146352</v>
      </c>
      <c r="K1805" s="415">
        <v>139282</v>
      </c>
      <c r="L1805" s="415">
        <v>139899.26999999999</v>
      </c>
      <c r="M1805" s="415">
        <v>137464.07999999999</v>
      </c>
      <c r="N1805" s="415">
        <v>131093.04</v>
      </c>
      <c r="O1805" s="415">
        <v>123320.08</v>
      </c>
      <c r="P1805" s="415">
        <v>113637.38</v>
      </c>
      <c r="Q1805" s="481">
        <f t="shared" si="74"/>
        <v>-7464.1411799999769</v>
      </c>
    </row>
    <row r="1806" spans="1:17" outlineLevel="2" x14ac:dyDescent="0.3">
      <c r="A1806" s="366" t="str">
        <f>IFERROR(VLOOKUP(RIGHT(E1806,3)+0,[1]SchLocTable!$A$2:$B$47,2,FALSE)," ")</f>
        <v>Winthrop</v>
      </c>
      <c r="B1806" s="366" t="str">
        <f>VLOOKUP(VALUE(D1806),$D$3:F$106,3,FALSE)</f>
        <v>Science</v>
      </c>
      <c r="C1806" t="s">
        <v>314</v>
      </c>
      <c r="D1806">
        <v>817</v>
      </c>
      <c r="E1806" t="s">
        <v>710</v>
      </c>
      <c r="F1806" t="s">
        <v>321</v>
      </c>
      <c r="G1806" t="s">
        <v>319</v>
      </c>
      <c r="H1806" s="502">
        <v>52917</v>
      </c>
      <c r="I1806" s="415">
        <v>46330.955999999998</v>
      </c>
      <c r="J1806" s="415">
        <v>38609.129999999997</v>
      </c>
      <c r="K1806" s="415">
        <v>35075.879999999997</v>
      </c>
      <c r="L1806" s="415">
        <v>34606.949999999997</v>
      </c>
      <c r="M1806" s="415">
        <v>32449.200000000001</v>
      </c>
      <c r="N1806" s="415">
        <v>40485.9</v>
      </c>
      <c r="O1806" s="415">
        <v>4195.95</v>
      </c>
      <c r="P1806" s="415">
        <v>7044.32</v>
      </c>
      <c r="Q1806" s="481">
        <f t="shared" si="74"/>
        <v>-7721.8260000000009</v>
      </c>
    </row>
    <row r="1807" spans="1:17" outlineLevel="2" x14ac:dyDescent="0.3">
      <c r="A1807" s="366" t="str">
        <f>IFERROR(VLOOKUP(RIGHT(E1807,3)+0,[1]SchLocTable!$A$2:$B$47,2,FALSE)," ")</f>
        <v>Winthrop</v>
      </c>
      <c r="B1807" s="366" t="str">
        <f>VLOOKUP(VALUE(D1807),$D$3:F$106,3,FALSE)</f>
        <v>Science</v>
      </c>
      <c r="C1807" t="s">
        <v>314</v>
      </c>
      <c r="D1807">
        <v>817</v>
      </c>
      <c r="E1807" t="s">
        <v>710</v>
      </c>
      <c r="F1807" t="s">
        <v>318</v>
      </c>
      <c r="G1807" t="s">
        <v>319</v>
      </c>
      <c r="H1807" s="502">
        <v>51140</v>
      </c>
      <c r="I1807" s="415">
        <v>0</v>
      </c>
      <c r="J1807" s="415">
        <v>0</v>
      </c>
      <c r="K1807" s="415">
        <v>0</v>
      </c>
      <c r="L1807" s="415">
        <v>0</v>
      </c>
      <c r="M1807" s="415">
        <v>1100</v>
      </c>
      <c r="N1807" s="415">
        <v>900</v>
      </c>
      <c r="O1807" s="415">
        <v>900</v>
      </c>
      <c r="P1807" s="415">
        <v>900</v>
      </c>
      <c r="Q1807" s="481">
        <f t="shared" si="74"/>
        <v>0</v>
      </c>
    </row>
    <row r="1808" spans="1:17" outlineLevel="2" x14ac:dyDescent="0.3">
      <c r="A1808" s="366" t="str">
        <f>IFERROR(VLOOKUP(RIGHT(E1808,3)+0,[1]SchLocTable!$A$2:$B$47,2,FALSE)," ")</f>
        <v>Winthrop</v>
      </c>
      <c r="B1808" s="366" t="str">
        <f>VLOOKUP(VALUE(D1808),$D$3:F$106,3,FALSE)</f>
        <v>Science</v>
      </c>
      <c r="C1808" t="s">
        <v>314</v>
      </c>
      <c r="D1808">
        <v>817</v>
      </c>
      <c r="E1808" t="s">
        <v>710</v>
      </c>
      <c r="F1808" t="s">
        <v>320</v>
      </c>
      <c r="G1808" t="s">
        <v>319</v>
      </c>
      <c r="H1808" s="502">
        <v>52360</v>
      </c>
      <c r="I1808" s="415">
        <v>2230.33404711</v>
      </c>
      <c r="J1808" s="415">
        <v>1913</v>
      </c>
      <c r="K1808" s="415">
        <v>1869.88</v>
      </c>
      <c r="L1808" s="415">
        <v>1885.24</v>
      </c>
      <c r="M1808" s="415">
        <v>1878.44</v>
      </c>
      <c r="N1808" s="415">
        <v>1755.75</v>
      </c>
      <c r="O1808" s="415">
        <v>1785.25</v>
      </c>
      <c r="P1808" s="415">
        <v>1634.41</v>
      </c>
      <c r="Q1808" s="481">
        <f t="shared" si="74"/>
        <v>-317.33404711000003</v>
      </c>
    </row>
    <row r="1809" spans="1:17" outlineLevel="2" x14ac:dyDescent="0.3">
      <c r="A1809" s="366" t="str">
        <f>IFERROR(VLOOKUP(RIGHT(E1809,3)+0,[1]SchLocTable!$A$2:$B$47,2,FALSE)," ")</f>
        <v>Winthrop</v>
      </c>
      <c r="B1809" s="366" t="str">
        <f>VLOOKUP(VALUE(D1809),$D$3:F$106,3,FALSE)</f>
        <v>Science</v>
      </c>
      <c r="C1809" t="s">
        <v>314</v>
      </c>
      <c r="D1809">
        <v>817</v>
      </c>
      <c r="E1809" t="s">
        <v>710</v>
      </c>
      <c r="F1809" t="s">
        <v>533</v>
      </c>
      <c r="G1809" t="s">
        <v>319</v>
      </c>
      <c r="H1809" s="502">
        <v>52397</v>
      </c>
      <c r="I1809" s="415">
        <v>0</v>
      </c>
      <c r="J1809" s="415">
        <v>0</v>
      </c>
      <c r="K1809" s="415">
        <v>0</v>
      </c>
      <c r="L1809" s="415">
        <v>1156</v>
      </c>
      <c r="M1809" s="415">
        <v>7514</v>
      </c>
      <c r="N1809" s="415">
        <v>0</v>
      </c>
      <c r="O1809" s="415">
        <v>0</v>
      </c>
      <c r="P1809" s="415">
        <v>0</v>
      </c>
      <c r="Q1809" s="481">
        <f t="shared" si="74"/>
        <v>0</v>
      </c>
    </row>
    <row r="1810" spans="1:17" outlineLevel="2" x14ac:dyDescent="0.3">
      <c r="A1810" s="366" t="str">
        <f>IFERROR(VLOOKUP(RIGHT(E1810,3)+0,[1]SchLocTable!$A$2:$B$47,2,FALSE)," ")</f>
        <v>Discovery</v>
      </c>
      <c r="B1810" s="366" t="str">
        <f>VLOOKUP(VALUE(D1810),$D$3:F$106,3,FALSE)</f>
        <v>Science</v>
      </c>
      <c r="C1810" t="s">
        <v>314</v>
      </c>
      <c r="D1810">
        <v>817</v>
      </c>
      <c r="E1810" t="s">
        <v>711</v>
      </c>
      <c r="F1810" t="s">
        <v>316</v>
      </c>
      <c r="G1810">
        <v>1</v>
      </c>
      <c r="H1810" s="502">
        <v>51000</v>
      </c>
      <c r="I1810" s="415">
        <v>88218.711880000003</v>
      </c>
      <c r="J1810" s="415">
        <v>83938</v>
      </c>
      <c r="K1810" s="415">
        <v>77801.88</v>
      </c>
      <c r="L1810" s="415">
        <v>72752.94</v>
      </c>
      <c r="M1810" s="415">
        <v>68473.08</v>
      </c>
      <c r="N1810" s="415">
        <v>44194</v>
      </c>
      <c r="O1810" s="415">
        <v>0</v>
      </c>
      <c r="P1810" s="415">
        <v>58970.080000000002</v>
      </c>
      <c r="Q1810" s="481">
        <f t="shared" si="74"/>
        <v>-4280.7118800000026</v>
      </c>
    </row>
    <row r="1811" spans="1:17" outlineLevel="2" x14ac:dyDescent="0.3">
      <c r="A1811" s="366" t="str">
        <f>IFERROR(VLOOKUP(RIGHT(E1811,3)+0,[1]SchLocTable!$A$2:$B$47,2,FALSE)," ")</f>
        <v>Discovery</v>
      </c>
      <c r="B1811" s="366" t="str">
        <f>VLOOKUP(VALUE(D1811),$D$3:F$106,3,FALSE)</f>
        <v>Science</v>
      </c>
      <c r="C1811" t="s">
        <v>314</v>
      </c>
      <c r="D1811">
        <v>817</v>
      </c>
      <c r="E1811" t="s">
        <v>711</v>
      </c>
      <c r="F1811" t="s">
        <v>321</v>
      </c>
      <c r="G1811" t="s">
        <v>319</v>
      </c>
      <c r="H1811" s="502">
        <v>52917</v>
      </c>
      <c r="I1811" s="415">
        <v>46330.955999999998</v>
      </c>
      <c r="J1811" s="415">
        <v>38609.129999999997</v>
      </c>
      <c r="K1811" s="415">
        <v>35075.879999999997</v>
      </c>
      <c r="L1811" s="415">
        <v>34606.949999999997</v>
      </c>
      <c r="M1811" s="415">
        <v>32449.200000000001</v>
      </c>
      <c r="N1811" s="415">
        <v>30308.67</v>
      </c>
      <c r="O1811" s="415">
        <v>0</v>
      </c>
      <c r="P1811" s="415">
        <v>27385.05</v>
      </c>
      <c r="Q1811" s="481">
        <f t="shared" si="74"/>
        <v>-7721.8260000000009</v>
      </c>
    </row>
    <row r="1812" spans="1:17" outlineLevel="2" x14ac:dyDescent="0.3">
      <c r="A1812" s="366" t="str">
        <f>IFERROR(VLOOKUP(RIGHT(E1812,3)+0,[1]SchLocTable!$A$2:$B$47,2,FALSE)," ")</f>
        <v>Discovery</v>
      </c>
      <c r="B1812" s="366" t="str">
        <f>VLOOKUP(VALUE(D1812),$D$3:F$106,3,FALSE)</f>
        <v>Science</v>
      </c>
      <c r="C1812" t="s">
        <v>314</v>
      </c>
      <c r="D1812">
        <v>817</v>
      </c>
      <c r="E1812" t="s">
        <v>711</v>
      </c>
      <c r="F1812" t="s">
        <v>318</v>
      </c>
      <c r="G1812" t="s">
        <v>319</v>
      </c>
      <c r="H1812" s="502">
        <v>51140</v>
      </c>
      <c r="I1812" s="415">
        <v>0</v>
      </c>
      <c r="J1812" s="415">
        <v>0</v>
      </c>
      <c r="K1812" s="415">
        <v>0</v>
      </c>
      <c r="L1812" s="415">
        <v>1100</v>
      </c>
      <c r="M1812" s="415">
        <v>0</v>
      </c>
      <c r="N1812" s="415">
        <v>0</v>
      </c>
      <c r="O1812" s="415">
        <v>0</v>
      </c>
      <c r="P1812" s="415">
        <v>0</v>
      </c>
      <c r="Q1812" s="481">
        <f t="shared" si="74"/>
        <v>0</v>
      </c>
    </row>
    <row r="1813" spans="1:17" outlineLevel="2" x14ac:dyDescent="0.3">
      <c r="A1813" s="366" t="str">
        <f>IFERROR(VLOOKUP(RIGHT(E1813,3)+0,[1]SchLocTable!$A$2:$B$47,2,FALSE)," ")</f>
        <v>Discovery</v>
      </c>
      <c r="B1813" s="366" t="str">
        <f>VLOOKUP(VALUE(D1813),$D$3:F$106,3,FALSE)</f>
        <v>Science</v>
      </c>
      <c r="C1813" t="s">
        <v>314</v>
      </c>
      <c r="D1813">
        <v>817</v>
      </c>
      <c r="E1813" t="s">
        <v>711</v>
      </c>
      <c r="F1813" t="s">
        <v>320</v>
      </c>
      <c r="G1813" t="s">
        <v>319</v>
      </c>
      <c r="H1813" s="502">
        <v>52360</v>
      </c>
      <c r="I1813" s="415">
        <v>1279.1713222600001</v>
      </c>
      <c r="J1813" s="415">
        <v>1008</v>
      </c>
      <c r="K1813" s="415">
        <v>978.41</v>
      </c>
      <c r="L1813" s="415">
        <v>927.54</v>
      </c>
      <c r="M1813" s="415">
        <v>862.12</v>
      </c>
      <c r="N1813" s="415">
        <v>812.48</v>
      </c>
      <c r="O1813" s="415">
        <v>0</v>
      </c>
      <c r="P1813" s="415">
        <v>752.53</v>
      </c>
      <c r="Q1813" s="481">
        <f t="shared" si="74"/>
        <v>-271.17132226000012</v>
      </c>
    </row>
    <row r="1814" spans="1:17" outlineLevel="2" x14ac:dyDescent="0.3">
      <c r="A1814" s="366" t="str">
        <f>IFERROR(VLOOKUP(RIGHT(E1814,3)+0,[1]SchLocTable!$A$2:$B$47,2,FALSE)," ")</f>
        <v>Cross</v>
      </c>
      <c r="B1814" s="366" t="str">
        <f>VLOOKUP(VALUE(D1814),$D$3:F$106,3,FALSE)</f>
        <v>Science</v>
      </c>
      <c r="C1814" t="s">
        <v>314</v>
      </c>
      <c r="D1814">
        <v>817</v>
      </c>
      <c r="E1814" t="s">
        <v>712</v>
      </c>
      <c r="F1814" t="s">
        <v>316</v>
      </c>
      <c r="G1814" t="s">
        <v>319</v>
      </c>
      <c r="H1814" s="502">
        <v>51000</v>
      </c>
      <c r="I1814" s="415">
        <v>80000</v>
      </c>
      <c r="J1814" s="415">
        <v>0</v>
      </c>
      <c r="K1814" s="415">
        <v>0</v>
      </c>
      <c r="L1814" s="415">
        <v>20000</v>
      </c>
      <c r="M1814" s="415">
        <v>0</v>
      </c>
      <c r="N1814" s="415">
        <v>96587.11</v>
      </c>
      <c r="O1814" s="415">
        <v>54993.120000000003</v>
      </c>
      <c r="P1814" s="415">
        <v>51222.080000000002</v>
      </c>
      <c r="Q1814" s="481">
        <f t="shared" si="74"/>
        <v>-80000</v>
      </c>
    </row>
    <row r="1815" spans="1:17" outlineLevel="2" x14ac:dyDescent="0.3">
      <c r="A1815" s="366" t="str">
        <f>IFERROR(VLOOKUP(RIGHT(E1815,3)+0,[1]SchLocTable!$A$2:$B$47,2,FALSE)," ")</f>
        <v>Cross</v>
      </c>
      <c r="B1815" s="366" t="str">
        <f>VLOOKUP(VALUE(D1815),$D$3:F$106,3,FALSE)</f>
        <v>Science</v>
      </c>
      <c r="C1815" t="s">
        <v>314</v>
      </c>
      <c r="D1815">
        <v>817</v>
      </c>
      <c r="E1815" t="s">
        <v>712</v>
      </c>
      <c r="F1815" t="s">
        <v>320</v>
      </c>
      <c r="G1815" t="s">
        <v>319</v>
      </c>
      <c r="H1815" s="502">
        <v>52360</v>
      </c>
      <c r="I1815" s="415">
        <v>1160</v>
      </c>
      <c r="J1815" s="415">
        <v>0</v>
      </c>
      <c r="K1815" s="415">
        <v>0</v>
      </c>
      <c r="L1815" s="415">
        <v>290</v>
      </c>
      <c r="M1815" s="415">
        <v>0</v>
      </c>
      <c r="N1815" s="415">
        <v>1344.31</v>
      </c>
      <c r="O1815" s="415">
        <v>760.11</v>
      </c>
      <c r="P1815" s="415">
        <v>708.1</v>
      </c>
      <c r="Q1815" s="481">
        <f t="shared" si="74"/>
        <v>-1160</v>
      </c>
    </row>
    <row r="1816" spans="1:17" outlineLevel="2" x14ac:dyDescent="0.3">
      <c r="A1816" s="366" t="str">
        <f>IFERROR(VLOOKUP(RIGHT(E1816,3)+0,[1]SchLocTable!$A$2:$B$47,2,FALSE)," ")</f>
        <v>Cross</v>
      </c>
      <c r="B1816" s="366" t="str">
        <f>VLOOKUP(VALUE(D1816),$D$3:F$106,3,FALSE)</f>
        <v>Science</v>
      </c>
      <c r="C1816" t="s">
        <v>314</v>
      </c>
      <c r="D1816">
        <v>817</v>
      </c>
      <c r="E1816" t="s">
        <v>712</v>
      </c>
      <c r="F1816" t="s">
        <v>324</v>
      </c>
      <c r="G1816" t="s">
        <v>319</v>
      </c>
      <c r="H1816" s="502">
        <v>52385</v>
      </c>
      <c r="I1816" s="415">
        <v>0</v>
      </c>
      <c r="J1816" s="415">
        <v>0</v>
      </c>
      <c r="K1816" s="415">
        <v>0</v>
      </c>
      <c r="L1816" s="415">
        <v>1240</v>
      </c>
      <c r="M1816" s="415">
        <v>0</v>
      </c>
      <c r="N1816" s="415">
        <v>0</v>
      </c>
      <c r="O1816" s="415">
        <v>0</v>
      </c>
      <c r="P1816" s="415">
        <v>0</v>
      </c>
      <c r="Q1816" s="481">
        <f t="shared" si="74"/>
        <v>0</v>
      </c>
    </row>
    <row r="1817" spans="1:17" outlineLevel="2" x14ac:dyDescent="0.3">
      <c r="A1817" s="366" t="str">
        <f>IFERROR(VLOOKUP(RIGHT(E1817,3)+0,[1]SchLocTable!$A$2:$B$47,2,FALSE)," ")</f>
        <v>Blackham</v>
      </c>
      <c r="B1817" s="366" t="str">
        <f>VLOOKUP(VALUE(D1817),$D$3:F$106,3,FALSE)</f>
        <v>Science</v>
      </c>
      <c r="C1817" t="s">
        <v>314</v>
      </c>
      <c r="D1817">
        <v>817</v>
      </c>
      <c r="E1817" t="s">
        <v>713</v>
      </c>
      <c r="F1817" t="s">
        <v>316</v>
      </c>
      <c r="G1817">
        <v>1</v>
      </c>
      <c r="H1817" s="502">
        <v>51000</v>
      </c>
      <c r="I1817" s="415">
        <v>148137.399</v>
      </c>
      <c r="J1817" s="415">
        <v>85406</v>
      </c>
      <c r="K1817" s="415">
        <v>78957.919999999998</v>
      </c>
      <c r="L1817" s="415">
        <v>121935.98</v>
      </c>
      <c r="M1817" s="415">
        <v>89892.92</v>
      </c>
      <c r="N1817" s="415">
        <v>160097.31</v>
      </c>
      <c r="O1817" s="415">
        <v>168664.38</v>
      </c>
      <c r="P1817" s="415">
        <v>172923.78</v>
      </c>
      <c r="Q1817" s="481">
        <f t="shared" si="74"/>
        <v>-62731.399000000005</v>
      </c>
    </row>
    <row r="1818" spans="1:17" outlineLevel="2" x14ac:dyDescent="0.3">
      <c r="A1818" s="366" t="str">
        <f>IFERROR(VLOOKUP(RIGHT(E1818,3)+0,[1]SchLocTable!$A$2:$B$47,2,FALSE)," ")</f>
        <v>Blackham</v>
      </c>
      <c r="B1818" s="366" t="str">
        <f>VLOOKUP(VALUE(D1818),$D$3:F$106,3,FALSE)</f>
        <v>Science</v>
      </c>
      <c r="C1818" t="s">
        <v>314</v>
      </c>
      <c r="D1818">
        <v>817</v>
      </c>
      <c r="E1818" t="s">
        <v>713</v>
      </c>
      <c r="F1818" t="s">
        <v>321</v>
      </c>
      <c r="G1818" t="s">
        <v>319</v>
      </c>
      <c r="H1818" s="502">
        <v>52917</v>
      </c>
      <c r="I1818" s="415">
        <v>0</v>
      </c>
      <c r="J1818" s="415">
        <v>0</v>
      </c>
      <c r="K1818" s="415">
        <v>0</v>
      </c>
      <c r="L1818" s="415">
        <v>10378.66</v>
      </c>
      <c r="M1818" s="415">
        <v>26751.27</v>
      </c>
      <c r="N1818" s="415">
        <v>46320.88</v>
      </c>
      <c r="O1818" s="415">
        <v>38372.660000000003</v>
      </c>
      <c r="P1818" s="415">
        <v>52518.3</v>
      </c>
      <c r="Q1818" s="481">
        <f t="shared" si="74"/>
        <v>0</v>
      </c>
    </row>
    <row r="1819" spans="1:17" outlineLevel="2" x14ac:dyDescent="0.3">
      <c r="A1819" s="366" t="str">
        <f>IFERROR(VLOOKUP(RIGHT(E1819,3)+0,[1]SchLocTable!$A$2:$B$47,2,FALSE)," ")</f>
        <v>Blackham</v>
      </c>
      <c r="B1819" s="366" t="str">
        <f>VLOOKUP(VALUE(D1819),$D$3:F$106,3,FALSE)</f>
        <v>Science</v>
      </c>
      <c r="C1819" t="s">
        <v>314</v>
      </c>
      <c r="D1819">
        <v>817</v>
      </c>
      <c r="E1819" t="s">
        <v>713</v>
      </c>
      <c r="F1819" t="s">
        <v>320</v>
      </c>
      <c r="G1819" t="s">
        <v>319</v>
      </c>
      <c r="H1819" s="502">
        <v>52360</v>
      </c>
      <c r="I1819" s="415">
        <v>2147.9922855000004</v>
      </c>
      <c r="J1819" s="415">
        <v>1238</v>
      </c>
      <c r="K1819" s="415">
        <v>1144.8900000000001</v>
      </c>
      <c r="L1819" s="415">
        <v>1725.46</v>
      </c>
      <c r="M1819" s="415">
        <v>1196</v>
      </c>
      <c r="N1819" s="415">
        <v>2140.39</v>
      </c>
      <c r="O1819" s="415">
        <v>2299.79</v>
      </c>
      <c r="P1819" s="415">
        <v>2310.0300000000002</v>
      </c>
      <c r="Q1819" s="481">
        <f t="shared" si="74"/>
        <v>-909.99228550000043</v>
      </c>
    </row>
    <row r="1820" spans="1:17" outlineLevel="2" x14ac:dyDescent="0.3">
      <c r="A1820" s="366" t="str">
        <f>IFERROR(VLOOKUP(RIGHT(E1820,3)+0,[1]SchLocTable!$A$2:$B$47,2,FALSE)," ")</f>
        <v>Blackham</v>
      </c>
      <c r="B1820" s="366" t="str">
        <f>VLOOKUP(VALUE(D1820),$D$3:F$106,3,FALSE)</f>
        <v>Science</v>
      </c>
      <c r="C1820" t="s">
        <v>314</v>
      </c>
      <c r="D1820">
        <v>817</v>
      </c>
      <c r="E1820" t="s">
        <v>713</v>
      </c>
      <c r="F1820" t="s">
        <v>324</v>
      </c>
      <c r="G1820" t="s">
        <v>319</v>
      </c>
      <c r="H1820" s="502">
        <v>52385</v>
      </c>
      <c r="I1820" s="415">
        <v>0</v>
      </c>
      <c r="J1820" s="415">
        <v>0</v>
      </c>
      <c r="K1820" s="415">
        <v>0</v>
      </c>
      <c r="L1820" s="415">
        <v>2001.85</v>
      </c>
      <c r="M1820" s="415">
        <v>0</v>
      </c>
      <c r="N1820" s="415">
        <v>260.39999999999998</v>
      </c>
      <c r="O1820" s="415">
        <v>0</v>
      </c>
      <c r="P1820" s="415">
        <v>312.48</v>
      </c>
      <c r="Q1820" s="481">
        <f t="shared" si="74"/>
        <v>0</v>
      </c>
    </row>
    <row r="1821" spans="1:17" outlineLevel="2" x14ac:dyDescent="0.3">
      <c r="A1821" s="366" t="str">
        <f>IFERROR(VLOOKUP(RIGHT(E1821,3)+0,[1]SchLocTable!$A$2:$B$47,2,FALSE)," ")</f>
        <v>Dunbar</v>
      </c>
      <c r="B1821" s="366" t="str">
        <f>VLOOKUP(VALUE(D1821),$D$3:F$106,3,FALSE)</f>
        <v>Science</v>
      </c>
      <c r="C1821" t="s">
        <v>314</v>
      </c>
      <c r="D1821">
        <v>817</v>
      </c>
      <c r="E1821" t="s">
        <v>714</v>
      </c>
      <c r="F1821" t="s">
        <v>316</v>
      </c>
      <c r="G1821">
        <v>1</v>
      </c>
      <c r="H1821" s="502">
        <v>51000</v>
      </c>
      <c r="I1821" s="415">
        <v>70412.890589999995</v>
      </c>
      <c r="J1821" s="415">
        <v>0</v>
      </c>
      <c r="K1821" s="415">
        <v>0</v>
      </c>
      <c r="L1821" s="415">
        <v>6474.55</v>
      </c>
      <c r="M1821" s="415">
        <v>45500</v>
      </c>
      <c r="N1821" s="415">
        <v>45050</v>
      </c>
      <c r="O1821" s="415">
        <v>48170.98</v>
      </c>
      <c r="P1821" s="415">
        <v>47412.04</v>
      </c>
      <c r="Q1821" s="481">
        <f t="shared" si="74"/>
        <v>-70412.890589999995</v>
      </c>
    </row>
    <row r="1822" spans="1:17" outlineLevel="2" x14ac:dyDescent="0.3">
      <c r="A1822" s="366" t="str">
        <f>IFERROR(VLOOKUP(RIGHT(E1822,3)+0,[1]SchLocTable!$A$2:$B$47,2,FALSE)," ")</f>
        <v>Dunbar</v>
      </c>
      <c r="B1822" s="366" t="str">
        <f>VLOOKUP(VALUE(D1822),$D$3:F$106,3,FALSE)</f>
        <v>Science</v>
      </c>
      <c r="C1822" t="s">
        <v>314</v>
      </c>
      <c r="D1822">
        <v>817</v>
      </c>
      <c r="E1822" t="s">
        <v>714</v>
      </c>
      <c r="F1822" t="s">
        <v>321</v>
      </c>
      <c r="G1822" t="s">
        <v>319</v>
      </c>
      <c r="H1822" s="502">
        <v>52917</v>
      </c>
      <c r="I1822" s="415">
        <v>0</v>
      </c>
      <c r="J1822" s="415">
        <v>0</v>
      </c>
      <c r="K1822" s="415">
        <v>0</v>
      </c>
      <c r="L1822" s="415">
        <v>4943.8500000000004</v>
      </c>
      <c r="M1822" s="415">
        <v>0</v>
      </c>
      <c r="N1822" s="415">
        <v>0</v>
      </c>
      <c r="O1822" s="415">
        <v>9777.2999999999993</v>
      </c>
      <c r="P1822" s="415">
        <v>5027.16</v>
      </c>
      <c r="Q1822" s="481">
        <f t="shared" si="74"/>
        <v>0</v>
      </c>
    </row>
    <row r="1823" spans="1:17" outlineLevel="2" x14ac:dyDescent="0.3">
      <c r="A1823" s="366" t="str">
        <f>IFERROR(VLOOKUP(RIGHT(E1823,3)+0,[1]SchLocTable!$A$2:$B$47,2,FALSE)," ")</f>
        <v>Dunbar</v>
      </c>
      <c r="B1823" s="366" t="str">
        <f>VLOOKUP(VALUE(D1823),$D$3:F$106,3,FALSE)</f>
        <v>Science</v>
      </c>
      <c r="C1823" t="s">
        <v>314</v>
      </c>
      <c r="D1823">
        <v>817</v>
      </c>
      <c r="E1823" t="s">
        <v>714</v>
      </c>
      <c r="F1823" t="s">
        <v>320</v>
      </c>
      <c r="G1823" t="s">
        <v>319</v>
      </c>
      <c r="H1823" s="502">
        <v>52360</v>
      </c>
      <c r="I1823" s="415">
        <v>1020.986913555</v>
      </c>
      <c r="J1823" s="415">
        <v>0</v>
      </c>
      <c r="K1823" s="415">
        <v>0</v>
      </c>
      <c r="L1823" s="415">
        <v>73.41</v>
      </c>
      <c r="M1823" s="415">
        <v>659.75</v>
      </c>
      <c r="N1823" s="415">
        <v>653.23</v>
      </c>
      <c r="O1823" s="415">
        <v>661.31</v>
      </c>
      <c r="P1823" s="415">
        <v>668.1</v>
      </c>
      <c r="Q1823" s="481">
        <f t="shared" si="74"/>
        <v>-1020.986913555</v>
      </c>
    </row>
    <row r="1824" spans="1:17" outlineLevel="2" x14ac:dyDescent="0.3">
      <c r="A1824" s="366" t="str">
        <f>IFERROR(VLOOKUP(RIGHT(E1824,3)+0,[1]SchLocTable!$A$2:$B$47,2,FALSE)," ")</f>
        <v>Dunbar</v>
      </c>
      <c r="B1824" s="366" t="str">
        <f>VLOOKUP(VALUE(D1824),$D$3:F$106,3,FALSE)</f>
        <v>Science</v>
      </c>
      <c r="C1824" t="s">
        <v>314</v>
      </c>
      <c r="D1824">
        <v>817</v>
      </c>
      <c r="E1824" t="s">
        <v>714</v>
      </c>
      <c r="F1824" t="s">
        <v>324</v>
      </c>
      <c r="G1824" t="s">
        <v>319</v>
      </c>
      <c r="H1824" s="502">
        <v>52385</v>
      </c>
      <c r="I1824" s="415">
        <v>0</v>
      </c>
      <c r="J1824" s="415">
        <v>0</v>
      </c>
      <c r="K1824" s="415">
        <v>0</v>
      </c>
      <c r="L1824" s="415">
        <v>0</v>
      </c>
      <c r="M1824" s="415">
        <v>2821</v>
      </c>
      <c r="N1824" s="415">
        <v>2793.1</v>
      </c>
      <c r="O1824" s="415">
        <v>0</v>
      </c>
      <c r="P1824" s="415">
        <v>0</v>
      </c>
      <c r="Q1824" s="481">
        <f t="shared" si="74"/>
        <v>0</v>
      </c>
    </row>
    <row r="1825" spans="1:17" outlineLevel="2" x14ac:dyDescent="0.3">
      <c r="A1825" s="366" t="str">
        <f>IFERROR(VLOOKUP(RIGHT(E1825,3)+0,[1]SchLocTable!$A$2:$B$47,2,FALSE)," ")</f>
        <v>Dunbar</v>
      </c>
      <c r="B1825" s="366" t="str">
        <f>VLOOKUP(VALUE(D1825),$D$3:F$106,3,FALSE)</f>
        <v>Science</v>
      </c>
      <c r="C1825" t="s">
        <v>314</v>
      </c>
      <c r="D1825">
        <v>817</v>
      </c>
      <c r="E1825" t="s">
        <v>714</v>
      </c>
      <c r="F1825" t="s">
        <v>533</v>
      </c>
      <c r="G1825" t="s">
        <v>319</v>
      </c>
      <c r="H1825" s="502">
        <v>52397</v>
      </c>
      <c r="I1825" s="415">
        <v>0</v>
      </c>
      <c r="J1825" s="415">
        <v>0</v>
      </c>
      <c r="K1825" s="415">
        <v>0</v>
      </c>
      <c r="L1825" s="415">
        <v>0</v>
      </c>
      <c r="M1825" s="415">
        <v>504</v>
      </c>
      <c r="N1825" s="415">
        <v>0</v>
      </c>
      <c r="O1825" s="415">
        <v>0</v>
      </c>
      <c r="P1825" s="415">
        <v>0</v>
      </c>
      <c r="Q1825" s="481">
        <f t="shared" si="74"/>
        <v>0</v>
      </c>
    </row>
    <row r="1826" spans="1:17" outlineLevel="2" x14ac:dyDescent="0.3">
      <c r="A1826" s="366" t="str">
        <f>IFERROR(VLOOKUP(RIGHT(E1826,3)+0,[1]SchLocTable!$A$2:$B$47,2,FALSE)," ")</f>
        <v>Curiale</v>
      </c>
      <c r="B1826" s="366" t="str">
        <f>VLOOKUP(VALUE(D1826),$D$3:F$106,3,FALSE)</f>
        <v>Science</v>
      </c>
      <c r="C1826" t="s">
        <v>314</v>
      </c>
      <c r="D1826">
        <v>817</v>
      </c>
      <c r="E1826" t="s">
        <v>715</v>
      </c>
      <c r="F1826" t="s">
        <v>318</v>
      </c>
      <c r="G1826" t="s">
        <v>319</v>
      </c>
      <c r="H1826" s="502">
        <v>51140</v>
      </c>
      <c r="I1826" s="415">
        <v>0</v>
      </c>
      <c r="J1826" s="415">
        <v>0</v>
      </c>
      <c r="K1826" s="415">
        <v>0</v>
      </c>
      <c r="L1826" s="415">
        <v>900</v>
      </c>
      <c r="M1826" s="415">
        <v>900</v>
      </c>
      <c r="N1826" s="415">
        <v>0</v>
      </c>
      <c r="O1826" s="415">
        <v>900</v>
      </c>
      <c r="P1826" s="415">
        <v>2200</v>
      </c>
      <c r="Q1826" s="481">
        <f t="shared" si="74"/>
        <v>0</v>
      </c>
    </row>
    <row r="1827" spans="1:17" outlineLevel="2" x14ac:dyDescent="0.3">
      <c r="A1827" s="366" t="str">
        <f>IFERROR(VLOOKUP(RIGHT(E1827,3)+0,[1]SchLocTable!$A$2:$B$47,2,FALSE)," ")</f>
        <v>Curiale</v>
      </c>
      <c r="B1827" s="366" t="str">
        <f>VLOOKUP(VALUE(D1827),$D$3:F$106,3,FALSE)</f>
        <v>Science</v>
      </c>
      <c r="C1827" t="s">
        <v>314</v>
      </c>
      <c r="D1827">
        <v>817</v>
      </c>
      <c r="E1827" t="s">
        <v>715</v>
      </c>
      <c r="F1827" t="s">
        <v>320</v>
      </c>
      <c r="G1827" t="s">
        <v>319</v>
      </c>
      <c r="H1827" s="502">
        <v>52360</v>
      </c>
      <c r="I1827" s="415">
        <v>0</v>
      </c>
      <c r="J1827" s="415">
        <v>0</v>
      </c>
      <c r="K1827" s="415">
        <v>0</v>
      </c>
      <c r="L1827" s="415">
        <v>13.05</v>
      </c>
      <c r="M1827" s="415">
        <v>0</v>
      </c>
      <c r="N1827" s="415">
        <v>0</v>
      </c>
      <c r="O1827" s="415">
        <v>577.72</v>
      </c>
      <c r="P1827" s="415">
        <v>1155.79</v>
      </c>
      <c r="Q1827" s="481">
        <f t="shared" si="74"/>
        <v>0</v>
      </c>
    </row>
    <row r="1828" spans="1:17" outlineLevel="2" x14ac:dyDescent="0.3">
      <c r="A1828" s="366" t="str">
        <f>IFERROR(VLOOKUP(RIGHT(E1828,3)+0,[1]SchLocTable!$A$2:$B$47,2,FALSE)," ")</f>
        <v>High Horizons Magnet</v>
      </c>
      <c r="B1828" s="366" t="str">
        <f>VLOOKUP(VALUE(D1828),$D$3:F$106,3,FALSE)</f>
        <v>Science</v>
      </c>
      <c r="C1828" t="s">
        <v>314</v>
      </c>
      <c r="D1828">
        <v>817</v>
      </c>
      <c r="E1828" t="s">
        <v>716</v>
      </c>
      <c r="F1828" t="s">
        <v>316</v>
      </c>
      <c r="G1828">
        <v>2</v>
      </c>
      <c r="H1828" s="502">
        <v>51000</v>
      </c>
      <c r="I1828" s="415">
        <v>152684.97391999999</v>
      </c>
      <c r="J1828" s="415">
        <v>69158</v>
      </c>
      <c r="K1828" s="415">
        <v>64835.94</v>
      </c>
      <c r="L1828" s="415">
        <v>59913.88</v>
      </c>
      <c r="M1828" s="415">
        <v>56917.9</v>
      </c>
      <c r="N1828" s="415">
        <v>97548.88</v>
      </c>
      <c r="O1828" s="415">
        <v>96106.92</v>
      </c>
      <c r="P1828" s="415">
        <v>94593.98</v>
      </c>
      <c r="Q1828" s="481">
        <f t="shared" si="74"/>
        <v>-83526.973919999989</v>
      </c>
    </row>
    <row r="1829" spans="1:17" outlineLevel="2" x14ac:dyDescent="0.3">
      <c r="A1829" s="366" t="str">
        <f>IFERROR(VLOOKUP(RIGHT(E1829,3)+0,[1]SchLocTable!$A$2:$B$47,2,FALSE)," ")</f>
        <v>High Horizons Magnet</v>
      </c>
      <c r="B1829" s="366" t="str">
        <f>VLOOKUP(VALUE(D1829),$D$3:F$106,3,FALSE)</f>
        <v>Science</v>
      </c>
      <c r="C1829" t="s">
        <v>314</v>
      </c>
      <c r="D1829">
        <v>817</v>
      </c>
      <c r="E1829" t="s">
        <v>716</v>
      </c>
      <c r="F1829" t="s">
        <v>321</v>
      </c>
      <c r="G1829" t="s">
        <v>319</v>
      </c>
      <c r="H1829" s="502">
        <v>52917</v>
      </c>
      <c r="I1829" s="415">
        <v>48044.663999999997</v>
      </c>
      <c r="J1829" s="415">
        <v>13037.22</v>
      </c>
      <c r="K1829" s="415">
        <v>11844</v>
      </c>
      <c r="L1829" s="415">
        <v>11684.82</v>
      </c>
      <c r="M1829" s="415">
        <v>10956.75</v>
      </c>
      <c r="N1829" s="415">
        <v>24562.23</v>
      </c>
      <c r="O1829" s="415">
        <v>23581.07</v>
      </c>
      <c r="P1829" s="415">
        <v>24414.33</v>
      </c>
      <c r="Q1829" s="481">
        <f t="shared" si="74"/>
        <v>-35007.443999999996</v>
      </c>
    </row>
    <row r="1830" spans="1:17" outlineLevel="1" x14ac:dyDescent="0.3">
      <c r="A1830" s="366" t="str">
        <f>IFERROR(VLOOKUP(RIGHT(E1830,3)+0,[1]SchLocTable!$A$2:$B$47,2,FALSE)," ")</f>
        <v>High Horizons Magnet</v>
      </c>
      <c r="B1830" s="366" t="str">
        <f>VLOOKUP(VALUE(D1830),$D$3:F$106,3,FALSE)</f>
        <v>Science</v>
      </c>
      <c r="C1830" t="s">
        <v>314</v>
      </c>
      <c r="D1830">
        <v>817</v>
      </c>
      <c r="E1830" t="s">
        <v>716</v>
      </c>
      <c r="F1830" t="s">
        <v>320</v>
      </c>
      <c r="G1830" t="s">
        <v>319</v>
      </c>
      <c r="H1830" s="502">
        <v>52360</v>
      </c>
      <c r="I1830" s="415">
        <v>2213.93212184</v>
      </c>
      <c r="J1830" s="415">
        <v>932</v>
      </c>
      <c r="K1830" s="415">
        <v>889.56</v>
      </c>
      <c r="L1830" s="415">
        <v>820.35</v>
      </c>
      <c r="M1830" s="415">
        <v>781.16</v>
      </c>
      <c r="N1830" s="415">
        <v>1334.23</v>
      </c>
      <c r="O1830" s="415">
        <v>1319.71</v>
      </c>
      <c r="P1830" s="415">
        <v>1295.9100000000001</v>
      </c>
      <c r="Q1830" s="481">
        <f t="shared" si="74"/>
        <v>-1281.93212184</v>
      </c>
    </row>
    <row r="1831" spans="1:17" outlineLevel="2" x14ac:dyDescent="0.3">
      <c r="A1831" s="366" t="str">
        <f>IFERROR(VLOOKUP(RIGHT(E1831,3)+0,[1]SchLocTable!$A$2:$B$47,2,FALSE)," ")</f>
        <v>Multicultural Magnet</v>
      </c>
      <c r="B1831" s="366" t="str">
        <f>VLOOKUP(VALUE(D1831),$D$3:F$106,3,FALSE)</f>
        <v>Science</v>
      </c>
      <c r="C1831" t="s">
        <v>314</v>
      </c>
      <c r="D1831">
        <v>817</v>
      </c>
      <c r="E1831" t="s">
        <v>717</v>
      </c>
      <c r="F1831" t="s">
        <v>316</v>
      </c>
      <c r="G1831">
        <v>1</v>
      </c>
      <c r="H1831" s="502">
        <v>51000</v>
      </c>
      <c r="I1831" s="415">
        <v>81769.775880000001</v>
      </c>
      <c r="J1831" s="415">
        <v>77802</v>
      </c>
      <c r="K1831" s="415">
        <v>73480.94</v>
      </c>
      <c r="L1831" s="415">
        <v>11343.21</v>
      </c>
      <c r="M1831" s="415">
        <v>68473.08</v>
      </c>
      <c r="N1831" s="415">
        <v>64194</v>
      </c>
      <c r="O1831" s="415">
        <v>59913.88</v>
      </c>
      <c r="P1831" s="415">
        <v>58970.1</v>
      </c>
      <c r="Q1831" s="481">
        <f t="shared" si="74"/>
        <v>-3967.7758800000011</v>
      </c>
    </row>
    <row r="1832" spans="1:17" outlineLevel="2" x14ac:dyDescent="0.3">
      <c r="A1832" s="366" t="str">
        <f>IFERROR(VLOOKUP(RIGHT(E1832,3)+0,[1]SchLocTable!$A$2:$B$47,2,FALSE)," ")</f>
        <v>Multicultural Magnet</v>
      </c>
      <c r="B1832" s="366" t="str">
        <f>VLOOKUP(VALUE(D1832),$D$3:F$106,3,FALSE)</f>
        <v>Science</v>
      </c>
      <c r="C1832" t="s">
        <v>314</v>
      </c>
      <c r="D1832">
        <v>817</v>
      </c>
      <c r="E1832" t="s">
        <v>717</v>
      </c>
      <c r="F1832" t="s">
        <v>321</v>
      </c>
      <c r="G1832" t="s">
        <v>319</v>
      </c>
      <c r="H1832" s="502">
        <v>52917</v>
      </c>
      <c r="I1832" s="415">
        <v>46330.955999999998</v>
      </c>
      <c r="J1832" s="415">
        <v>38609.129999999997</v>
      </c>
      <c r="K1832" s="415">
        <v>35075.879999999997</v>
      </c>
      <c r="L1832" s="415">
        <v>3942.36</v>
      </c>
      <c r="M1832" s="415">
        <v>10956.75</v>
      </c>
      <c r="N1832" s="415">
        <v>10232.879999999999</v>
      </c>
      <c r="O1832" s="415">
        <v>9817.68</v>
      </c>
      <c r="P1832" s="415">
        <v>9245.67</v>
      </c>
      <c r="Q1832" s="481">
        <f t="shared" si="74"/>
        <v>-7721.8260000000009</v>
      </c>
    </row>
    <row r="1833" spans="1:17" outlineLevel="2" x14ac:dyDescent="0.3">
      <c r="A1833" s="366" t="str">
        <f>IFERROR(VLOOKUP(RIGHT(E1833,3)+0,[1]SchLocTable!$A$2:$B$47,2,FALSE)," ")</f>
        <v>Multicultural Magnet</v>
      </c>
      <c r="B1833" s="366" t="str">
        <f>VLOOKUP(VALUE(D1833),$D$3:F$106,3,FALSE)</f>
        <v>Science</v>
      </c>
      <c r="C1833" t="s">
        <v>314</v>
      </c>
      <c r="D1833">
        <v>817</v>
      </c>
      <c r="E1833" t="s">
        <v>717</v>
      </c>
      <c r="F1833" t="s">
        <v>320</v>
      </c>
      <c r="G1833" t="s">
        <v>319</v>
      </c>
      <c r="H1833" s="502">
        <v>52360</v>
      </c>
      <c r="I1833" s="415">
        <v>1185.66175026</v>
      </c>
      <c r="J1833" s="415">
        <v>919</v>
      </c>
      <c r="K1833" s="415">
        <v>915.75</v>
      </c>
      <c r="L1833" s="415">
        <v>147.99</v>
      </c>
      <c r="M1833" s="415">
        <v>948.69</v>
      </c>
      <c r="N1833" s="415">
        <v>890.85</v>
      </c>
      <c r="O1833" s="415">
        <v>831.46</v>
      </c>
      <c r="P1833" s="415">
        <v>820.44</v>
      </c>
      <c r="Q1833" s="481">
        <f t="shared" si="74"/>
        <v>-266.66175025999996</v>
      </c>
    </row>
    <row r="1834" spans="1:17" outlineLevel="2" x14ac:dyDescent="0.3">
      <c r="A1834" s="366" t="str">
        <f>IFERROR(VLOOKUP(RIGHT(E1834,3)+0,[1]SchLocTable!$A$2:$B$47,2,FALSE)," ")</f>
        <v>Bassick HS</v>
      </c>
      <c r="B1834" s="366" t="str">
        <f>VLOOKUP(VALUE(D1834),$D$3:F$106,3,FALSE)</f>
        <v>Science</v>
      </c>
      <c r="C1834" t="s">
        <v>314</v>
      </c>
      <c r="D1834">
        <v>817</v>
      </c>
      <c r="E1834" t="s">
        <v>718</v>
      </c>
      <c r="F1834" t="s">
        <v>316</v>
      </c>
      <c r="G1834">
        <v>3</v>
      </c>
      <c r="H1834" s="502">
        <v>51000</v>
      </c>
      <c r="I1834" s="415">
        <v>223097.91706000001</v>
      </c>
      <c r="J1834" s="415">
        <v>67116.02</v>
      </c>
      <c r="K1834" s="415">
        <v>63971.96</v>
      </c>
      <c r="L1834" s="415">
        <v>120256.93</v>
      </c>
      <c r="M1834" s="415">
        <v>315270.45</v>
      </c>
      <c r="N1834" s="415">
        <v>355137.19</v>
      </c>
      <c r="O1834" s="415">
        <v>393438.3</v>
      </c>
      <c r="P1834" s="415">
        <v>455558.08</v>
      </c>
      <c r="Q1834" s="481">
        <f t="shared" si="74"/>
        <v>-155981.89705999999</v>
      </c>
    </row>
    <row r="1835" spans="1:17" outlineLevel="2" x14ac:dyDescent="0.3">
      <c r="A1835" s="366" t="str">
        <f>IFERROR(VLOOKUP(RIGHT(E1835,3)+0,[1]SchLocTable!$A$2:$B$47,2,FALSE)," ")</f>
        <v>Bassick HS</v>
      </c>
      <c r="B1835" s="366" t="str">
        <f>VLOOKUP(VALUE(D1835),$D$3:F$106,3,FALSE)</f>
        <v>Science</v>
      </c>
      <c r="C1835" t="s">
        <v>314</v>
      </c>
      <c r="D1835">
        <v>817</v>
      </c>
      <c r="E1835" t="s">
        <v>718</v>
      </c>
      <c r="F1835" t="s">
        <v>321</v>
      </c>
      <c r="G1835" t="s">
        <v>319</v>
      </c>
      <c r="H1835" s="502">
        <v>52917</v>
      </c>
      <c r="I1835" s="415">
        <v>34455.06</v>
      </c>
      <c r="J1835" s="415">
        <v>428.19</v>
      </c>
      <c r="K1835" s="415">
        <v>439.32</v>
      </c>
      <c r="L1835" s="415">
        <v>1918.77</v>
      </c>
      <c r="M1835" s="415">
        <v>12669.3</v>
      </c>
      <c r="N1835" s="415">
        <v>48960.9</v>
      </c>
      <c r="O1835" s="415">
        <v>67226.55</v>
      </c>
      <c r="P1835" s="415">
        <v>64208.34</v>
      </c>
      <c r="Q1835" s="481">
        <f t="shared" si="74"/>
        <v>-34026.869999999995</v>
      </c>
    </row>
    <row r="1836" spans="1:17" outlineLevel="1" x14ac:dyDescent="0.3">
      <c r="A1836" s="366" t="str">
        <f>IFERROR(VLOOKUP(RIGHT(E1836,3)+0,[1]SchLocTable!$A$2:$B$47,2,FALSE)," ")</f>
        <v>Bassick HS</v>
      </c>
      <c r="B1836" s="366" t="str">
        <f>VLOOKUP(VALUE(D1836),$D$3:F$106,3,FALSE)</f>
        <v>Science</v>
      </c>
      <c r="C1836" t="s">
        <v>314</v>
      </c>
      <c r="D1836">
        <v>817</v>
      </c>
      <c r="E1836" t="s">
        <v>718</v>
      </c>
      <c r="F1836" t="s">
        <v>320</v>
      </c>
      <c r="G1836" t="s">
        <v>319</v>
      </c>
      <c r="H1836" s="502">
        <v>52360</v>
      </c>
      <c r="I1836" s="415">
        <v>3234.9197973700002</v>
      </c>
      <c r="J1836" s="415">
        <v>973.01</v>
      </c>
      <c r="K1836" s="415">
        <v>926.43</v>
      </c>
      <c r="L1836" s="415">
        <v>1738.82</v>
      </c>
      <c r="M1836" s="415">
        <v>4504.95</v>
      </c>
      <c r="N1836" s="415">
        <v>4938.3900000000003</v>
      </c>
      <c r="O1836" s="415">
        <v>5639.45</v>
      </c>
      <c r="P1836" s="415">
        <v>6550.25</v>
      </c>
      <c r="Q1836" s="481">
        <f t="shared" si="74"/>
        <v>-2261.90979737</v>
      </c>
    </row>
    <row r="1837" spans="1:17" outlineLevel="2" x14ac:dyDescent="0.3">
      <c r="A1837" s="366" t="str">
        <f>IFERROR(VLOOKUP(RIGHT(E1837,3)+0,[1]SchLocTable!$A$2:$B$47,2,FALSE)," ")</f>
        <v>Bassick HS</v>
      </c>
      <c r="B1837" s="366" t="str">
        <f>VLOOKUP(VALUE(D1837),$D$3:F$106,3,FALSE)</f>
        <v>Science</v>
      </c>
      <c r="C1837" t="s">
        <v>314</v>
      </c>
      <c r="D1837">
        <v>817</v>
      </c>
      <c r="E1837" t="s">
        <v>718</v>
      </c>
      <c r="F1837" t="s">
        <v>533</v>
      </c>
      <c r="G1837" t="s">
        <v>319</v>
      </c>
      <c r="H1837" s="502">
        <v>52397</v>
      </c>
      <c r="I1837" s="415">
        <v>0</v>
      </c>
      <c r="J1837" s="415">
        <v>0</v>
      </c>
      <c r="K1837" s="415">
        <v>0</v>
      </c>
      <c r="L1837" s="415">
        <v>3801</v>
      </c>
      <c r="M1837" s="415">
        <v>2172</v>
      </c>
      <c r="N1837" s="415">
        <v>0</v>
      </c>
      <c r="O1837" s="415">
        <v>0</v>
      </c>
      <c r="P1837" s="415">
        <v>0</v>
      </c>
      <c r="Q1837" s="481">
        <f t="shared" si="74"/>
        <v>0</v>
      </c>
    </row>
    <row r="1838" spans="1:17" outlineLevel="2" x14ac:dyDescent="0.3">
      <c r="A1838" s="366" t="str">
        <f>IFERROR(VLOOKUP(RIGHT(E1838,3)+0,[1]SchLocTable!$A$2:$B$47,2,FALSE)," ")</f>
        <v>Central HS</v>
      </c>
      <c r="B1838" s="366" t="str">
        <f>VLOOKUP(VALUE(D1838),$D$3:F$106,3,FALSE)</f>
        <v>Science</v>
      </c>
      <c r="C1838" t="s">
        <v>314</v>
      </c>
      <c r="D1838">
        <v>817</v>
      </c>
      <c r="E1838" t="s">
        <v>719</v>
      </c>
      <c r="F1838" t="s">
        <v>316</v>
      </c>
      <c r="G1838">
        <v>14</v>
      </c>
      <c r="H1838" s="502">
        <v>51000</v>
      </c>
      <c r="I1838" s="415">
        <v>1129114.0390899999</v>
      </c>
      <c r="J1838" s="415">
        <v>801814.93</v>
      </c>
      <c r="K1838" s="415">
        <v>810559.58</v>
      </c>
      <c r="L1838" s="415">
        <v>1004861.97</v>
      </c>
      <c r="M1838" s="415">
        <v>1010308.78</v>
      </c>
      <c r="N1838" s="415">
        <v>1117961.48</v>
      </c>
      <c r="O1838" s="415">
        <v>997611.09</v>
      </c>
      <c r="P1838" s="415">
        <v>1014053.27</v>
      </c>
      <c r="Q1838" s="481">
        <f t="shared" si="74"/>
        <v>-327299.10908999981</v>
      </c>
    </row>
    <row r="1839" spans="1:17" outlineLevel="2" x14ac:dyDescent="0.3">
      <c r="A1839" s="366" t="str">
        <f>IFERROR(VLOOKUP(RIGHT(E1839,3)+0,[1]SchLocTable!$A$2:$B$47,2,FALSE)," ")</f>
        <v>Central HS</v>
      </c>
      <c r="B1839" s="366" t="str">
        <f>VLOOKUP(VALUE(D1839),$D$3:F$106,3,FALSE)</f>
        <v>Science</v>
      </c>
      <c r="C1839" t="s">
        <v>314</v>
      </c>
      <c r="D1839">
        <v>817</v>
      </c>
      <c r="E1839" t="s">
        <v>719</v>
      </c>
      <c r="F1839" t="s">
        <v>321</v>
      </c>
      <c r="G1839" t="s">
        <v>319</v>
      </c>
      <c r="H1839" s="502">
        <v>52917</v>
      </c>
      <c r="I1839" s="415">
        <v>305729.49599999993</v>
      </c>
      <c r="J1839" s="415">
        <v>173774.58</v>
      </c>
      <c r="K1839" s="415">
        <v>157849.85999999999</v>
      </c>
      <c r="L1839" s="415">
        <v>221643.18</v>
      </c>
      <c r="M1839" s="415">
        <v>215256.73</v>
      </c>
      <c r="N1839" s="415">
        <v>245481.60000000001</v>
      </c>
      <c r="O1839" s="415">
        <v>228443.88</v>
      </c>
      <c r="P1839" s="415">
        <v>215320.19</v>
      </c>
      <c r="Q1839" s="481">
        <f t="shared" si="74"/>
        <v>-131954.91599999994</v>
      </c>
    </row>
    <row r="1840" spans="1:17" outlineLevel="2" x14ac:dyDescent="0.3">
      <c r="A1840" s="366" t="str">
        <f>IFERROR(VLOOKUP(RIGHT(E1840,3)+0,[1]SchLocTable!$A$2:$B$47,2,FALSE)," ")</f>
        <v>Central HS</v>
      </c>
      <c r="B1840" s="366" t="str">
        <f>VLOOKUP(VALUE(D1840),$D$3:F$106,3,FALSE)</f>
        <v>Science</v>
      </c>
      <c r="C1840" t="s">
        <v>314</v>
      </c>
      <c r="D1840">
        <v>817</v>
      </c>
      <c r="E1840" t="s">
        <v>719</v>
      </c>
      <c r="F1840" t="s">
        <v>318</v>
      </c>
      <c r="G1840" t="s">
        <v>319</v>
      </c>
      <c r="H1840" s="502">
        <v>51140</v>
      </c>
      <c r="I1840" s="415">
        <v>3100</v>
      </c>
      <c r="J1840" s="415">
        <v>0</v>
      </c>
      <c r="K1840" s="415">
        <v>3100</v>
      </c>
      <c r="L1840" s="415">
        <v>6600</v>
      </c>
      <c r="M1840" s="415">
        <v>4400</v>
      </c>
      <c r="N1840" s="415">
        <v>6100</v>
      </c>
      <c r="O1840" s="415">
        <v>4700</v>
      </c>
      <c r="P1840" s="415">
        <v>4700</v>
      </c>
      <c r="Q1840" s="481">
        <f t="shared" si="74"/>
        <v>-3100</v>
      </c>
    </row>
    <row r="1841" spans="1:17" outlineLevel="2" x14ac:dyDescent="0.3">
      <c r="A1841" s="366" t="str">
        <f>IFERROR(VLOOKUP(RIGHT(E1841,3)+0,[1]SchLocTable!$A$2:$B$47,2,FALSE)," ")</f>
        <v>Central HS</v>
      </c>
      <c r="B1841" s="366" t="str">
        <f>VLOOKUP(VALUE(D1841),$D$3:F$106,3,FALSE)</f>
        <v>Science</v>
      </c>
      <c r="C1841" t="s">
        <v>314</v>
      </c>
      <c r="D1841">
        <v>817</v>
      </c>
      <c r="E1841" t="s">
        <v>719</v>
      </c>
      <c r="F1841" t="s">
        <v>320</v>
      </c>
      <c r="G1841" t="s">
        <v>319</v>
      </c>
      <c r="H1841" s="502">
        <v>52360</v>
      </c>
      <c r="I1841" s="415">
        <v>16372.153566804998</v>
      </c>
      <c r="J1841" s="415">
        <v>10080</v>
      </c>
      <c r="K1841" s="415">
        <v>9801.15</v>
      </c>
      <c r="L1841" s="415">
        <v>11218.97</v>
      </c>
      <c r="M1841" s="415">
        <v>11387.35</v>
      </c>
      <c r="N1841" s="415">
        <v>13093.86</v>
      </c>
      <c r="O1841" s="415">
        <v>11279.37</v>
      </c>
      <c r="P1841" s="415">
        <v>11619.29</v>
      </c>
      <c r="Q1841" s="481">
        <f t="shared" si="74"/>
        <v>-6292.1535668049983</v>
      </c>
    </row>
    <row r="1842" spans="1:17" outlineLevel="2" x14ac:dyDescent="0.3">
      <c r="A1842" s="366" t="str">
        <f>IFERROR(VLOOKUP(RIGHT(E1842,3)+0,[1]SchLocTable!$A$2:$B$47,2,FALSE)," ")</f>
        <v>Central HS</v>
      </c>
      <c r="B1842" s="366" t="str">
        <f>VLOOKUP(VALUE(D1842),$D$3:F$106,3,FALSE)</f>
        <v>Science</v>
      </c>
      <c r="C1842" t="s">
        <v>314</v>
      </c>
      <c r="D1842">
        <v>817</v>
      </c>
      <c r="E1842" t="s">
        <v>719</v>
      </c>
      <c r="F1842" t="s">
        <v>324</v>
      </c>
      <c r="G1842" t="s">
        <v>319</v>
      </c>
      <c r="H1842" s="502">
        <v>52385</v>
      </c>
      <c r="I1842" s="415">
        <v>0</v>
      </c>
      <c r="J1842" s="415">
        <v>0</v>
      </c>
      <c r="K1842" s="415">
        <v>0</v>
      </c>
      <c r="L1842" s="415">
        <v>2588.5</v>
      </c>
      <c r="M1842" s="415">
        <v>0</v>
      </c>
      <c r="N1842" s="415">
        <v>334.8</v>
      </c>
      <c r="O1842" s="415">
        <v>0</v>
      </c>
      <c r="P1842" s="415">
        <v>0</v>
      </c>
      <c r="Q1842" s="481">
        <f t="shared" si="74"/>
        <v>0</v>
      </c>
    </row>
    <row r="1843" spans="1:17" outlineLevel="2" x14ac:dyDescent="0.3">
      <c r="A1843" s="366" t="str">
        <f>IFERROR(VLOOKUP(RIGHT(E1843,3)+0,[1]SchLocTable!$A$2:$B$47,2,FALSE)," ")</f>
        <v>Central HS</v>
      </c>
      <c r="B1843" s="366" t="str">
        <f>VLOOKUP(VALUE(D1843),$D$3:F$106,3,FALSE)</f>
        <v>Science</v>
      </c>
      <c r="C1843" t="s">
        <v>314</v>
      </c>
      <c r="D1843">
        <v>817</v>
      </c>
      <c r="E1843" t="s">
        <v>719</v>
      </c>
      <c r="F1843" t="s">
        <v>329</v>
      </c>
      <c r="G1843" t="s">
        <v>319</v>
      </c>
      <c r="H1843" s="502">
        <v>51154</v>
      </c>
      <c r="I1843" s="415">
        <v>0</v>
      </c>
      <c r="J1843" s="415">
        <v>0</v>
      </c>
      <c r="K1843" s="415">
        <v>0</v>
      </c>
      <c r="L1843" s="415">
        <v>11375</v>
      </c>
      <c r="M1843" s="415">
        <v>0</v>
      </c>
      <c r="N1843" s="415">
        <v>11375</v>
      </c>
      <c r="O1843" s="415">
        <v>0</v>
      </c>
      <c r="P1843" s="415">
        <v>0</v>
      </c>
      <c r="Q1843" s="481">
        <f t="shared" si="74"/>
        <v>0</v>
      </c>
    </row>
    <row r="1844" spans="1:17" outlineLevel="2" x14ac:dyDescent="0.3">
      <c r="A1844" s="366" t="str">
        <f>IFERROR(VLOOKUP(RIGHT(E1844,3)+0,[1]SchLocTable!$A$2:$B$47,2,FALSE)," ")</f>
        <v>Harding HS</v>
      </c>
      <c r="B1844" s="366" t="str">
        <f>VLOOKUP(VALUE(D1844),$D$3:F$106,3,FALSE)</f>
        <v>Science</v>
      </c>
      <c r="C1844" t="s">
        <v>314</v>
      </c>
      <c r="D1844">
        <v>817</v>
      </c>
      <c r="E1844" t="s">
        <v>720</v>
      </c>
      <c r="F1844" t="s">
        <v>316</v>
      </c>
      <c r="G1844">
        <v>9</v>
      </c>
      <c r="H1844" s="502">
        <v>51000</v>
      </c>
      <c r="I1844" s="415">
        <v>788571.60152999987</v>
      </c>
      <c r="J1844" s="415">
        <v>471811</v>
      </c>
      <c r="K1844" s="415">
        <v>547637.68000000005</v>
      </c>
      <c r="L1844" s="415">
        <v>488385.62</v>
      </c>
      <c r="M1844" s="415">
        <v>423674.12</v>
      </c>
      <c r="N1844" s="415">
        <v>553387.42000000004</v>
      </c>
      <c r="O1844" s="415">
        <v>568477</v>
      </c>
      <c r="P1844" s="415">
        <v>544871.07999999996</v>
      </c>
      <c r="Q1844" s="481">
        <f t="shared" si="74"/>
        <v>-316760.60152999987</v>
      </c>
    </row>
    <row r="1845" spans="1:17" outlineLevel="2" x14ac:dyDescent="0.3">
      <c r="A1845" s="366" t="str">
        <f>IFERROR(VLOOKUP(RIGHT(E1845,3)+0,[1]SchLocTable!$A$2:$B$47,2,FALSE)," ")</f>
        <v>Harding HS</v>
      </c>
      <c r="B1845" s="366" t="str">
        <f>VLOOKUP(VALUE(D1845),$D$3:F$106,3,FALSE)</f>
        <v>Science</v>
      </c>
      <c r="C1845" t="s">
        <v>314</v>
      </c>
      <c r="D1845">
        <v>817</v>
      </c>
      <c r="E1845" t="s">
        <v>720</v>
      </c>
      <c r="F1845" t="s">
        <v>321</v>
      </c>
      <c r="G1845" t="s">
        <v>319</v>
      </c>
      <c r="H1845" s="502">
        <v>52917</v>
      </c>
      <c r="I1845" s="415">
        <v>217708.81199999998</v>
      </c>
      <c r="J1845" s="415">
        <v>127424.01</v>
      </c>
      <c r="K1845" s="415">
        <v>111208.08</v>
      </c>
      <c r="L1845" s="415">
        <v>102444.51</v>
      </c>
      <c r="M1845" s="415">
        <v>96256.51</v>
      </c>
      <c r="N1845" s="415">
        <v>120906.66</v>
      </c>
      <c r="O1845" s="415">
        <v>149708.75</v>
      </c>
      <c r="P1845" s="415">
        <v>140972.16</v>
      </c>
      <c r="Q1845" s="481">
        <f t="shared" si="74"/>
        <v>-90284.801999999981</v>
      </c>
    </row>
    <row r="1846" spans="1:17" outlineLevel="2" x14ac:dyDescent="0.3">
      <c r="A1846" s="366" t="str">
        <f>IFERROR(VLOOKUP(RIGHT(E1846,3)+0,[1]SchLocTable!$A$2:$B$47,2,FALSE)," ")</f>
        <v>Harding HS</v>
      </c>
      <c r="B1846" s="366" t="str">
        <f>VLOOKUP(VALUE(D1846),$D$3:F$106,3,FALSE)</f>
        <v>Science</v>
      </c>
      <c r="C1846" t="s">
        <v>314</v>
      </c>
      <c r="D1846">
        <v>817</v>
      </c>
      <c r="E1846" t="s">
        <v>720</v>
      </c>
      <c r="F1846" t="s">
        <v>318</v>
      </c>
      <c r="G1846" t="s">
        <v>319</v>
      </c>
      <c r="H1846" s="502">
        <v>51140</v>
      </c>
      <c r="I1846" s="415">
        <v>3100</v>
      </c>
      <c r="J1846" s="415">
        <v>0</v>
      </c>
      <c r="K1846" s="415">
        <v>3100</v>
      </c>
      <c r="L1846" s="415">
        <v>2900</v>
      </c>
      <c r="M1846" s="415">
        <v>2700</v>
      </c>
      <c r="N1846" s="415">
        <v>1800</v>
      </c>
      <c r="O1846" s="415">
        <v>2700</v>
      </c>
      <c r="P1846" s="415">
        <v>1800</v>
      </c>
      <c r="Q1846" s="481">
        <f t="shared" si="74"/>
        <v>-3100</v>
      </c>
    </row>
    <row r="1847" spans="1:17" outlineLevel="2" x14ac:dyDescent="0.3">
      <c r="A1847" s="366" t="str">
        <f>IFERROR(VLOOKUP(RIGHT(E1847,3)+0,[1]SchLocTable!$A$2:$B$47,2,FALSE)," ")</f>
        <v>Harding HS</v>
      </c>
      <c r="B1847" s="366" t="str">
        <f>VLOOKUP(VALUE(D1847),$D$3:F$106,3,FALSE)</f>
        <v>Science</v>
      </c>
      <c r="C1847" t="s">
        <v>314</v>
      </c>
      <c r="D1847">
        <v>817</v>
      </c>
      <c r="E1847" t="s">
        <v>720</v>
      </c>
      <c r="F1847" t="s">
        <v>320</v>
      </c>
      <c r="G1847" t="s">
        <v>319</v>
      </c>
      <c r="H1847" s="502">
        <v>52360</v>
      </c>
      <c r="I1847" s="415">
        <v>11434.288222185001</v>
      </c>
      <c r="J1847" s="415">
        <v>6267</v>
      </c>
      <c r="K1847" s="415">
        <v>7500.3</v>
      </c>
      <c r="L1847" s="415">
        <v>6665.21</v>
      </c>
      <c r="M1847" s="415">
        <v>5745.27</v>
      </c>
      <c r="N1847" s="415">
        <v>7577.63</v>
      </c>
      <c r="O1847" s="415">
        <v>7713.29</v>
      </c>
      <c r="P1847" s="415">
        <v>7398.53</v>
      </c>
      <c r="Q1847" s="481">
        <f t="shared" si="74"/>
        <v>-5167.2882221850014</v>
      </c>
    </row>
    <row r="1848" spans="1:17" outlineLevel="2" x14ac:dyDescent="0.3">
      <c r="A1848" s="366" t="str">
        <f>IFERROR(VLOOKUP(RIGHT(E1848,3)+0,[1]SchLocTable!$A$2:$B$47,2,FALSE)," ")</f>
        <v>Harding HS</v>
      </c>
      <c r="B1848" s="366" t="str">
        <f>VLOOKUP(VALUE(D1848),$D$3:F$106,3,FALSE)</f>
        <v>Science</v>
      </c>
      <c r="C1848" t="s">
        <v>314</v>
      </c>
      <c r="D1848">
        <v>817</v>
      </c>
      <c r="E1848" t="s">
        <v>720</v>
      </c>
      <c r="F1848" t="s">
        <v>324</v>
      </c>
      <c r="G1848" t="s">
        <v>319</v>
      </c>
      <c r="H1848" s="502">
        <v>52385</v>
      </c>
      <c r="I1848" s="415">
        <v>0</v>
      </c>
      <c r="J1848" s="415">
        <v>0</v>
      </c>
      <c r="K1848" s="415">
        <v>1996.08</v>
      </c>
      <c r="L1848" s="415">
        <v>0</v>
      </c>
      <c r="M1848" s="415">
        <v>729.03</v>
      </c>
      <c r="N1848" s="415">
        <v>4403.91</v>
      </c>
      <c r="O1848" s="415">
        <v>0</v>
      </c>
      <c r="P1848" s="415">
        <v>0</v>
      </c>
      <c r="Q1848" s="481">
        <f t="shared" si="74"/>
        <v>0</v>
      </c>
    </row>
    <row r="1849" spans="1:17" outlineLevel="1" x14ac:dyDescent="0.3">
      <c r="A1849" s="366" t="str">
        <f>IFERROR(VLOOKUP(RIGHT(E1849,3)+0,[1]SchLocTable!$A$2:$B$47,2,FALSE)," ")</f>
        <v xml:space="preserve"> </v>
      </c>
      <c r="B1849" s="366" t="str">
        <f>VLOOKUP(VALUE(D1849),$D$3:F$106,3,FALSE)</f>
        <v>Social Studies</v>
      </c>
      <c r="C1849" t="s">
        <v>314</v>
      </c>
      <c r="D1849">
        <v>818</v>
      </c>
      <c r="E1849" t="s">
        <v>721</v>
      </c>
      <c r="F1849" t="s">
        <v>316</v>
      </c>
      <c r="G1849" t="s">
        <v>319</v>
      </c>
      <c r="H1849" s="502">
        <v>51000</v>
      </c>
      <c r="I1849" s="415">
        <v>100258.00096</v>
      </c>
      <c r="J1849" s="415">
        <v>0</v>
      </c>
      <c r="K1849" s="415"/>
      <c r="L1849" s="415">
        <v>0</v>
      </c>
      <c r="M1849" s="415">
        <v>0</v>
      </c>
      <c r="N1849" s="415">
        <v>0</v>
      </c>
      <c r="O1849" s="415">
        <v>0</v>
      </c>
      <c r="P1849" s="415">
        <v>75819.12</v>
      </c>
      <c r="Q1849" s="481">
        <f t="shared" si="74"/>
        <v>-100258.00096</v>
      </c>
    </row>
    <row r="1850" spans="1:17" outlineLevel="2" x14ac:dyDescent="0.3">
      <c r="A1850" s="366" t="str">
        <f>IFERROR(VLOOKUP(RIGHT(E1850,3)+0,[1]SchLocTable!$A$2:$B$47,2,FALSE)," ")</f>
        <v xml:space="preserve"> </v>
      </c>
      <c r="B1850" s="366" t="str">
        <f>VLOOKUP(VALUE(D1850),$D$3:F$106,3,FALSE)</f>
        <v>Social Studies</v>
      </c>
      <c r="C1850" t="s">
        <v>314</v>
      </c>
      <c r="D1850">
        <v>818</v>
      </c>
      <c r="E1850" t="s">
        <v>721</v>
      </c>
      <c r="F1850" t="s">
        <v>321</v>
      </c>
      <c r="G1850" t="s">
        <v>319</v>
      </c>
      <c r="H1850" s="502">
        <v>52917</v>
      </c>
      <c r="I1850" s="415">
        <v>15644.663999999999</v>
      </c>
      <c r="J1850" s="415">
        <v>0</v>
      </c>
      <c r="K1850" s="415"/>
      <c r="L1850" s="415">
        <v>0</v>
      </c>
      <c r="M1850" s="415">
        <v>0</v>
      </c>
      <c r="N1850" s="415">
        <v>0</v>
      </c>
      <c r="O1850" s="415">
        <v>0</v>
      </c>
      <c r="P1850" s="415">
        <v>11211.67</v>
      </c>
      <c r="Q1850" s="481">
        <f t="shared" si="74"/>
        <v>-15644.663999999999</v>
      </c>
    </row>
    <row r="1851" spans="1:17" outlineLevel="2" x14ac:dyDescent="0.3">
      <c r="A1851" s="366" t="str">
        <f>IFERROR(VLOOKUP(RIGHT(E1851,3)+0,[1]SchLocTable!$A$2:$B$47,2,FALSE)," ")</f>
        <v xml:space="preserve"> </v>
      </c>
      <c r="B1851" s="366" t="str">
        <f>VLOOKUP(VALUE(D1851),$D$3:F$106,3,FALSE)</f>
        <v>Social Studies</v>
      </c>
      <c r="C1851" t="s">
        <v>314</v>
      </c>
      <c r="D1851">
        <v>818</v>
      </c>
      <c r="E1851" t="s">
        <v>721</v>
      </c>
      <c r="F1851" t="s">
        <v>318</v>
      </c>
      <c r="G1851" t="s">
        <v>319</v>
      </c>
      <c r="H1851" s="502">
        <v>51140</v>
      </c>
      <c r="I1851" s="415">
        <v>0</v>
      </c>
      <c r="J1851" s="415">
        <v>0</v>
      </c>
      <c r="K1851" s="415">
        <v>0</v>
      </c>
      <c r="L1851" s="415">
        <v>1200</v>
      </c>
      <c r="M1851" s="415">
        <v>1100</v>
      </c>
      <c r="N1851" s="415">
        <v>0</v>
      </c>
      <c r="O1851" s="415">
        <v>0</v>
      </c>
      <c r="P1851" s="415">
        <v>0</v>
      </c>
      <c r="Q1851" s="481">
        <f t="shared" si="74"/>
        <v>0</v>
      </c>
    </row>
    <row r="1852" spans="1:17" outlineLevel="2" x14ac:dyDescent="0.3">
      <c r="A1852" s="366" t="str">
        <f>IFERROR(VLOOKUP(RIGHT(E1852,3)+0,[1]SchLocTable!$A$2:$B$47,2,FALSE)," ")</f>
        <v xml:space="preserve"> </v>
      </c>
      <c r="B1852" s="366" t="str">
        <f>VLOOKUP(VALUE(D1852),$D$3:F$106,3,FALSE)</f>
        <v>Social Studies</v>
      </c>
      <c r="C1852" t="s">
        <v>314</v>
      </c>
      <c r="D1852">
        <v>818</v>
      </c>
      <c r="E1852" t="s">
        <v>721</v>
      </c>
      <c r="F1852" t="s">
        <v>320</v>
      </c>
      <c r="G1852" t="s">
        <v>319</v>
      </c>
      <c r="H1852" s="502">
        <v>52360</v>
      </c>
      <c r="I1852" s="415">
        <v>1453.7410139200001</v>
      </c>
      <c r="J1852" s="415">
        <v>0</v>
      </c>
      <c r="K1852" s="415">
        <v>0</v>
      </c>
      <c r="L1852" s="415">
        <v>17.399999999999999</v>
      </c>
      <c r="M1852" s="415">
        <v>0</v>
      </c>
      <c r="N1852" s="415">
        <v>0</v>
      </c>
      <c r="O1852" s="415">
        <v>0</v>
      </c>
      <c r="P1852" s="415">
        <v>1064.67</v>
      </c>
      <c r="Q1852" s="481">
        <f t="shared" si="74"/>
        <v>-1453.7410139200001</v>
      </c>
    </row>
    <row r="1853" spans="1:17" outlineLevel="2" x14ac:dyDescent="0.3">
      <c r="A1853" s="366" t="str">
        <f>IFERROR(VLOOKUP(RIGHT(E1853,3)+0,[1]SchLocTable!$A$2:$B$47,2,FALSE)," ")</f>
        <v xml:space="preserve"> </v>
      </c>
      <c r="B1853" s="366" t="str">
        <f>VLOOKUP(VALUE(D1853),$D$3:F$106,3,FALSE)</f>
        <v>Social Studies</v>
      </c>
      <c r="C1853" t="s">
        <v>314</v>
      </c>
      <c r="D1853">
        <v>818</v>
      </c>
      <c r="E1853" t="s">
        <v>721</v>
      </c>
      <c r="F1853" t="s">
        <v>392</v>
      </c>
      <c r="G1853" t="s">
        <v>319</v>
      </c>
      <c r="H1853" s="502">
        <v>52504</v>
      </c>
      <c r="I1853" s="415">
        <v>0</v>
      </c>
      <c r="J1853" s="415">
        <v>0</v>
      </c>
      <c r="K1853" s="415"/>
      <c r="L1853" s="415">
        <v>0</v>
      </c>
      <c r="M1853" s="415">
        <v>0</v>
      </c>
      <c r="N1853" s="415">
        <v>0</v>
      </c>
      <c r="O1853" s="415">
        <v>0</v>
      </c>
      <c r="P1853" s="415">
        <v>0</v>
      </c>
      <c r="Q1853" s="481">
        <f t="shared" si="74"/>
        <v>0</v>
      </c>
    </row>
    <row r="1854" spans="1:17" outlineLevel="2" x14ac:dyDescent="0.3">
      <c r="A1854" s="366" t="str">
        <f>IFERROR(VLOOKUP(RIGHT(E1854,3)+0,[1]SchLocTable!$A$2:$B$47,2,FALSE)," ")</f>
        <v>Barnum</v>
      </c>
      <c r="B1854" s="366" t="str">
        <f>VLOOKUP(VALUE(D1854),$D$3:F$106,3,FALSE)</f>
        <v>Social Studies</v>
      </c>
      <c r="C1854" t="s">
        <v>314</v>
      </c>
      <c r="D1854">
        <v>818</v>
      </c>
      <c r="E1854" t="s">
        <v>722</v>
      </c>
      <c r="F1854" t="s">
        <v>316</v>
      </c>
      <c r="G1854" t="s">
        <v>319</v>
      </c>
      <c r="H1854" s="502">
        <v>51000</v>
      </c>
      <c r="I1854" s="415">
        <v>0</v>
      </c>
      <c r="J1854" s="415">
        <v>0</v>
      </c>
      <c r="K1854" s="415">
        <v>70021.899999999994</v>
      </c>
      <c r="L1854" s="415">
        <v>66331.98</v>
      </c>
      <c r="M1854" s="415">
        <v>63339.12</v>
      </c>
      <c r="N1854" s="415">
        <v>60342.879999999997</v>
      </c>
      <c r="O1854" s="415">
        <v>53762.02</v>
      </c>
      <c r="P1854" s="415">
        <v>52914.94</v>
      </c>
      <c r="Q1854" s="481">
        <f t="shared" si="74"/>
        <v>0</v>
      </c>
    </row>
    <row r="1855" spans="1:17" outlineLevel="2" x14ac:dyDescent="0.3">
      <c r="A1855" s="366" t="str">
        <f>IFERROR(VLOOKUP(RIGHT(E1855,3)+0,[1]SchLocTable!$A$2:$B$47,2,FALSE)," ")</f>
        <v>Barnum</v>
      </c>
      <c r="B1855" s="366" t="str">
        <f>VLOOKUP(VALUE(D1855),$D$3:F$106,3,FALSE)</f>
        <v>Social Studies</v>
      </c>
      <c r="C1855" t="s">
        <v>314</v>
      </c>
      <c r="D1855">
        <v>818</v>
      </c>
      <c r="E1855" t="s">
        <v>722</v>
      </c>
      <c r="F1855" t="s">
        <v>321</v>
      </c>
      <c r="G1855" t="s">
        <v>319</v>
      </c>
      <c r="H1855" s="502">
        <v>52917</v>
      </c>
      <c r="I1855" s="415">
        <v>0</v>
      </c>
      <c r="J1855" s="415">
        <v>0</v>
      </c>
      <c r="K1855" s="415">
        <v>11844</v>
      </c>
      <c r="L1855" s="415">
        <v>11684.82</v>
      </c>
      <c r="M1855" s="415">
        <v>10956.75</v>
      </c>
      <c r="N1855" s="415">
        <v>10232.879999999999</v>
      </c>
      <c r="O1855" s="415">
        <v>9817.68</v>
      </c>
      <c r="P1855" s="415">
        <v>9245.67</v>
      </c>
      <c r="Q1855" s="481">
        <f t="shared" ref="Q1855:Q1918" si="75">J1855-I1855</f>
        <v>0</v>
      </c>
    </row>
    <row r="1856" spans="1:17" outlineLevel="2" x14ac:dyDescent="0.3">
      <c r="A1856" s="366" t="str">
        <f>IFERROR(VLOOKUP(RIGHT(E1856,3)+0,[1]SchLocTable!$A$2:$B$47,2,FALSE)," ")</f>
        <v>Barnum</v>
      </c>
      <c r="B1856" s="366" t="str">
        <f>VLOOKUP(VALUE(D1856),$D$3:F$106,3,FALSE)</f>
        <v>Social Studies</v>
      </c>
      <c r="C1856" t="s">
        <v>314</v>
      </c>
      <c r="D1856">
        <v>818</v>
      </c>
      <c r="E1856" t="s">
        <v>722</v>
      </c>
      <c r="F1856" t="s">
        <v>320</v>
      </c>
      <c r="G1856" t="s">
        <v>319</v>
      </c>
      <c r="H1856" s="502">
        <v>52360</v>
      </c>
      <c r="I1856" s="415">
        <v>0</v>
      </c>
      <c r="J1856" s="415">
        <v>0</v>
      </c>
      <c r="K1856" s="415">
        <v>964.74</v>
      </c>
      <c r="L1856" s="415">
        <v>913.41</v>
      </c>
      <c r="M1856" s="415">
        <v>874.26</v>
      </c>
      <c r="N1856" s="415">
        <v>835.03</v>
      </c>
      <c r="O1856" s="415">
        <v>742.25</v>
      </c>
      <c r="P1856" s="415">
        <v>732.64</v>
      </c>
      <c r="Q1856" s="481">
        <f t="shared" si="75"/>
        <v>0</v>
      </c>
    </row>
    <row r="1857" spans="1:17" outlineLevel="2" x14ac:dyDescent="0.3">
      <c r="A1857" s="366" t="str">
        <f>IFERROR(VLOOKUP(RIGHT(E1857,3)+0,[1]SchLocTable!$A$2:$B$47,2,FALSE)," ")</f>
        <v>Columbus</v>
      </c>
      <c r="B1857" s="366" t="str">
        <f>VLOOKUP(VALUE(D1857),$D$3:F$106,3,FALSE)</f>
        <v>Social Studies</v>
      </c>
      <c r="C1857" t="s">
        <v>314</v>
      </c>
      <c r="D1857">
        <v>818</v>
      </c>
      <c r="E1857" t="s">
        <v>723</v>
      </c>
      <c r="F1857" t="s">
        <v>316</v>
      </c>
      <c r="G1857">
        <v>1</v>
      </c>
      <c r="H1857" s="502">
        <v>51000</v>
      </c>
      <c r="I1857" s="415">
        <v>79770.878979999994</v>
      </c>
      <c r="J1857" s="415">
        <v>75899.98</v>
      </c>
      <c r="K1857" s="415">
        <v>114132.98</v>
      </c>
      <c r="L1857" s="415">
        <v>100497.02</v>
      </c>
      <c r="M1857" s="415">
        <v>99011.9</v>
      </c>
      <c r="N1857" s="415">
        <v>93223</v>
      </c>
      <c r="O1857" s="415">
        <v>88897.12</v>
      </c>
      <c r="P1857" s="415">
        <v>87497.02</v>
      </c>
      <c r="Q1857" s="481">
        <f t="shared" si="75"/>
        <v>-3870.8989799999981</v>
      </c>
    </row>
    <row r="1858" spans="1:17" outlineLevel="2" x14ac:dyDescent="0.3">
      <c r="A1858" s="366" t="str">
        <f>IFERROR(VLOOKUP(RIGHT(E1858,3)+0,[1]SchLocTable!$A$2:$B$47,2,FALSE)," ")</f>
        <v>Columbus</v>
      </c>
      <c r="B1858" s="366" t="str">
        <f>VLOOKUP(VALUE(D1858),$D$3:F$106,3,FALSE)</f>
        <v>Social Studies</v>
      </c>
      <c r="C1858" t="s">
        <v>314</v>
      </c>
      <c r="D1858">
        <v>818</v>
      </c>
      <c r="E1858" t="s">
        <v>723</v>
      </c>
      <c r="F1858" t="s">
        <v>321</v>
      </c>
      <c r="G1858" t="s">
        <v>319</v>
      </c>
      <c r="H1858" s="502">
        <v>52917</v>
      </c>
      <c r="I1858" s="415">
        <v>15644.663999999999</v>
      </c>
      <c r="J1858" s="415">
        <v>13037.22</v>
      </c>
      <c r="K1858" s="415">
        <v>28478.1</v>
      </c>
      <c r="L1858" s="415">
        <v>28076.37</v>
      </c>
      <c r="M1858" s="415">
        <v>28373.38</v>
      </c>
      <c r="N1858" s="415">
        <v>30308.67</v>
      </c>
      <c r="O1858" s="415">
        <v>29077.5</v>
      </c>
      <c r="P1858" s="415">
        <v>27385.05</v>
      </c>
      <c r="Q1858" s="481">
        <f t="shared" si="75"/>
        <v>-2607.4439999999995</v>
      </c>
    </row>
    <row r="1859" spans="1:17" outlineLevel="2" x14ac:dyDescent="0.3">
      <c r="A1859" s="366" t="str">
        <f>IFERROR(VLOOKUP(RIGHT(E1859,3)+0,[1]SchLocTable!$A$2:$B$47,2,FALSE)," ")</f>
        <v>Columbus</v>
      </c>
      <c r="B1859" s="366" t="str">
        <f>VLOOKUP(VALUE(D1859),$D$3:F$106,3,FALSE)</f>
        <v>Social Studies</v>
      </c>
      <c r="C1859" t="s">
        <v>314</v>
      </c>
      <c r="D1859">
        <v>818</v>
      </c>
      <c r="E1859" t="s">
        <v>723</v>
      </c>
      <c r="F1859" t="s">
        <v>318</v>
      </c>
      <c r="G1859" t="s">
        <v>319</v>
      </c>
      <c r="H1859" s="502">
        <v>51140</v>
      </c>
      <c r="I1859" s="415">
        <v>0</v>
      </c>
      <c r="J1859" s="415">
        <v>0</v>
      </c>
      <c r="K1859" s="415">
        <v>2200</v>
      </c>
      <c r="L1859" s="415">
        <v>1100</v>
      </c>
      <c r="M1859" s="415">
        <v>900</v>
      </c>
      <c r="N1859" s="415">
        <v>900</v>
      </c>
      <c r="O1859" s="415">
        <v>900</v>
      </c>
      <c r="P1859" s="415">
        <v>900</v>
      </c>
      <c r="Q1859" s="481">
        <f t="shared" si="75"/>
        <v>0</v>
      </c>
    </row>
    <row r="1860" spans="1:17" outlineLevel="2" x14ac:dyDescent="0.3">
      <c r="A1860" s="366" t="str">
        <f>IFERROR(VLOOKUP(RIGHT(E1860,3)+0,[1]SchLocTable!$A$2:$B$47,2,FALSE)," ")</f>
        <v>Columbus</v>
      </c>
      <c r="B1860" s="366" t="str">
        <f>VLOOKUP(VALUE(D1860),$D$3:F$106,3,FALSE)</f>
        <v>Social Studies</v>
      </c>
      <c r="C1860" t="s">
        <v>314</v>
      </c>
      <c r="D1860">
        <v>818</v>
      </c>
      <c r="E1860" t="s">
        <v>723</v>
      </c>
      <c r="F1860" t="s">
        <v>320</v>
      </c>
      <c r="G1860" t="s">
        <v>319</v>
      </c>
      <c r="H1860" s="502">
        <v>52360</v>
      </c>
      <c r="I1860" s="415">
        <v>1156.67774521</v>
      </c>
      <c r="J1860" s="415">
        <v>1092.3499999999999</v>
      </c>
      <c r="K1860" s="415">
        <v>1564.95</v>
      </c>
      <c r="L1860" s="415">
        <v>1356.55</v>
      </c>
      <c r="M1860" s="415">
        <v>1334.21</v>
      </c>
      <c r="N1860" s="415">
        <v>1246.46</v>
      </c>
      <c r="O1860" s="415">
        <v>1191.6300000000001</v>
      </c>
      <c r="P1860" s="415">
        <v>1179.21</v>
      </c>
      <c r="Q1860" s="481">
        <f t="shared" si="75"/>
        <v>-64.327745210000103</v>
      </c>
    </row>
    <row r="1861" spans="1:17" outlineLevel="2" x14ac:dyDescent="0.3">
      <c r="A1861" s="366" t="str">
        <f>IFERROR(VLOOKUP(RIGHT(E1861,3)+0,[1]SchLocTable!$A$2:$B$47,2,FALSE)," ")</f>
        <v>Physical Science HS</v>
      </c>
      <c r="B1861" s="366" t="str">
        <f>VLOOKUP(VALUE(D1861),$D$3:F$106,3,FALSE)</f>
        <v>Social Studies</v>
      </c>
      <c r="C1861" t="s">
        <v>314</v>
      </c>
      <c r="D1861">
        <v>818</v>
      </c>
      <c r="E1861" t="s">
        <v>724</v>
      </c>
      <c r="F1861" t="s">
        <v>316</v>
      </c>
      <c r="G1861">
        <v>2</v>
      </c>
      <c r="H1861" s="502">
        <v>51000</v>
      </c>
      <c r="I1861" s="415">
        <v>192198.24077999999</v>
      </c>
      <c r="J1861" s="415">
        <v>182872</v>
      </c>
      <c r="K1861" s="415">
        <v>167636.04</v>
      </c>
      <c r="L1861" s="415">
        <v>157370.20000000001</v>
      </c>
      <c r="M1861" s="415">
        <v>105008.24</v>
      </c>
      <c r="N1861" s="415">
        <v>193708.04</v>
      </c>
      <c r="O1861" s="415">
        <v>61956.06</v>
      </c>
      <c r="P1861" s="415">
        <v>106590.13</v>
      </c>
      <c r="Q1861" s="481">
        <f t="shared" si="75"/>
        <v>-9326.2407799999928</v>
      </c>
    </row>
    <row r="1862" spans="1:17" outlineLevel="2" x14ac:dyDescent="0.3">
      <c r="A1862" s="366" t="str">
        <f>IFERROR(VLOOKUP(RIGHT(E1862,3)+0,[1]SchLocTable!$A$2:$B$47,2,FALSE)," ")</f>
        <v>Physical Science HS</v>
      </c>
      <c r="B1862" s="366" t="str">
        <f>VLOOKUP(VALUE(D1862),$D$3:F$106,3,FALSE)</f>
        <v>Social Studies</v>
      </c>
      <c r="C1862" t="s">
        <v>314</v>
      </c>
      <c r="D1862">
        <v>818</v>
      </c>
      <c r="E1862" t="s">
        <v>724</v>
      </c>
      <c r="F1862" t="s">
        <v>321</v>
      </c>
      <c r="G1862" t="s">
        <v>319</v>
      </c>
      <c r="H1862" s="502">
        <v>52917</v>
      </c>
      <c r="I1862" s="415">
        <v>61975.619999999995</v>
      </c>
      <c r="J1862" s="415">
        <v>51646.35</v>
      </c>
      <c r="K1862" s="415">
        <v>46919.88</v>
      </c>
      <c r="L1862" s="415">
        <v>46291.77</v>
      </c>
      <c r="M1862" s="415">
        <v>43405.95</v>
      </c>
      <c r="N1862" s="415">
        <v>54870.9</v>
      </c>
      <c r="O1862" s="415">
        <v>45516.38</v>
      </c>
      <c r="P1862" s="415">
        <v>36630.720000000001</v>
      </c>
      <c r="Q1862" s="481">
        <f t="shared" si="75"/>
        <v>-10329.269999999997</v>
      </c>
    </row>
    <row r="1863" spans="1:17" outlineLevel="2" x14ac:dyDescent="0.3">
      <c r="A1863" s="366" t="str">
        <f>IFERROR(VLOOKUP(RIGHT(E1863,3)+0,[1]SchLocTable!$A$2:$B$47,2,FALSE)," ")</f>
        <v>Physical Science HS</v>
      </c>
      <c r="B1863" s="366" t="str">
        <f>VLOOKUP(VALUE(D1863),$D$3:F$106,3,FALSE)</f>
        <v>Social Studies</v>
      </c>
      <c r="C1863" t="s">
        <v>314</v>
      </c>
      <c r="D1863">
        <v>818</v>
      </c>
      <c r="E1863" t="s">
        <v>724</v>
      </c>
      <c r="F1863" t="s">
        <v>320</v>
      </c>
      <c r="G1863" t="s">
        <v>319</v>
      </c>
      <c r="H1863" s="502">
        <v>52360</v>
      </c>
      <c r="I1863" s="415">
        <v>2786.8744913099999</v>
      </c>
      <c r="J1863" s="415">
        <v>2372</v>
      </c>
      <c r="K1863" s="415">
        <v>2186.04</v>
      </c>
      <c r="L1863" s="415">
        <v>2047.47</v>
      </c>
      <c r="M1863" s="415">
        <v>1920.11</v>
      </c>
      <c r="N1863" s="415">
        <v>1720.14</v>
      </c>
      <c r="O1863" s="415">
        <v>1687.21</v>
      </c>
      <c r="P1863" s="415">
        <v>1625.9</v>
      </c>
      <c r="Q1863" s="481">
        <f t="shared" si="75"/>
        <v>-414.87449130999994</v>
      </c>
    </row>
    <row r="1864" spans="1:17" outlineLevel="2" x14ac:dyDescent="0.3">
      <c r="A1864" s="366" t="str">
        <f>IFERROR(VLOOKUP(RIGHT(E1864,3)+0,[1]SchLocTable!$A$2:$B$47,2,FALSE)," ")</f>
        <v>Marin</v>
      </c>
      <c r="B1864" s="366" t="str">
        <f>VLOOKUP(VALUE(D1864),$D$3:F$106,3,FALSE)</f>
        <v>Social Studies</v>
      </c>
      <c r="C1864" t="s">
        <v>314</v>
      </c>
      <c r="D1864">
        <v>818</v>
      </c>
      <c r="E1864" t="s">
        <v>725</v>
      </c>
      <c r="F1864" t="s">
        <v>316</v>
      </c>
      <c r="G1864">
        <v>2</v>
      </c>
      <c r="H1864" s="502">
        <v>51000</v>
      </c>
      <c r="I1864" s="415">
        <v>139919.64051</v>
      </c>
      <c r="J1864" s="415">
        <v>127944</v>
      </c>
      <c r="K1864" s="415">
        <v>121892.16</v>
      </c>
      <c r="L1864" s="415">
        <v>102721.12</v>
      </c>
      <c r="M1864" s="415">
        <v>82576.05</v>
      </c>
      <c r="N1864" s="415">
        <v>84940.14</v>
      </c>
      <c r="O1864" s="415">
        <v>98922.2</v>
      </c>
      <c r="P1864" s="415">
        <v>97364.08</v>
      </c>
      <c r="Q1864" s="481">
        <f t="shared" si="75"/>
        <v>-11975.640509999997</v>
      </c>
    </row>
    <row r="1865" spans="1:17" outlineLevel="2" x14ac:dyDescent="0.3">
      <c r="A1865" s="366" t="str">
        <f>IFERROR(VLOOKUP(RIGHT(E1865,3)+0,[1]SchLocTable!$A$2:$B$47,2,FALSE)," ")</f>
        <v>Marin</v>
      </c>
      <c r="B1865" s="366" t="str">
        <f>VLOOKUP(VALUE(D1865),$D$3:F$106,3,FALSE)</f>
        <v>Social Studies</v>
      </c>
      <c r="C1865" t="s">
        <v>314</v>
      </c>
      <c r="D1865">
        <v>818</v>
      </c>
      <c r="E1865" t="s">
        <v>725</v>
      </c>
      <c r="F1865" t="s">
        <v>321</v>
      </c>
      <c r="G1865" t="s">
        <v>319</v>
      </c>
      <c r="H1865" s="502">
        <v>52917</v>
      </c>
      <c r="I1865" s="415">
        <v>37644.263999999996</v>
      </c>
      <c r="J1865" s="415">
        <v>31370.22</v>
      </c>
      <c r="K1865" s="415">
        <v>29821.24</v>
      </c>
      <c r="L1865" s="415">
        <v>27964.86</v>
      </c>
      <c r="M1865" s="415">
        <v>12517.8</v>
      </c>
      <c r="N1865" s="415">
        <v>17009.75</v>
      </c>
      <c r="O1865" s="415">
        <v>19635.36</v>
      </c>
      <c r="P1865" s="415">
        <v>18095.87</v>
      </c>
      <c r="Q1865" s="481">
        <f t="shared" si="75"/>
        <v>-6274.0439999999944</v>
      </c>
    </row>
    <row r="1866" spans="1:17" outlineLevel="2" x14ac:dyDescent="0.3">
      <c r="A1866" s="366" t="str">
        <f>IFERROR(VLOOKUP(RIGHT(E1866,3)+0,[1]SchLocTable!$A$2:$B$47,2,FALSE)," ")</f>
        <v>Marin</v>
      </c>
      <c r="B1866" s="366" t="str">
        <f>VLOOKUP(VALUE(D1866),$D$3:F$106,3,FALSE)</f>
        <v>Social Studies</v>
      </c>
      <c r="C1866" t="s">
        <v>314</v>
      </c>
      <c r="D1866">
        <v>818</v>
      </c>
      <c r="E1866" t="s">
        <v>725</v>
      </c>
      <c r="F1866" t="s">
        <v>320</v>
      </c>
      <c r="G1866" t="s">
        <v>319</v>
      </c>
      <c r="H1866" s="502">
        <v>52360</v>
      </c>
      <c r="I1866" s="415">
        <v>2028.8347873949997</v>
      </c>
      <c r="J1866" s="415">
        <v>1685</v>
      </c>
      <c r="K1866" s="415">
        <v>1645.56</v>
      </c>
      <c r="L1866" s="415">
        <v>1373.14</v>
      </c>
      <c r="M1866" s="415">
        <v>1146.8900000000001</v>
      </c>
      <c r="N1866" s="415">
        <v>1165.1600000000001</v>
      </c>
      <c r="O1866" s="415">
        <v>1347.8</v>
      </c>
      <c r="P1866" s="415">
        <v>1344.11</v>
      </c>
      <c r="Q1866" s="481">
        <f t="shared" si="75"/>
        <v>-343.83478739499969</v>
      </c>
    </row>
    <row r="1867" spans="1:17" outlineLevel="2" x14ac:dyDescent="0.3">
      <c r="A1867" s="366" t="str">
        <f>IFERROR(VLOOKUP(RIGHT(E1867,3)+0,[1]SchLocTable!$A$2:$B$47,2,FALSE)," ")</f>
        <v>Marin</v>
      </c>
      <c r="B1867" s="366" t="str">
        <f>VLOOKUP(VALUE(D1867),$D$3:F$106,3,FALSE)</f>
        <v>Social Studies</v>
      </c>
      <c r="C1867" t="s">
        <v>314</v>
      </c>
      <c r="D1867">
        <v>818</v>
      </c>
      <c r="E1867" t="s">
        <v>725</v>
      </c>
      <c r="F1867" t="s">
        <v>324</v>
      </c>
      <c r="G1867" t="s">
        <v>319</v>
      </c>
      <c r="H1867" s="502">
        <v>52385</v>
      </c>
      <c r="I1867" s="415">
        <v>0</v>
      </c>
      <c r="J1867" s="415">
        <v>0</v>
      </c>
      <c r="K1867" s="415">
        <v>0</v>
      </c>
      <c r="L1867" s="415">
        <v>2813.25</v>
      </c>
      <c r="M1867" s="415">
        <v>1007.49</v>
      </c>
      <c r="N1867" s="415">
        <v>0</v>
      </c>
      <c r="O1867" s="415">
        <v>0</v>
      </c>
      <c r="P1867" s="415">
        <v>197.91</v>
      </c>
      <c r="Q1867" s="481">
        <f t="shared" si="75"/>
        <v>0</v>
      </c>
    </row>
    <row r="1868" spans="1:17" outlineLevel="2" x14ac:dyDescent="0.3">
      <c r="A1868" s="366" t="str">
        <f>IFERROR(VLOOKUP(RIGHT(E1868,3)+0,[1]SchLocTable!$A$2:$B$47,2,FALSE)," ")</f>
        <v>Hooker</v>
      </c>
      <c r="B1868" s="366" t="str">
        <f>VLOOKUP(VALUE(D1868),$D$3:F$106,3,FALSE)</f>
        <v>Social Studies</v>
      </c>
      <c r="C1868" t="s">
        <v>314</v>
      </c>
      <c r="D1868">
        <v>818</v>
      </c>
      <c r="E1868" t="s">
        <v>726</v>
      </c>
      <c r="F1868" t="s">
        <v>316</v>
      </c>
      <c r="G1868">
        <v>1</v>
      </c>
      <c r="H1868" s="502">
        <v>51000</v>
      </c>
      <c r="I1868" s="415">
        <v>64054.33008</v>
      </c>
      <c r="J1868" s="415">
        <v>60946</v>
      </c>
      <c r="K1868" s="415">
        <v>57918.9</v>
      </c>
      <c r="L1868" s="415">
        <v>54993.120000000003</v>
      </c>
      <c r="M1868" s="415">
        <v>52618.559999999998</v>
      </c>
      <c r="N1868" s="415">
        <v>59913.88</v>
      </c>
      <c r="O1868" s="415">
        <v>56917.9</v>
      </c>
      <c r="P1868" s="415">
        <v>56021.94</v>
      </c>
      <c r="Q1868" s="481">
        <f t="shared" si="75"/>
        <v>-3108.3300799999997</v>
      </c>
    </row>
    <row r="1869" spans="1:17" outlineLevel="2" x14ac:dyDescent="0.3">
      <c r="A1869" s="366" t="str">
        <f>IFERROR(VLOOKUP(RIGHT(E1869,3)+0,[1]SchLocTable!$A$2:$B$47,2,FALSE)," ")</f>
        <v>Hooker</v>
      </c>
      <c r="B1869" s="366" t="str">
        <f>VLOOKUP(VALUE(D1869),$D$3:F$106,3,FALSE)</f>
        <v>Social Studies</v>
      </c>
      <c r="C1869" t="s">
        <v>314</v>
      </c>
      <c r="D1869">
        <v>818</v>
      </c>
      <c r="E1869" t="s">
        <v>726</v>
      </c>
      <c r="F1869" t="s">
        <v>321</v>
      </c>
      <c r="G1869" t="s">
        <v>319</v>
      </c>
      <c r="H1869" s="502">
        <v>52917</v>
      </c>
      <c r="I1869" s="415">
        <v>15555.96</v>
      </c>
      <c r="J1869" s="415">
        <v>12963.3</v>
      </c>
      <c r="K1869" s="415">
        <v>11747.4</v>
      </c>
      <c r="L1869" s="415">
        <v>11550</v>
      </c>
      <c r="M1869" s="415">
        <v>10889.55</v>
      </c>
      <c r="N1869" s="415">
        <v>10232.879999999999</v>
      </c>
      <c r="O1869" s="415">
        <v>9817.68</v>
      </c>
      <c r="P1869" s="415">
        <v>16024.09</v>
      </c>
      <c r="Q1869" s="481">
        <f t="shared" si="75"/>
        <v>-2592.66</v>
      </c>
    </row>
    <row r="1870" spans="1:17" outlineLevel="2" x14ac:dyDescent="0.3">
      <c r="A1870" s="366" t="str">
        <f>IFERROR(VLOOKUP(RIGHT(E1870,3)+0,[1]SchLocTable!$A$2:$B$47,2,FALSE)," ")</f>
        <v>Hooker</v>
      </c>
      <c r="B1870" s="366" t="str">
        <f>VLOOKUP(VALUE(D1870),$D$3:F$106,3,FALSE)</f>
        <v>Social Studies</v>
      </c>
      <c r="C1870" t="s">
        <v>314</v>
      </c>
      <c r="D1870">
        <v>818</v>
      </c>
      <c r="E1870" t="s">
        <v>726</v>
      </c>
      <c r="F1870" t="s">
        <v>320</v>
      </c>
      <c r="G1870" t="s">
        <v>319</v>
      </c>
      <c r="H1870" s="502">
        <v>52360</v>
      </c>
      <c r="I1870" s="415">
        <v>928.78778616</v>
      </c>
      <c r="J1870" s="415">
        <v>813</v>
      </c>
      <c r="K1870" s="415">
        <v>789.51</v>
      </c>
      <c r="L1870" s="415">
        <v>749.35</v>
      </c>
      <c r="M1870" s="415">
        <v>718.98</v>
      </c>
      <c r="N1870" s="415">
        <v>828.79</v>
      </c>
      <c r="O1870" s="415">
        <v>788.02</v>
      </c>
      <c r="P1870" s="415">
        <v>752.09</v>
      </c>
      <c r="Q1870" s="481">
        <f t="shared" si="75"/>
        <v>-115.78778616</v>
      </c>
    </row>
    <row r="1871" spans="1:17" outlineLevel="2" x14ac:dyDescent="0.3">
      <c r="A1871" s="366" t="str">
        <f>IFERROR(VLOOKUP(RIGHT(E1871,3)+0,[1]SchLocTable!$A$2:$B$47,2,FALSE)," ")</f>
        <v>Batalla</v>
      </c>
      <c r="B1871" s="366" t="str">
        <f>VLOOKUP(VALUE(D1871),$D$3:F$106,3,FALSE)</f>
        <v>Social Studies</v>
      </c>
      <c r="C1871" t="s">
        <v>314</v>
      </c>
      <c r="D1871">
        <v>818</v>
      </c>
      <c r="E1871" t="s">
        <v>727</v>
      </c>
      <c r="F1871" t="s">
        <v>316</v>
      </c>
      <c r="G1871">
        <v>2</v>
      </c>
      <c r="H1871" s="502">
        <v>51000</v>
      </c>
      <c r="I1871" s="415">
        <v>174482.70039000001</v>
      </c>
      <c r="J1871" s="415">
        <v>166016</v>
      </c>
      <c r="K1871" s="415">
        <v>160676.88</v>
      </c>
      <c r="L1871" s="415">
        <v>110242.25</v>
      </c>
      <c r="M1871" s="415">
        <v>151042.09</v>
      </c>
      <c r="N1871" s="415">
        <v>142667.54999999999</v>
      </c>
      <c r="O1871" s="415">
        <v>146427.84</v>
      </c>
      <c r="P1871" s="415">
        <v>144122.94</v>
      </c>
      <c r="Q1871" s="481">
        <f t="shared" si="75"/>
        <v>-8466.7003900000127</v>
      </c>
    </row>
    <row r="1872" spans="1:17" outlineLevel="2" x14ac:dyDescent="0.3">
      <c r="A1872" s="366" t="str">
        <f>IFERROR(VLOOKUP(RIGHT(E1872,3)+0,[1]SchLocTable!$A$2:$B$47,2,FALSE)," ")</f>
        <v>Batalla</v>
      </c>
      <c r="B1872" s="366" t="str">
        <f>VLOOKUP(VALUE(D1872),$D$3:F$106,3,FALSE)</f>
        <v>Social Studies</v>
      </c>
      <c r="C1872" t="s">
        <v>314</v>
      </c>
      <c r="D1872">
        <v>818</v>
      </c>
      <c r="E1872" t="s">
        <v>727</v>
      </c>
      <c r="F1872" t="s">
        <v>321</v>
      </c>
      <c r="G1872" t="s">
        <v>319</v>
      </c>
      <c r="H1872" s="502">
        <v>52917</v>
      </c>
      <c r="I1872" s="415">
        <v>53013.995999999992</v>
      </c>
      <c r="J1872" s="415">
        <v>26000.52</v>
      </c>
      <c r="K1872" s="415">
        <v>23591.4</v>
      </c>
      <c r="L1872" s="415">
        <v>11684.82</v>
      </c>
      <c r="M1872" s="415">
        <v>10956.75</v>
      </c>
      <c r="N1872" s="415">
        <v>19003.919999999998</v>
      </c>
      <c r="O1872" s="415">
        <v>19635.36</v>
      </c>
      <c r="P1872" s="415">
        <v>36356.04</v>
      </c>
      <c r="Q1872" s="481">
        <f t="shared" si="75"/>
        <v>-27013.475999999991</v>
      </c>
    </row>
    <row r="1873" spans="1:17" outlineLevel="2" x14ac:dyDescent="0.3">
      <c r="A1873" s="366" t="str">
        <f>IFERROR(VLOOKUP(RIGHT(E1873,3)+0,[1]SchLocTable!$A$2:$B$47,2,FALSE)," ")</f>
        <v>Batalla</v>
      </c>
      <c r="B1873" s="366" t="str">
        <f>VLOOKUP(VALUE(D1873),$D$3:F$106,3,FALSE)</f>
        <v>Social Studies</v>
      </c>
      <c r="C1873" t="s">
        <v>314</v>
      </c>
      <c r="D1873">
        <v>818</v>
      </c>
      <c r="E1873" t="s">
        <v>727</v>
      </c>
      <c r="F1873" t="s">
        <v>318</v>
      </c>
      <c r="G1873" t="s">
        <v>319</v>
      </c>
      <c r="H1873" s="502">
        <v>51140</v>
      </c>
      <c r="I1873" s="415">
        <v>1100</v>
      </c>
      <c r="J1873" s="415">
        <v>0</v>
      </c>
      <c r="K1873" s="415">
        <v>1100</v>
      </c>
      <c r="L1873" s="415">
        <v>1100</v>
      </c>
      <c r="M1873" s="415">
        <v>1100</v>
      </c>
      <c r="N1873" s="415">
        <v>1100</v>
      </c>
      <c r="O1873" s="415">
        <v>900</v>
      </c>
      <c r="P1873" s="415">
        <v>900</v>
      </c>
      <c r="Q1873" s="481">
        <f t="shared" si="75"/>
        <v>-1100</v>
      </c>
    </row>
    <row r="1874" spans="1:17" outlineLevel="2" x14ac:dyDescent="0.3">
      <c r="A1874" s="366" t="str">
        <f>IFERROR(VLOOKUP(RIGHT(E1874,3)+0,[1]SchLocTable!$A$2:$B$47,2,FALSE)," ")</f>
        <v>Batalla</v>
      </c>
      <c r="B1874" s="366" t="str">
        <f>VLOOKUP(VALUE(D1874),$D$3:F$106,3,FALSE)</f>
        <v>Social Studies</v>
      </c>
      <c r="C1874" t="s">
        <v>314</v>
      </c>
      <c r="D1874">
        <v>818</v>
      </c>
      <c r="E1874" t="s">
        <v>727</v>
      </c>
      <c r="F1874" t="s">
        <v>320</v>
      </c>
      <c r="G1874" t="s">
        <v>319</v>
      </c>
      <c r="H1874" s="502">
        <v>52360</v>
      </c>
      <c r="I1874" s="415">
        <v>2529.9991556550003</v>
      </c>
      <c r="J1874" s="415">
        <v>2282</v>
      </c>
      <c r="K1874" s="415">
        <v>2244.9</v>
      </c>
      <c r="L1874" s="415">
        <v>1566.06</v>
      </c>
      <c r="M1874" s="415">
        <v>2161.92</v>
      </c>
      <c r="N1874" s="415">
        <v>2010.41</v>
      </c>
      <c r="O1874" s="415">
        <v>2067.56</v>
      </c>
      <c r="P1874" s="415">
        <v>1966.1</v>
      </c>
      <c r="Q1874" s="481">
        <f t="shared" si="75"/>
        <v>-247.99915565500032</v>
      </c>
    </row>
    <row r="1875" spans="1:17" outlineLevel="2" x14ac:dyDescent="0.3">
      <c r="A1875" s="366" t="str">
        <f>IFERROR(VLOOKUP(RIGHT(E1875,3)+0,[1]SchLocTable!$A$2:$B$47,2,FALSE)," ")</f>
        <v>Batalla</v>
      </c>
      <c r="B1875" s="366" t="str">
        <f>VLOOKUP(VALUE(D1875),$D$3:F$106,3,FALSE)</f>
        <v>Social Studies</v>
      </c>
      <c r="C1875" t="s">
        <v>314</v>
      </c>
      <c r="D1875">
        <v>818</v>
      </c>
      <c r="E1875" t="s">
        <v>727</v>
      </c>
      <c r="F1875" t="s">
        <v>324</v>
      </c>
      <c r="G1875" t="s">
        <v>319</v>
      </c>
      <c r="H1875" s="502">
        <v>52385</v>
      </c>
      <c r="I1875" s="415">
        <v>0</v>
      </c>
      <c r="J1875" s="415">
        <v>0</v>
      </c>
      <c r="K1875" s="415">
        <v>0</v>
      </c>
      <c r="L1875" s="415">
        <v>0</v>
      </c>
      <c r="M1875" s="415">
        <v>124</v>
      </c>
      <c r="N1875" s="415">
        <v>0</v>
      </c>
      <c r="O1875" s="415">
        <v>0</v>
      </c>
      <c r="P1875" s="415">
        <v>0</v>
      </c>
      <c r="Q1875" s="481">
        <f t="shared" si="75"/>
        <v>0</v>
      </c>
    </row>
    <row r="1876" spans="1:17" outlineLevel="2" x14ac:dyDescent="0.3">
      <c r="A1876" s="366" t="str">
        <f>IFERROR(VLOOKUP(RIGHT(E1876,3)+0,[1]SchLocTable!$A$2:$B$47,2,FALSE)," ")</f>
        <v>Info Tech HS</v>
      </c>
      <c r="B1876" s="366" t="str">
        <f>VLOOKUP(VALUE(D1876),$D$3:F$106,3,FALSE)</f>
        <v>Social Studies</v>
      </c>
      <c r="C1876" t="s">
        <v>314</v>
      </c>
      <c r="D1876">
        <v>818</v>
      </c>
      <c r="E1876" t="s">
        <v>728</v>
      </c>
      <c r="F1876" t="s">
        <v>316</v>
      </c>
      <c r="G1876">
        <v>2</v>
      </c>
      <c r="H1876" s="502">
        <v>51000</v>
      </c>
      <c r="I1876" s="415">
        <v>127653.31440999999</v>
      </c>
      <c r="J1876" s="415">
        <v>60946</v>
      </c>
      <c r="K1876" s="415">
        <v>102651.87</v>
      </c>
      <c r="L1876" s="415">
        <v>99617.91</v>
      </c>
      <c r="M1876" s="415">
        <v>122429.36</v>
      </c>
      <c r="N1876" s="415">
        <v>144635.88</v>
      </c>
      <c r="O1876" s="415">
        <v>79342.039999999994</v>
      </c>
      <c r="P1876" s="415">
        <v>170781.62</v>
      </c>
      <c r="Q1876" s="481">
        <f t="shared" si="75"/>
        <v>-66707.314409999992</v>
      </c>
    </row>
    <row r="1877" spans="1:17" outlineLevel="2" x14ac:dyDescent="0.3">
      <c r="A1877" s="366" t="str">
        <f>IFERROR(VLOOKUP(RIGHT(E1877,3)+0,[1]SchLocTable!$A$2:$B$47,2,FALSE)," ")</f>
        <v>Info Tech HS</v>
      </c>
      <c r="B1877" s="366" t="str">
        <f>VLOOKUP(VALUE(D1877),$D$3:F$106,3,FALSE)</f>
        <v>Social Studies</v>
      </c>
      <c r="C1877" t="s">
        <v>314</v>
      </c>
      <c r="D1877">
        <v>818</v>
      </c>
      <c r="E1877" t="s">
        <v>728</v>
      </c>
      <c r="F1877" t="s">
        <v>321</v>
      </c>
      <c r="G1877" t="s">
        <v>319</v>
      </c>
      <c r="H1877" s="502">
        <v>52917</v>
      </c>
      <c r="I1877" s="415">
        <v>53288.927999999993</v>
      </c>
      <c r="J1877" s="415">
        <v>12979</v>
      </c>
      <c r="K1877" s="415">
        <v>11844</v>
      </c>
      <c r="L1877" s="415">
        <v>11684.82</v>
      </c>
      <c r="M1877" s="415">
        <v>73472.58</v>
      </c>
      <c r="N1877" s="415">
        <v>34445.67</v>
      </c>
      <c r="O1877" s="415">
        <v>33149.71</v>
      </c>
      <c r="P1877" s="415">
        <v>58602.18</v>
      </c>
      <c r="Q1877" s="481">
        <f t="shared" si="75"/>
        <v>-40309.927999999993</v>
      </c>
    </row>
    <row r="1878" spans="1:17" outlineLevel="2" x14ac:dyDescent="0.3">
      <c r="A1878" s="366" t="str">
        <f>IFERROR(VLOOKUP(RIGHT(E1878,3)+0,[1]SchLocTable!$A$2:$B$47,2,FALSE)," ")</f>
        <v>Info Tech HS</v>
      </c>
      <c r="B1878" s="366" t="str">
        <f>VLOOKUP(VALUE(D1878),$D$3:F$106,3,FALSE)</f>
        <v>Social Studies</v>
      </c>
      <c r="C1878" t="s">
        <v>314</v>
      </c>
      <c r="D1878">
        <v>818</v>
      </c>
      <c r="E1878" t="s">
        <v>728</v>
      </c>
      <c r="F1878" t="s">
        <v>318</v>
      </c>
      <c r="G1878" t="s">
        <v>319</v>
      </c>
      <c r="H1878" s="502">
        <v>51140</v>
      </c>
      <c r="I1878" s="415">
        <v>0</v>
      </c>
      <c r="J1878" s="415">
        <v>0</v>
      </c>
      <c r="K1878" s="415">
        <v>0</v>
      </c>
      <c r="L1878" s="415">
        <v>1200</v>
      </c>
      <c r="M1878" s="415">
        <v>0</v>
      </c>
      <c r="N1878" s="415">
        <v>0</v>
      </c>
      <c r="O1878" s="415">
        <v>0</v>
      </c>
      <c r="P1878" s="415">
        <v>1100</v>
      </c>
      <c r="Q1878" s="481">
        <f t="shared" si="75"/>
        <v>0</v>
      </c>
    </row>
    <row r="1879" spans="1:17" outlineLevel="2" x14ac:dyDescent="0.3">
      <c r="A1879" s="366" t="str">
        <f>IFERROR(VLOOKUP(RIGHT(E1879,3)+0,[1]SchLocTable!$A$2:$B$47,2,FALSE)," ")</f>
        <v>Info Tech HS</v>
      </c>
      <c r="B1879" s="366" t="str">
        <f>VLOOKUP(VALUE(D1879),$D$3:F$106,3,FALSE)</f>
        <v>Social Studies</v>
      </c>
      <c r="C1879" t="s">
        <v>314</v>
      </c>
      <c r="D1879">
        <v>818</v>
      </c>
      <c r="E1879" t="s">
        <v>728</v>
      </c>
      <c r="F1879" t="s">
        <v>320</v>
      </c>
      <c r="G1879" t="s">
        <v>319</v>
      </c>
      <c r="H1879" s="502">
        <v>52360</v>
      </c>
      <c r="I1879" s="415">
        <v>1850.9730589449998</v>
      </c>
      <c r="J1879" s="415">
        <v>827</v>
      </c>
      <c r="K1879" s="415">
        <v>1437.89</v>
      </c>
      <c r="L1879" s="415">
        <v>1413.47</v>
      </c>
      <c r="M1879" s="415">
        <v>3211.35</v>
      </c>
      <c r="N1879" s="415">
        <v>1330.28</v>
      </c>
      <c r="O1879" s="415">
        <v>1270.53</v>
      </c>
      <c r="P1879" s="415">
        <v>2402.44</v>
      </c>
      <c r="Q1879" s="481">
        <f t="shared" si="75"/>
        <v>-1023.9730589449998</v>
      </c>
    </row>
    <row r="1880" spans="1:17" outlineLevel="2" x14ac:dyDescent="0.3">
      <c r="A1880" s="366" t="str">
        <f>IFERROR(VLOOKUP(RIGHT(E1880,3)+0,[1]SchLocTable!$A$2:$B$47,2,FALSE)," ")</f>
        <v>Info Tech HS</v>
      </c>
      <c r="B1880" s="366" t="str">
        <f>VLOOKUP(VALUE(D1880),$D$3:F$106,3,FALSE)</f>
        <v>Social Studies</v>
      </c>
      <c r="C1880" t="s">
        <v>314</v>
      </c>
      <c r="D1880">
        <v>818</v>
      </c>
      <c r="E1880" t="s">
        <v>728</v>
      </c>
      <c r="F1880" t="s">
        <v>324</v>
      </c>
      <c r="G1880" t="s">
        <v>319</v>
      </c>
      <c r="H1880" s="502">
        <v>52385</v>
      </c>
      <c r="I1880" s="415">
        <v>0</v>
      </c>
      <c r="J1880" s="415">
        <v>0</v>
      </c>
      <c r="K1880" s="415">
        <v>2309.5</v>
      </c>
      <c r="L1880" s="415">
        <v>2766.75</v>
      </c>
      <c r="M1880" s="415">
        <v>1937.5</v>
      </c>
      <c r="N1880" s="415">
        <v>0</v>
      </c>
      <c r="O1880" s="415">
        <v>0</v>
      </c>
      <c r="P1880" s="415">
        <v>0</v>
      </c>
      <c r="Q1880" s="481">
        <f t="shared" si="75"/>
        <v>0</v>
      </c>
    </row>
    <row r="1881" spans="1:17" outlineLevel="2" x14ac:dyDescent="0.3">
      <c r="A1881" s="366" t="str">
        <f>IFERROR(VLOOKUP(RIGHT(E1881,3)+0,[1]SchLocTable!$A$2:$B$47,2,FALSE)," ")</f>
        <v>BMA HS</v>
      </c>
      <c r="B1881" s="366" t="str">
        <f>VLOOKUP(VALUE(D1881),$D$3:F$106,3,FALSE)</f>
        <v>Social Studies</v>
      </c>
      <c r="C1881" t="s">
        <v>314</v>
      </c>
      <c r="D1881">
        <v>818</v>
      </c>
      <c r="E1881" t="s">
        <v>729</v>
      </c>
      <c r="F1881" t="s">
        <v>316</v>
      </c>
      <c r="G1881">
        <v>3</v>
      </c>
      <c r="H1881" s="502">
        <v>51000</v>
      </c>
      <c r="I1881" s="415">
        <v>266789.74972000002</v>
      </c>
      <c r="J1881" s="415">
        <v>253843.72</v>
      </c>
      <c r="K1881" s="415">
        <v>231586.09</v>
      </c>
      <c r="L1881" s="415">
        <v>271425.71000000002</v>
      </c>
      <c r="M1881" s="415">
        <v>202429.5</v>
      </c>
      <c r="N1881" s="415">
        <v>144295.98000000001</v>
      </c>
      <c r="O1881" s="415">
        <v>203135.99</v>
      </c>
      <c r="P1881" s="415">
        <v>217823.77</v>
      </c>
      <c r="Q1881" s="481">
        <f t="shared" si="75"/>
        <v>-12946.02972000002</v>
      </c>
    </row>
    <row r="1882" spans="1:17" outlineLevel="2" x14ac:dyDescent="0.3">
      <c r="A1882" s="366" t="str">
        <f>IFERROR(VLOOKUP(RIGHT(E1882,3)+0,[1]SchLocTable!$A$2:$B$47,2,FALSE)," ")</f>
        <v>BMA HS</v>
      </c>
      <c r="B1882" s="366" t="str">
        <f>VLOOKUP(VALUE(D1882),$D$3:F$106,3,FALSE)</f>
        <v>Social Studies</v>
      </c>
      <c r="C1882" t="s">
        <v>314</v>
      </c>
      <c r="D1882">
        <v>818</v>
      </c>
      <c r="E1882" t="s">
        <v>729</v>
      </c>
      <c r="F1882" t="s">
        <v>321</v>
      </c>
      <c r="G1882" t="s">
        <v>319</v>
      </c>
      <c r="H1882" s="502">
        <v>52917</v>
      </c>
      <c r="I1882" s="415">
        <v>77620.284</v>
      </c>
      <c r="J1882" s="415">
        <v>64683.57</v>
      </c>
      <c r="K1882" s="415">
        <v>58763.88</v>
      </c>
      <c r="L1882" s="415">
        <v>68013.460000000006</v>
      </c>
      <c r="M1882" s="415">
        <v>32870.25</v>
      </c>
      <c r="N1882" s="415">
        <v>30642.99</v>
      </c>
      <c r="O1882" s="415">
        <v>29453.040000000001</v>
      </c>
      <c r="P1882" s="415">
        <v>45876.39</v>
      </c>
      <c r="Q1882" s="481">
        <f t="shared" si="75"/>
        <v>-12936.714</v>
      </c>
    </row>
    <row r="1883" spans="1:17" outlineLevel="2" x14ac:dyDescent="0.3">
      <c r="A1883" s="366" t="str">
        <f>IFERROR(VLOOKUP(RIGHT(E1883,3)+0,[1]SchLocTable!$A$2:$B$47,2,FALSE)," ")</f>
        <v>BMA HS</v>
      </c>
      <c r="B1883" s="366" t="str">
        <f>VLOOKUP(VALUE(D1883),$D$3:F$106,3,FALSE)</f>
        <v>Social Studies</v>
      </c>
      <c r="C1883" t="s">
        <v>314</v>
      </c>
      <c r="D1883">
        <v>818</v>
      </c>
      <c r="E1883" t="s">
        <v>729</v>
      </c>
      <c r="F1883" t="s">
        <v>318</v>
      </c>
      <c r="G1883" t="s">
        <v>319</v>
      </c>
      <c r="H1883" s="502">
        <v>51140</v>
      </c>
      <c r="I1883" s="415">
        <v>900</v>
      </c>
      <c r="J1883" s="415">
        <v>0</v>
      </c>
      <c r="K1883" s="415">
        <v>900</v>
      </c>
      <c r="L1883" s="415">
        <v>900</v>
      </c>
      <c r="M1883" s="415">
        <v>0</v>
      </c>
      <c r="N1883" s="415">
        <v>0</v>
      </c>
      <c r="O1883" s="415">
        <v>0</v>
      </c>
      <c r="P1883" s="415">
        <v>2600</v>
      </c>
      <c r="Q1883" s="481">
        <f t="shared" si="75"/>
        <v>-900</v>
      </c>
    </row>
    <row r="1884" spans="1:17" outlineLevel="2" x14ac:dyDescent="0.3">
      <c r="A1884" s="366" t="str">
        <f>IFERROR(VLOOKUP(RIGHT(E1884,3)+0,[1]SchLocTable!$A$2:$B$47,2,FALSE)," ")</f>
        <v>BMA HS</v>
      </c>
      <c r="B1884" s="366" t="str">
        <f>VLOOKUP(VALUE(D1884),$D$3:F$106,3,FALSE)</f>
        <v>Social Studies</v>
      </c>
      <c r="C1884" t="s">
        <v>314</v>
      </c>
      <c r="D1884">
        <v>818</v>
      </c>
      <c r="E1884" t="s">
        <v>729</v>
      </c>
      <c r="F1884" t="s">
        <v>320</v>
      </c>
      <c r="G1884" t="s">
        <v>319</v>
      </c>
      <c r="H1884" s="502">
        <v>52360</v>
      </c>
      <c r="I1884" s="415">
        <v>3868.4513709400003</v>
      </c>
      <c r="J1884" s="415">
        <v>3640.09</v>
      </c>
      <c r="K1884" s="415">
        <v>3133</v>
      </c>
      <c r="L1884" s="415">
        <v>3667.06</v>
      </c>
      <c r="M1884" s="415">
        <v>2802.74</v>
      </c>
      <c r="N1884" s="415">
        <v>2999.68</v>
      </c>
      <c r="O1884" s="415">
        <v>2833.58</v>
      </c>
      <c r="P1884" s="415">
        <v>1717.58</v>
      </c>
      <c r="Q1884" s="481">
        <f t="shared" si="75"/>
        <v>-228.36137094000014</v>
      </c>
    </row>
    <row r="1885" spans="1:17" outlineLevel="2" x14ac:dyDescent="0.3">
      <c r="A1885" s="366" t="str">
        <f>IFERROR(VLOOKUP(RIGHT(E1885,3)+0,[1]SchLocTable!$A$2:$B$47,2,FALSE)," ")</f>
        <v>BMA HS</v>
      </c>
      <c r="B1885" s="366" t="str">
        <f>VLOOKUP(VALUE(D1885),$D$3:F$106,3,FALSE)</f>
        <v>Social Studies</v>
      </c>
      <c r="C1885" t="s">
        <v>314</v>
      </c>
      <c r="D1885">
        <v>818</v>
      </c>
      <c r="E1885" t="s">
        <v>729</v>
      </c>
      <c r="F1885" t="s">
        <v>324</v>
      </c>
      <c r="G1885" t="s">
        <v>319</v>
      </c>
      <c r="H1885" s="502">
        <v>52385</v>
      </c>
      <c r="I1885" s="415">
        <v>0</v>
      </c>
      <c r="J1885" s="415">
        <v>0</v>
      </c>
      <c r="K1885" s="415">
        <v>0</v>
      </c>
      <c r="L1885" s="415">
        <v>567.1</v>
      </c>
      <c r="M1885" s="415">
        <v>0</v>
      </c>
      <c r="N1885" s="415">
        <v>0</v>
      </c>
      <c r="O1885" s="415">
        <v>0</v>
      </c>
      <c r="P1885" s="415">
        <v>0</v>
      </c>
      <c r="Q1885" s="481">
        <f t="shared" si="75"/>
        <v>0</v>
      </c>
    </row>
    <row r="1886" spans="1:17" outlineLevel="2" x14ac:dyDescent="0.3">
      <c r="A1886" s="366" t="str">
        <f>IFERROR(VLOOKUP(RIGHT(E1886,3)+0,[1]SchLocTable!$A$2:$B$47,2,FALSE)," ")</f>
        <v>Park City Magnet</v>
      </c>
      <c r="B1886" s="366" t="str">
        <f>VLOOKUP(VALUE(D1886),$D$3:F$106,3,FALSE)</f>
        <v>Social Studies</v>
      </c>
      <c r="C1886" t="s">
        <v>314</v>
      </c>
      <c r="D1886">
        <v>818</v>
      </c>
      <c r="E1886" t="s">
        <v>730</v>
      </c>
      <c r="F1886" t="s">
        <v>316</v>
      </c>
      <c r="G1886">
        <v>1</v>
      </c>
      <c r="H1886" s="502">
        <v>51000</v>
      </c>
      <c r="I1886" s="415">
        <v>110428.46490000001</v>
      </c>
      <c r="J1886" s="415">
        <v>105070</v>
      </c>
      <c r="K1886" s="415">
        <v>102757.98</v>
      </c>
      <c r="L1886" s="415">
        <v>93223</v>
      </c>
      <c r="M1886" s="415">
        <v>88897.12</v>
      </c>
      <c r="N1886" s="415">
        <v>83106.92</v>
      </c>
      <c r="O1886" s="415">
        <v>77032.02</v>
      </c>
      <c r="P1886" s="415">
        <v>75819.12</v>
      </c>
      <c r="Q1886" s="481">
        <f t="shared" si="75"/>
        <v>-5358.4649000000063</v>
      </c>
    </row>
    <row r="1887" spans="1:17" outlineLevel="2" x14ac:dyDescent="0.3">
      <c r="A1887" s="366" t="str">
        <f>IFERROR(VLOOKUP(RIGHT(E1887,3)+0,[1]SchLocTable!$A$2:$B$47,2,FALSE)," ")</f>
        <v>Park City Magnet</v>
      </c>
      <c r="B1887" s="366" t="str">
        <f>VLOOKUP(VALUE(D1887),$D$3:F$106,3,FALSE)</f>
        <v>Social Studies</v>
      </c>
      <c r="C1887" t="s">
        <v>314</v>
      </c>
      <c r="D1887">
        <v>818</v>
      </c>
      <c r="E1887" t="s">
        <v>730</v>
      </c>
      <c r="F1887" t="s">
        <v>321</v>
      </c>
      <c r="G1887" t="s">
        <v>319</v>
      </c>
      <c r="H1887" s="502">
        <v>52917</v>
      </c>
      <c r="I1887" s="415">
        <v>15644.663999999999</v>
      </c>
      <c r="J1887" s="415">
        <v>13037.22</v>
      </c>
      <c r="K1887" s="415">
        <v>11844</v>
      </c>
      <c r="L1887" s="415">
        <v>11684.82</v>
      </c>
      <c r="M1887" s="415">
        <v>10435</v>
      </c>
      <c r="N1887" s="415">
        <v>10232.879999999999</v>
      </c>
      <c r="O1887" s="415">
        <v>9817.68</v>
      </c>
      <c r="P1887" s="415">
        <v>9245.67</v>
      </c>
      <c r="Q1887" s="481">
        <f t="shared" si="75"/>
        <v>-2607.4439999999995</v>
      </c>
    </row>
    <row r="1888" spans="1:17" outlineLevel="2" x14ac:dyDescent="0.3">
      <c r="A1888" s="366" t="str">
        <f>IFERROR(VLOOKUP(RIGHT(E1888,3)+0,[1]SchLocTable!$A$2:$B$47,2,FALSE)," ")</f>
        <v>Park City Magnet</v>
      </c>
      <c r="B1888" s="366" t="str">
        <f>VLOOKUP(VALUE(D1888),$D$3:F$106,3,FALSE)</f>
        <v>Social Studies</v>
      </c>
      <c r="C1888" t="s">
        <v>314</v>
      </c>
      <c r="D1888">
        <v>818</v>
      </c>
      <c r="E1888" t="s">
        <v>730</v>
      </c>
      <c r="F1888" t="s">
        <v>318</v>
      </c>
      <c r="G1888" t="s">
        <v>319</v>
      </c>
      <c r="H1888" s="502">
        <v>51140</v>
      </c>
      <c r="I1888" s="415">
        <v>900</v>
      </c>
      <c r="J1888" s="415">
        <v>0</v>
      </c>
      <c r="K1888" s="415">
        <v>900</v>
      </c>
      <c r="L1888" s="415">
        <v>900</v>
      </c>
      <c r="M1888" s="415">
        <v>900</v>
      </c>
      <c r="N1888" s="415">
        <v>900</v>
      </c>
      <c r="O1888" s="415">
        <v>900</v>
      </c>
      <c r="P1888" s="415">
        <v>0</v>
      </c>
      <c r="Q1888" s="481">
        <f t="shared" si="75"/>
        <v>-900</v>
      </c>
    </row>
    <row r="1889" spans="1:17" outlineLevel="2" x14ac:dyDescent="0.3">
      <c r="A1889" s="366" t="str">
        <f>IFERROR(VLOOKUP(RIGHT(E1889,3)+0,[1]SchLocTable!$A$2:$B$47,2,FALSE)," ")</f>
        <v>Park City Magnet</v>
      </c>
      <c r="B1889" s="366" t="str">
        <f>VLOOKUP(VALUE(D1889),$D$3:F$106,3,FALSE)</f>
        <v>Social Studies</v>
      </c>
      <c r="C1889" t="s">
        <v>314</v>
      </c>
      <c r="D1889">
        <v>818</v>
      </c>
      <c r="E1889" t="s">
        <v>730</v>
      </c>
      <c r="F1889" t="s">
        <v>320</v>
      </c>
      <c r="G1889" t="s">
        <v>319</v>
      </c>
      <c r="H1889" s="502">
        <v>52360</v>
      </c>
      <c r="I1889" s="415">
        <v>1601.2127410500002</v>
      </c>
      <c r="J1889" s="415">
        <v>1466</v>
      </c>
      <c r="K1889" s="415">
        <v>1452.48</v>
      </c>
      <c r="L1889" s="415">
        <v>1316.44</v>
      </c>
      <c r="M1889" s="415">
        <v>1259.96</v>
      </c>
      <c r="N1889" s="415">
        <v>1178.1300000000001</v>
      </c>
      <c r="O1889" s="415">
        <v>1092.71</v>
      </c>
      <c r="P1889" s="415">
        <v>1064.74</v>
      </c>
      <c r="Q1889" s="481">
        <f t="shared" si="75"/>
        <v>-135.2127410500002</v>
      </c>
    </row>
    <row r="1890" spans="1:17" outlineLevel="2" x14ac:dyDescent="0.3">
      <c r="A1890" s="366" t="str">
        <f>IFERROR(VLOOKUP(RIGHT(E1890,3)+0,[1]SchLocTable!$A$2:$B$47,2,FALSE)," ")</f>
        <v>Zoo Science HS</v>
      </c>
      <c r="B1890" s="366" t="str">
        <f>VLOOKUP(VALUE(D1890),$D$3:F$106,3,FALSE)</f>
        <v>Social Studies</v>
      </c>
      <c r="C1890" t="s">
        <v>314</v>
      </c>
      <c r="D1890">
        <v>818</v>
      </c>
      <c r="E1890" t="s">
        <v>731</v>
      </c>
      <c r="F1890" t="s">
        <v>316</v>
      </c>
      <c r="G1890">
        <v>2</v>
      </c>
      <c r="H1890" s="502">
        <v>51000</v>
      </c>
      <c r="I1890" s="415">
        <v>180841.28192000001</v>
      </c>
      <c r="J1890" s="415">
        <v>66996</v>
      </c>
      <c r="K1890" s="415">
        <v>166729.94</v>
      </c>
      <c r="L1890" s="415">
        <v>60342.879999999997</v>
      </c>
      <c r="M1890" s="415">
        <v>32593.919999999998</v>
      </c>
      <c r="N1890" s="415">
        <v>52042.12</v>
      </c>
      <c r="O1890" s="415">
        <v>38320.92</v>
      </c>
      <c r="P1890" s="415">
        <v>73636.94</v>
      </c>
      <c r="Q1890" s="481">
        <f t="shared" si="75"/>
        <v>-113845.28192000001</v>
      </c>
    </row>
    <row r="1891" spans="1:17" outlineLevel="2" x14ac:dyDescent="0.3">
      <c r="A1891" s="366" t="str">
        <f>IFERROR(VLOOKUP(RIGHT(E1891,3)+0,[1]SchLocTable!$A$2:$B$47,2,FALSE)," ")</f>
        <v>Zoo Science HS</v>
      </c>
      <c r="B1891" s="366" t="str">
        <f>VLOOKUP(VALUE(D1891),$D$3:F$106,3,FALSE)</f>
        <v>Social Studies</v>
      </c>
      <c r="C1891" t="s">
        <v>314</v>
      </c>
      <c r="D1891">
        <v>818</v>
      </c>
      <c r="E1891" t="s">
        <v>731</v>
      </c>
      <c r="F1891" t="s">
        <v>321</v>
      </c>
      <c r="G1891" t="s">
        <v>319</v>
      </c>
      <c r="H1891" s="502">
        <v>52917</v>
      </c>
      <c r="I1891" s="415">
        <v>83461.644</v>
      </c>
      <c r="J1891" s="415">
        <v>47589</v>
      </c>
      <c r="K1891" s="415">
        <v>63114.66</v>
      </c>
      <c r="L1891" s="415">
        <v>34606.949999999997</v>
      </c>
      <c r="M1891" s="415">
        <v>36089.1</v>
      </c>
      <c r="N1891" s="415">
        <v>30308.67</v>
      </c>
      <c r="O1891" s="415">
        <v>29077.5</v>
      </c>
      <c r="P1891" s="415">
        <v>22186.29</v>
      </c>
      <c r="Q1891" s="481">
        <f t="shared" si="75"/>
        <v>-35872.644</v>
      </c>
    </row>
    <row r="1892" spans="1:17" outlineLevel="2" x14ac:dyDescent="0.3">
      <c r="A1892" s="366" t="str">
        <f>IFERROR(VLOOKUP(RIGHT(E1892,3)+0,[1]SchLocTable!$A$2:$B$47,2,FALSE)," ")</f>
        <v>Zoo Science HS</v>
      </c>
      <c r="B1892" s="366" t="str">
        <f>VLOOKUP(VALUE(D1892),$D$3:F$106,3,FALSE)</f>
        <v>Social Studies</v>
      </c>
      <c r="C1892" t="s">
        <v>314</v>
      </c>
      <c r="D1892">
        <v>818</v>
      </c>
      <c r="E1892" t="s">
        <v>731</v>
      </c>
      <c r="F1892" t="s">
        <v>318</v>
      </c>
      <c r="G1892" t="s">
        <v>319</v>
      </c>
      <c r="H1892" s="502">
        <v>51140</v>
      </c>
      <c r="I1892" s="415">
        <v>900</v>
      </c>
      <c r="J1892" s="415">
        <v>0</v>
      </c>
      <c r="K1892" s="415">
        <v>900</v>
      </c>
      <c r="L1892" s="415">
        <v>0</v>
      </c>
      <c r="M1892" s="415">
        <v>0</v>
      </c>
      <c r="N1892" s="415">
        <v>0</v>
      </c>
      <c r="O1892" s="415">
        <v>0</v>
      </c>
      <c r="P1892" s="415">
        <v>2600</v>
      </c>
      <c r="Q1892" s="481">
        <f t="shared" si="75"/>
        <v>-900</v>
      </c>
    </row>
    <row r="1893" spans="1:17" outlineLevel="2" x14ac:dyDescent="0.3">
      <c r="A1893" s="366" t="str">
        <f>IFERROR(VLOOKUP(RIGHT(E1893,3)+0,[1]SchLocTable!$A$2:$B$47,2,FALSE)," ")</f>
        <v>Zoo Science HS</v>
      </c>
      <c r="B1893" s="366" t="str">
        <f>VLOOKUP(VALUE(D1893),$D$3:F$106,3,FALSE)</f>
        <v>Social Studies</v>
      </c>
      <c r="C1893" t="s">
        <v>314</v>
      </c>
      <c r="D1893">
        <v>818</v>
      </c>
      <c r="E1893" t="s">
        <v>731</v>
      </c>
      <c r="F1893" t="s">
        <v>320</v>
      </c>
      <c r="G1893" t="s">
        <v>319</v>
      </c>
      <c r="H1893" s="502">
        <v>52360</v>
      </c>
      <c r="I1893" s="415">
        <v>2622.1985878400001</v>
      </c>
      <c r="J1893" s="415">
        <v>762</v>
      </c>
      <c r="K1893" s="415">
        <v>2160.21</v>
      </c>
      <c r="L1893" s="415">
        <v>731.68</v>
      </c>
      <c r="M1893" s="415">
        <v>781.18</v>
      </c>
      <c r="N1893" s="415">
        <v>636.28</v>
      </c>
      <c r="O1893" s="415">
        <v>619.22</v>
      </c>
      <c r="P1893" s="415">
        <v>0</v>
      </c>
      <c r="Q1893" s="481">
        <f t="shared" si="75"/>
        <v>-1860.1985878400001</v>
      </c>
    </row>
    <row r="1894" spans="1:17" outlineLevel="2" x14ac:dyDescent="0.3">
      <c r="A1894" s="366" t="str">
        <f>IFERROR(VLOOKUP(RIGHT(E1894,3)+0,[1]SchLocTable!$A$2:$B$47,2,FALSE)," ")</f>
        <v>Classical Studies Academy</v>
      </c>
      <c r="B1894" s="366" t="str">
        <f>VLOOKUP(VALUE(D1894),$D$3:F$106,3,FALSE)</f>
        <v>Social Studies</v>
      </c>
      <c r="C1894" t="s">
        <v>314</v>
      </c>
      <c r="D1894">
        <v>818</v>
      </c>
      <c r="E1894" t="s">
        <v>732</v>
      </c>
      <c r="F1894" t="s">
        <v>316</v>
      </c>
      <c r="G1894">
        <v>1</v>
      </c>
      <c r="H1894" s="502">
        <v>51000</v>
      </c>
      <c r="I1894" s="415">
        <v>79770.878979999994</v>
      </c>
      <c r="J1894" s="415">
        <v>75900</v>
      </c>
      <c r="K1894" s="415">
        <v>64304.09</v>
      </c>
      <c r="L1894" s="415">
        <v>50535.94</v>
      </c>
      <c r="M1894" s="415">
        <v>63339.12</v>
      </c>
      <c r="N1894" s="415">
        <v>55481.919999999998</v>
      </c>
      <c r="O1894" s="415">
        <v>0</v>
      </c>
      <c r="P1894" s="415">
        <v>52914.94</v>
      </c>
      <c r="Q1894" s="481">
        <f t="shared" si="75"/>
        <v>-3870.878979999994</v>
      </c>
    </row>
    <row r="1895" spans="1:17" outlineLevel="2" x14ac:dyDescent="0.3">
      <c r="A1895" s="366" t="str">
        <f>IFERROR(VLOOKUP(RIGHT(E1895,3)+0,[1]SchLocTable!$A$2:$B$47,2,FALSE)," ")</f>
        <v>Classical Studies Academy</v>
      </c>
      <c r="B1895" s="366" t="str">
        <f>VLOOKUP(VALUE(D1895),$D$3:F$106,3,FALSE)</f>
        <v>Social Studies</v>
      </c>
      <c r="C1895" t="s">
        <v>314</v>
      </c>
      <c r="D1895">
        <v>818</v>
      </c>
      <c r="E1895" t="s">
        <v>732</v>
      </c>
      <c r="F1895" t="s">
        <v>321</v>
      </c>
      <c r="G1895" t="s">
        <v>319</v>
      </c>
      <c r="H1895" s="502">
        <v>52917</v>
      </c>
      <c r="I1895" s="415">
        <v>46330.955999999998</v>
      </c>
      <c r="J1895" s="415">
        <v>38437</v>
      </c>
      <c r="K1895" s="415">
        <v>25054.2</v>
      </c>
      <c r="L1895" s="415">
        <v>0</v>
      </c>
      <c r="M1895" s="415">
        <v>32449.200000000001</v>
      </c>
      <c r="N1895" s="415">
        <v>0</v>
      </c>
      <c r="O1895" s="415">
        <v>0</v>
      </c>
      <c r="P1895" s="415">
        <v>6604.05</v>
      </c>
      <c r="Q1895" s="481">
        <f t="shared" si="75"/>
        <v>-7893.9559999999983</v>
      </c>
    </row>
    <row r="1896" spans="1:17" outlineLevel="2" x14ac:dyDescent="0.3">
      <c r="A1896" s="366" t="str">
        <f>IFERROR(VLOOKUP(RIGHT(E1896,3)+0,[1]SchLocTable!$A$2:$B$47,2,FALSE)," ")</f>
        <v>Classical Studies Academy</v>
      </c>
      <c r="B1896" s="366" t="str">
        <f>VLOOKUP(VALUE(D1896),$D$3:F$106,3,FALSE)</f>
        <v>Social Studies</v>
      </c>
      <c r="C1896" t="s">
        <v>314</v>
      </c>
      <c r="D1896">
        <v>818</v>
      </c>
      <c r="E1896" t="s">
        <v>732</v>
      </c>
      <c r="F1896" t="s">
        <v>320</v>
      </c>
      <c r="G1896" t="s">
        <v>319</v>
      </c>
      <c r="H1896" s="502">
        <v>52360</v>
      </c>
      <c r="I1896" s="415">
        <v>1156.67774521</v>
      </c>
      <c r="J1896" s="415">
        <v>932</v>
      </c>
      <c r="K1896" s="415">
        <v>825.47</v>
      </c>
      <c r="L1896" s="415">
        <v>732.77</v>
      </c>
      <c r="M1896" s="415">
        <v>787.68</v>
      </c>
      <c r="N1896" s="415">
        <v>804.49</v>
      </c>
      <c r="O1896" s="415">
        <v>0</v>
      </c>
      <c r="P1896" s="415">
        <v>742.53</v>
      </c>
      <c r="Q1896" s="481">
        <f t="shared" si="75"/>
        <v>-224.67774521000001</v>
      </c>
    </row>
    <row r="1897" spans="1:17" outlineLevel="2" x14ac:dyDescent="0.3">
      <c r="A1897" s="366" t="str">
        <f>IFERROR(VLOOKUP(RIGHT(E1897,3)+0,[1]SchLocTable!$A$2:$B$47,2,FALSE)," ")</f>
        <v>Tisdale</v>
      </c>
      <c r="B1897" s="366" t="str">
        <f>VLOOKUP(VALUE(D1897),$D$3:F$106,3,FALSE)</f>
        <v>Social Studies</v>
      </c>
      <c r="C1897" t="s">
        <v>314</v>
      </c>
      <c r="D1897">
        <v>818</v>
      </c>
      <c r="E1897" t="s">
        <v>733</v>
      </c>
      <c r="F1897" t="s">
        <v>316</v>
      </c>
      <c r="G1897">
        <v>2</v>
      </c>
      <c r="H1897" s="502">
        <v>51000</v>
      </c>
      <c r="I1897" s="415">
        <v>220856.92980000001</v>
      </c>
      <c r="J1897" s="415">
        <v>210140</v>
      </c>
      <c r="K1897" s="415">
        <v>196913.08</v>
      </c>
      <c r="L1897" s="415">
        <v>182120.12</v>
      </c>
      <c r="M1897" s="415">
        <v>172004.04</v>
      </c>
      <c r="N1897" s="415">
        <v>132405.04</v>
      </c>
      <c r="O1897" s="415">
        <v>127567.96</v>
      </c>
      <c r="P1897" s="415">
        <v>125559.2</v>
      </c>
      <c r="Q1897" s="481">
        <f t="shared" si="75"/>
        <v>-10716.929800000013</v>
      </c>
    </row>
    <row r="1898" spans="1:17" outlineLevel="2" x14ac:dyDescent="0.3">
      <c r="A1898" s="366" t="str">
        <f>IFERROR(VLOOKUP(RIGHT(E1898,3)+0,[1]SchLocTable!$A$2:$B$47,2,FALSE)," ")</f>
        <v>Tisdale</v>
      </c>
      <c r="B1898" s="366" t="str">
        <f>VLOOKUP(VALUE(D1898),$D$3:F$106,3,FALSE)</f>
        <v>Social Studies</v>
      </c>
      <c r="C1898" t="s">
        <v>314</v>
      </c>
      <c r="D1898">
        <v>818</v>
      </c>
      <c r="E1898" t="s">
        <v>733</v>
      </c>
      <c r="F1898" t="s">
        <v>321</v>
      </c>
      <c r="G1898" t="s">
        <v>319</v>
      </c>
      <c r="H1898" s="502">
        <v>52917</v>
      </c>
      <c r="I1898" s="415">
        <v>83975.22</v>
      </c>
      <c r="J1898" s="415">
        <v>69979.350000000006</v>
      </c>
      <c r="K1898" s="415">
        <v>63553.98</v>
      </c>
      <c r="L1898" s="415">
        <v>62683.32</v>
      </c>
      <c r="M1898" s="415">
        <v>58784.67</v>
      </c>
      <c r="N1898" s="415">
        <v>47041.03</v>
      </c>
      <c r="O1898" s="415">
        <v>24597.88</v>
      </c>
      <c r="P1898" s="415">
        <v>22186.29</v>
      </c>
      <c r="Q1898" s="481">
        <f t="shared" si="75"/>
        <v>-13995.869999999995</v>
      </c>
    </row>
    <row r="1899" spans="1:17" outlineLevel="2" x14ac:dyDescent="0.3">
      <c r="A1899" s="366" t="str">
        <f>IFERROR(VLOOKUP(RIGHT(E1899,3)+0,[1]SchLocTable!$A$2:$B$47,2,FALSE)," ")</f>
        <v>Tisdale</v>
      </c>
      <c r="B1899" s="366" t="str">
        <f>VLOOKUP(VALUE(D1899),$D$3:F$106,3,FALSE)</f>
        <v>Social Studies</v>
      </c>
      <c r="C1899" t="s">
        <v>314</v>
      </c>
      <c r="D1899">
        <v>818</v>
      </c>
      <c r="E1899" t="s">
        <v>733</v>
      </c>
      <c r="F1899" t="s">
        <v>318</v>
      </c>
      <c r="G1899" t="s">
        <v>319</v>
      </c>
      <c r="H1899" s="502">
        <v>51140</v>
      </c>
      <c r="I1899" s="415">
        <v>900</v>
      </c>
      <c r="J1899" s="415">
        <v>0</v>
      </c>
      <c r="K1899" s="415">
        <v>900</v>
      </c>
      <c r="L1899" s="415">
        <v>900</v>
      </c>
      <c r="M1899" s="415">
        <v>900</v>
      </c>
      <c r="N1899" s="415">
        <v>900</v>
      </c>
      <c r="O1899" s="415">
        <v>0</v>
      </c>
      <c r="P1899" s="415">
        <v>0</v>
      </c>
      <c r="Q1899" s="481">
        <f t="shared" si="75"/>
        <v>-900</v>
      </c>
    </row>
    <row r="1900" spans="1:17" outlineLevel="2" x14ac:dyDescent="0.3">
      <c r="A1900" s="366" t="str">
        <f>IFERROR(VLOOKUP(RIGHT(E1900,3)+0,[1]SchLocTable!$A$2:$B$47,2,FALSE)," ")</f>
        <v>Tisdale</v>
      </c>
      <c r="B1900" s="366" t="str">
        <f>VLOOKUP(VALUE(D1900),$D$3:F$106,3,FALSE)</f>
        <v>Social Studies</v>
      </c>
      <c r="C1900" t="s">
        <v>314</v>
      </c>
      <c r="D1900">
        <v>818</v>
      </c>
      <c r="E1900" t="s">
        <v>733</v>
      </c>
      <c r="F1900" t="s">
        <v>320</v>
      </c>
      <c r="G1900" t="s">
        <v>319</v>
      </c>
      <c r="H1900" s="502">
        <v>52360</v>
      </c>
      <c r="I1900" s="415">
        <v>3202.4254821000004</v>
      </c>
      <c r="J1900" s="415">
        <v>2680</v>
      </c>
      <c r="K1900" s="415">
        <v>2596.6999999999998</v>
      </c>
      <c r="L1900" s="415">
        <v>2393.87</v>
      </c>
      <c r="M1900" s="415">
        <v>2269.98</v>
      </c>
      <c r="N1900" s="415">
        <v>1747.46</v>
      </c>
      <c r="O1900" s="415">
        <v>1757.34</v>
      </c>
      <c r="P1900" s="415">
        <v>1737.1</v>
      </c>
      <c r="Q1900" s="481">
        <f t="shared" si="75"/>
        <v>-522.42548210000041</v>
      </c>
    </row>
    <row r="1901" spans="1:17" outlineLevel="2" x14ac:dyDescent="0.3">
      <c r="A1901" s="366" t="str">
        <f>IFERROR(VLOOKUP(RIGHT(E1901,3)+0,[1]SchLocTable!$A$2:$B$47,2,FALSE)," ")</f>
        <v>Read</v>
      </c>
      <c r="B1901" s="366" t="str">
        <f>VLOOKUP(VALUE(D1901),$D$3:F$106,3,FALSE)</f>
        <v>Social Studies</v>
      </c>
      <c r="C1901" t="s">
        <v>314</v>
      </c>
      <c r="D1901">
        <v>818</v>
      </c>
      <c r="E1901" t="s">
        <v>734</v>
      </c>
      <c r="F1901" t="s">
        <v>316</v>
      </c>
      <c r="G1901">
        <v>2</v>
      </c>
      <c r="H1901" s="502">
        <v>51000</v>
      </c>
      <c r="I1901" s="415">
        <v>131288.86004</v>
      </c>
      <c r="J1901" s="415">
        <v>124918</v>
      </c>
      <c r="K1901" s="415">
        <v>118864.98</v>
      </c>
      <c r="L1901" s="415">
        <v>112339.24</v>
      </c>
      <c r="M1901" s="415">
        <v>105314.04</v>
      </c>
      <c r="N1901" s="415">
        <v>101720</v>
      </c>
      <c r="O1901" s="415">
        <v>97416.02</v>
      </c>
      <c r="P1901" s="415">
        <v>95882.02</v>
      </c>
      <c r="Q1901" s="481">
        <f t="shared" si="75"/>
        <v>-6370.8600399999996</v>
      </c>
    </row>
    <row r="1902" spans="1:17" outlineLevel="2" x14ac:dyDescent="0.3">
      <c r="A1902" s="366" t="str">
        <f>IFERROR(VLOOKUP(RIGHT(E1902,3)+0,[1]SchLocTable!$A$2:$B$47,2,FALSE)," ")</f>
        <v>Read</v>
      </c>
      <c r="B1902" s="366" t="str">
        <f>VLOOKUP(VALUE(D1902),$D$3:F$106,3,FALSE)</f>
        <v>Social Studies</v>
      </c>
      <c r="C1902" t="s">
        <v>314</v>
      </c>
      <c r="D1902">
        <v>818</v>
      </c>
      <c r="E1902" t="s">
        <v>734</v>
      </c>
      <c r="F1902" t="s">
        <v>321</v>
      </c>
      <c r="G1902" t="s">
        <v>319</v>
      </c>
      <c r="H1902" s="502">
        <v>52917</v>
      </c>
      <c r="I1902" s="415">
        <v>31289.327999999998</v>
      </c>
      <c r="J1902" s="415">
        <v>26074.44</v>
      </c>
      <c r="K1902" s="415">
        <v>23688</v>
      </c>
      <c r="L1902" s="415">
        <v>23369.64</v>
      </c>
      <c r="M1902" s="415">
        <v>21913.5</v>
      </c>
      <c r="N1902" s="415">
        <v>20465.759999999998</v>
      </c>
      <c r="O1902" s="415">
        <v>19635.36</v>
      </c>
      <c r="P1902" s="415">
        <v>18491.34</v>
      </c>
      <c r="Q1902" s="481">
        <f t="shared" si="75"/>
        <v>-5214.887999999999</v>
      </c>
    </row>
    <row r="1903" spans="1:17" outlineLevel="2" x14ac:dyDescent="0.3">
      <c r="A1903" s="366" t="str">
        <f>IFERROR(VLOOKUP(RIGHT(E1903,3)+0,[1]SchLocTable!$A$2:$B$47,2,FALSE)," ")</f>
        <v>Read</v>
      </c>
      <c r="B1903" s="366" t="str">
        <f>VLOOKUP(VALUE(D1903),$D$3:F$106,3,FALSE)</f>
        <v>Social Studies</v>
      </c>
      <c r="C1903" t="s">
        <v>314</v>
      </c>
      <c r="D1903">
        <v>818</v>
      </c>
      <c r="E1903" t="s">
        <v>734</v>
      </c>
      <c r="F1903" t="s">
        <v>320</v>
      </c>
      <c r="G1903" t="s">
        <v>319</v>
      </c>
      <c r="H1903" s="502">
        <v>52360</v>
      </c>
      <c r="I1903" s="415">
        <v>1903.6884705800001</v>
      </c>
      <c r="J1903" s="415">
        <v>1670</v>
      </c>
      <c r="K1903" s="415">
        <v>1622.41</v>
      </c>
      <c r="L1903" s="415">
        <v>1532.12</v>
      </c>
      <c r="M1903" s="415">
        <v>1438.72</v>
      </c>
      <c r="N1903" s="415">
        <v>1395.02</v>
      </c>
      <c r="O1903" s="415">
        <v>1337.94</v>
      </c>
      <c r="P1903" s="415">
        <v>1321.03</v>
      </c>
      <c r="Q1903" s="481">
        <f t="shared" si="75"/>
        <v>-233.68847058000006</v>
      </c>
    </row>
    <row r="1904" spans="1:17" outlineLevel="2" x14ac:dyDescent="0.3">
      <c r="A1904" s="366" t="str">
        <f>IFERROR(VLOOKUP(RIGHT(E1904,3)+0,[1]SchLocTable!$A$2:$B$47,2,FALSE)," ")</f>
        <v>Roosevelt</v>
      </c>
      <c r="B1904" s="366" t="str">
        <f>VLOOKUP(VALUE(D1904),$D$3:F$106,3,FALSE)</f>
        <v>Social Studies</v>
      </c>
      <c r="C1904" t="s">
        <v>314</v>
      </c>
      <c r="D1904">
        <v>818</v>
      </c>
      <c r="E1904" t="s">
        <v>735</v>
      </c>
      <c r="F1904" t="s">
        <v>316</v>
      </c>
      <c r="G1904">
        <v>1</v>
      </c>
      <c r="H1904" s="502">
        <v>51000</v>
      </c>
      <c r="I1904" s="415">
        <v>77228.467940000002</v>
      </c>
      <c r="J1904" s="415">
        <v>66996</v>
      </c>
      <c r="K1904" s="415">
        <v>64557.79</v>
      </c>
      <c r="L1904" s="415">
        <v>60342.879999999997</v>
      </c>
      <c r="M1904" s="415">
        <v>57346.12</v>
      </c>
      <c r="N1904" s="415">
        <v>54993.120000000003</v>
      </c>
      <c r="O1904" s="415">
        <v>52902.98</v>
      </c>
      <c r="P1904" s="415">
        <v>47412.04</v>
      </c>
      <c r="Q1904" s="481">
        <f t="shared" si="75"/>
        <v>-10232.467940000002</v>
      </c>
    </row>
    <row r="1905" spans="1:17" outlineLevel="2" x14ac:dyDescent="0.3">
      <c r="A1905" s="366" t="str">
        <f>IFERROR(VLOOKUP(RIGHT(E1905,3)+0,[1]SchLocTable!$A$2:$B$47,2,FALSE)," ")</f>
        <v>Roosevelt</v>
      </c>
      <c r="B1905" s="366" t="str">
        <f>VLOOKUP(VALUE(D1905),$D$3:F$106,3,FALSE)</f>
        <v>Social Studies</v>
      </c>
      <c r="C1905" t="s">
        <v>314</v>
      </c>
      <c r="D1905">
        <v>818</v>
      </c>
      <c r="E1905" t="s">
        <v>735</v>
      </c>
      <c r="F1905" t="s">
        <v>321</v>
      </c>
      <c r="G1905" t="s">
        <v>319</v>
      </c>
      <c r="H1905" s="502">
        <v>52917</v>
      </c>
      <c r="I1905" s="415">
        <v>15644.663999999999</v>
      </c>
      <c r="J1905" s="415">
        <v>0</v>
      </c>
      <c r="K1905" s="415">
        <v>0</v>
      </c>
      <c r="L1905" s="415">
        <v>0</v>
      </c>
      <c r="M1905" s="415">
        <v>0</v>
      </c>
      <c r="N1905" s="415">
        <v>0</v>
      </c>
      <c r="O1905" s="415">
        <v>0</v>
      </c>
      <c r="P1905" s="415">
        <v>9245.67</v>
      </c>
      <c r="Q1905" s="481">
        <f t="shared" si="75"/>
        <v>-15644.663999999999</v>
      </c>
    </row>
    <row r="1906" spans="1:17" outlineLevel="2" x14ac:dyDescent="0.3">
      <c r="A1906" s="366" t="str">
        <f>IFERROR(VLOOKUP(RIGHT(E1906,3)+0,[1]SchLocTable!$A$2:$B$47,2,FALSE)," ")</f>
        <v>Roosevelt</v>
      </c>
      <c r="B1906" s="366" t="str">
        <f>VLOOKUP(VALUE(D1906),$D$3:F$106,3,FALSE)</f>
        <v>Social Studies</v>
      </c>
      <c r="C1906" t="s">
        <v>314</v>
      </c>
      <c r="D1906">
        <v>818</v>
      </c>
      <c r="E1906" t="s">
        <v>735</v>
      </c>
      <c r="F1906" t="s">
        <v>320</v>
      </c>
      <c r="G1906" t="s">
        <v>319</v>
      </c>
      <c r="H1906" s="502">
        <v>52360</v>
      </c>
      <c r="I1906" s="415">
        <v>1119.8127851300001</v>
      </c>
      <c r="J1906" s="415">
        <v>963.25</v>
      </c>
      <c r="K1906" s="415">
        <v>936.08</v>
      </c>
      <c r="L1906" s="415">
        <v>874.98</v>
      </c>
      <c r="M1906" s="415">
        <v>831.52</v>
      </c>
      <c r="N1906" s="415">
        <v>797.41</v>
      </c>
      <c r="O1906" s="415">
        <v>767.08</v>
      </c>
      <c r="P1906" s="415">
        <v>652.86</v>
      </c>
      <c r="Q1906" s="481">
        <f t="shared" si="75"/>
        <v>-156.56278513000007</v>
      </c>
    </row>
    <row r="1907" spans="1:17" outlineLevel="2" x14ac:dyDescent="0.3">
      <c r="A1907" s="366" t="str">
        <f>IFERROR(VLOOKUP(RIGHT(E1907,3)+0,[1]SchLocTable!$A$2:$B$47,2,FALSE)," ")</f>
        <v>Waltersville</v>
      </c>
      <c r="B1907" s="366" t="str">
        <f>VLOOKUP(VALUE(D1907),$D$3:F$106,3,FALSE)</f>
        <v>Social Studies</v>
      </c>
      <c r="C1907" t="s">
        <v>314</v>
      </c>
      <c r="D1907">
        <v>818</v>
      </c>
      <c r="E1907" t="s">
        <v>736</v>
      </c>
      <c r="F1907" t="s">
        <v>316</v>
      </c>
      <c r="G1907">
        <v>1</v>
      </c>
      <c r="H1907" s="502">
        <v>51000</v>
      </c>
      <c r="I1907" s="415">
        <v>110428.46490000001</v>
      </c>
      <c r="J1907" s="415">
        <v>95393</v>
      </c>
      <c r="K1907" s="415">
        <v>93293.98</v>
      </c>
      <c r="L1907" s="415">
        <v>91241.02</v>
      </c>
      <c r="M1907" s="415">
        <v>89892.92</v>
      </c>
      <c r="N1907" s="415">
        <v>88563.93</v>
      </c>
      <c r="O1907" s="415">
        <v>87254.96</v>
      </c>
      <c r="P1907" s="415">
        <v>85881.12</v>
      </c>
      <c r="Q1907" s="481">
        <f t="shared" si="75"/>
        <v>-15035.464900000006</v>
      </c>
    </row>
    <row r="1908" spans="1:17" outlineLevel="2" x14ac:dyDescent="0.3">
      <c r="A1908" s="366" t="str">
        <f>IFERROR(VLOOKUP(RIGHT(E1908,3)+0,[1]SchLocTable!$A$2:$B$47,2,FALSE)," ")</f>
        <v>Waltersville</v>
      </c>
      <c r="B1908" s="366" t="str">
        <f>VLOOKUP(VALUE(D1908),$D$3:F$106,3,FALSE)</f>
        <v>Social Studies</v>
      </c>
      <c r="C1908" t="s">
        <v>314</v>
      </c>
      <c r="D1908">
        <v>818</v>
      </c>
      <c r="E1908" t="s">
        <v>736</v>
      </c>
      <c r="F1908" t="s">
        <v>321</v>
      </c>
      <c r="G1908" t="s">
        <v>319</v>
      </c>
      <c r="H1908" s="502">
        <v>52917</v>
      </c>
      <c r="I1908" s="415">
        <v>15644.663999999999</v>
      </c>
      <c r="J1908" s="415">
        <v>13037.22</v>
      </c>
      <c r="K1908" s="415">
        <v>11844</v>
      </c>
      <c r="L1908" s="415">
        <v>11684.82</v>
      </c>
      <c r="M1908" s="415">
        <v>17547.63</v>
      </c>
      <c r="N1908" s="415">
        <v>24562.23</v>
      </c>
      <c r="O1908" s="415">
        <v>23581.07</v>
      </c>
      <c r="P1908" s="415">
        <v>22186.29</v>
      </c>
      <c r="Q1908" s="481">
        <f t="shared" si="75"/>
        <v>-2607.4439999999995</v>
      </c>
    </row>
    <row r="1909" spans="1:17" outlineLevel="2" x14ac:dyDescent="0.3">
      <c r="A1909" s="366" t="str">
        <f>IFERROR(VLOOKUP(RIGHT(E1909,3)+0,[1]SchLocTable!$A$2:$B$47,2,FALSE)," ")</f>
        <v>Waltersville</v>
      </c>
      <c r="B1909" s="366" t="str">
        <f>VLOOKUP(VALUE(D1909),$D$3:F$106,3,FALSE)</f>
        <v>Social Studies</v>
      </c>
      <c r="C1909" t="s">
        <v>314</v>
      </c>
      <c r="D1909">
        <v>818</v>
      </c>
      <c r="E1909" t="s">
        <v>736</v>
      </c>
      <c r="F1909" t="s">
        <v>318</v>
      </c>
      <c r="G1909" t="s">
        <v>319</v>
      </c>
      <c r="H1909" s="502">
        <v>51140</v>
      </c>
      <c r="I1909" s="415">
        <v>1300</v>
      </c>
      <c r="J1909" s="415">
        <v>0</v>
      </c>
      <c r="K1909" s="415">
        <v>1200</v>
      </c>
      <c r="L1909" s="415">
        <v>1200</v>
      </c>
      <c r="M1909" s="415">
        <v>1200</v>
      </c>
      <c r="N1909" s="415">
        <v>1200</v>
      </c>
      <c r="O1909" s="415">
        <v>1200</v>
      </c>
      <c r="P1909" s="415">
        <v>1100</v>
      </c>
      <c r="Q1909" s="481">
        <f t="shared" si="75"/>
        <v>-1300</v>
      </c>
    </row>
    <row r="1910" spans="1:17" outlineLevel="2" x14ac:dyDescent="0.3">
      <c r="A1910" s="366" t="str">
        <f>IFERROR(VLOOKUP(RIGHT(E1910,3)+0,[1]SchLocTable!$A$2:$B$47,2,FALSE)," ")</f>
        <v>Waltersville</v>
      </c>
      <c r="B1910" s="366" t="str">
        <f>VLOOKUP(VALUE(D1910),$D$3:F$106,3,FALSE)</f>
        <v>Social Studies</v>
      </c>
      <c r="C1910" t="s">
        <v>314</v>
      </c>
      <c r="D1910">
        <v>818</v>
      </c>
      <c r="E1910" t="s">
        <v>736</v>
      </c>
      <c r="F1910" t="s">
        <v>320</v>
      </c>
      <c r="G1910" t="s">
        <v>319</v>
      </c>
      <c r="H1910" s="502">
        <v>52360</v>
      </c>
      <c r="I1910" s="415">
        <v>1601.2127410500002</v>
      </c>
      <c r="J1910" s="415">
        <v>1331</v>
      </c>
      <c r="K1910" s="415">
        <v>1319.59</v>
      </c>
      <c r="L1910" s="415">
        <v>1292</v>
      </c>
      <c r="M1910" s="415">
        <v>1250.02</v>
      </c>
      <c r="N1910" s="415">
        <v>1205.3900000000001</v>
      </c>
      <c r="O1910" s="415">
        <v>1192.8</v>
      </c>
      <c r="P1910" s="415">
        <v>1177.72</v>
      </c>
      <c r="Q1910" s="481">
        <f t="shared" si="75"/>
        <v>-270.2127410500002</v>
      </c>
    </row>
    <row r="1911" spans="1:17" outlineLevel="2" x14ac:dyDescent="0.3">
      <c r="A1911" s="366" t="str">
        <f>IFERROR(VLOOKUP(RIGHT(E1911,3)+0,[1]SchLocTable!$A$2:$B$47,2,FALSE)," ")</f>
        <v>Claytor</v>
      </c>
      <c r="B1911" s="366" t="str">
        <f>VLOOKUP(VALUE(D1911),$D$3:F$106,3,FALSE)</f>
        <v>Social Studies</v>
      </c>
      <c r="C1911" t="s">
        <v>314</v>
      </c>
      <c r="D1911">
        <v>818</v>
      </c>
      <c r="E1911" t="s">
        <v>737</v>
      </c>
      <c r="F1911" t="s">
        <v>316</v>
      </c>
      <c r="G1911">
        <v>1</v>
      </c>
      <c r="H1911" s="502">
        <v>51000</v>
      </c>
      <c r="I1911" s="415">
        <v>64054.33008</v>
      </c>
      <c r="J1911" s="415">
        <v>60946</v>
      </c>
      <c r="K1911" s="415">
        <v>57786.239999999998</v>
      </c>
      <c r="L1911" s="415">
        <v>52618.559999999998</v>
      </c>
      <c r="M1911" s="415">
        <v>50536.2</v>
      </c>
      <c r="N1911" s="415">
        <v>97548.88</v>
      </c>
      <c r="O1911" s="415">
        <v>96106.92</v>
      </c>
      <c r="P1911" s="415">
        <v>94593.98</v>
      </c>
      <c r="Q1911" s="481">
        <f t="shared" si="75"/>
        <v>-3108.3300799999997</v>
      </c>
    </row>
    <row r="1912" spans="1:17" outlineLevel="2" x14ac:dyDescent="0.3">
      <c r="A1912" s="366" t="str">
        <f>IFERROR(VLOOKUP(RIGHT(E1912,3)+0,[1]SchLocTable!$A$2:$B$47,2,FALSE)," ")</f>
        <v>Claytor</v>
      </c>
      <c r="B1912" s="366" t="str">
        <f>VLOOKUP(VALUE(D1912),$D$3:F$106,3,FALSE)</f>
        <v>Social Studies</v>
      </c>
      <c r="C1912" t="s">
        <v>314</v>
      </c>
      <c r="D1912">
        <v>818</v>
      </c>
      <c r="E1912" t="s">
        <v>737</v>
      </c>
      <c r="F1912" t="s">
        <v>321</v>
      </c>
      <c r="G1912" t="s">
        <v>319</v>
      </c>
      <c r="H1912" s="502">
        <v>52917</v>
      </c>
      <c r="I1912" s="415">
        <v>15644.663999999999</v>
      </c>
      <c r="J1912" s="415">
        <v>12979</v>
      </c>
      <c r="K1912" s="415">
        <v>11280</v>
      </c>
      <c r="L1912" s="415">
        <v>34606.949999999997</v>
      </c>
      <c r="M1912" s="415">
        <v>29358.799999999999</v>
      </c>
      <c r="N1912" s="415">
        <v>0</v>
      </c>
      <c r="O1912" s="415">
        <v>0</v>
      </c>
      <c r="P1912" s="415">
        <v>0</v>
      </c>
      <c r="Q1912" s="481">
        <f t="shared" si="75"/>
        <v>-2665.6639999999989</v>
      </c>
    </row>
    <row r="1913" spans="1:17" outlineLevel="2" x14ac:dyDescent="0.3">
      <c r="A1913" s="366" t="str">
        <f>IFERROR(VLOOKUP(RIGHT(E1913,3)+0,[1]SchLocTable!$A$2:$B$47,2,FALSE)," ")</f>
        <v>Claytor</v>
      </c>
      <c r="B1913" s="366" t="str">
        <f>VLOOKUP(VALUE(D1913),$D$3:F$106,3,FALSE)</f>
        <v>Social Studies</v>
      </c>
      <c r="C1913" t="s">
        <v>314</v>
      </c>
      <c r="D1913">
        <v>818</v>
      </c>
      <c r="E1913" t="s">
        <v>737</v>
      </c>
      <c r="F1913" t="s">
        <v>320</v>
      </c>
      <c r="G1913" t="s">
        <v>319</v>
      </c>
      <c r="H1913" s="502">
        <v>52360</v>
      </c>
      <c r="I1913" s="415">
        <v>928.78778616</v>
      </c>
      <c r="J1913" s="415">
        <v>827</v>
      </c>
      <c r="K1913" s="415">
        <v>789.75</v>
      </c>
      <c r="L1913" s="415">
        <v>619.66</v>
      </c>
      <c r="M1913" s="415">
        <v>614.49</v>
      </c>
      <c r="N1913" s="415">
        <v>1427.51</v>
      </c>
      <c r="O1913" s="415">
        <v>1406.61</v>
      </c>
      <c r="P1913" s="415">
        <v>1371.61</v>
      </c>
      <c r="Q1913" s="481">
        <f t="shared" si="75"/>
        <v>-101.78778616</v>
      </c>
    </row>
    <row r="1914" spans="1:17" outlineLevel="2" x14ac:dyDescent="0.3">
      <c r="A1914" s="366" t="str">
        <f>IFERROR(VLOOKUP(RIGHT(E1914,3)+0,[1]SchLocTable!$A$2:$B$47,2,FALSE)," ")</f>
        <v>Claytor</v>
      </c>
      <c r="B1914" s="366" t="str">
        <f>VLOOKUP(VALUE(D1914),$D$3:F$106,3,FALSE)</f>
        <v>Social Studies</v>
      </c>
      <c r="C1914" t="s">
        <v>314</v>
      </c>
      <c r="D1914">
        <v>818</v>
      </c>
      <c r="E1914" t="s">
        <v>737</v>
      </c>
      <c r="F1914" t="s">
        <v>324</v>
      </c>
      <c r="G1914" t="s">
        <v>319</v>
      </c>
      <c r="H1914" s="502">
        <v>52385</v>
      </c>
      <c r="I1914" s="415">
        <v>0</v>
      </c>
      <c r="J1914" s="415">
        <v>0</v>
      </c>
      <c r="K1914" s="415">
        <v>98.2</v>
      </c>
      <c r="L1914" s="415">
        <v>0</v>
      </c>
      <c r="M1914" s="415">
        <v>267.88</v>
      </c>
      <c r="N1914" s="415">
        <v>0</v>
      </c>
      <c r="O1914" s="415">
        <v>0</v>
      </c>
      <c r="P1914" s="415">
        <v>0</v>
      </c>
      <c r="Q1914" s="481">
        <f t="shared" si="75"/>
        <v>0</v>
      </c>
    </row>
    <row r="1915" spans="1:17" outlineLevel="2" x14ac:dyDescent="0.3">
      <c r="A1915" s="366" t="str">
        <f>IFERROR(VLOOKUP(RIGHT(E1915,3)+0,[1]SchLocTable!$A$2:$B$47,2,FALSE)," ")</f>
        <v>Johnson</v>
      </c>
      <c r="B1915" s="366" t="str">
        <f>VLOOKUP(VALUE(D1915),$D$3:F$106,3,FALSE)</f>
        <v>Social Studies</v>
      </c>
      <c r="C1915" t="s">
        <v>314</v>
      </c>
      <c r="D1915">
        <v>818</v>
      </c>
      <c r="E1915" t="s">
        <v>738</v>
      </c>
      <c r="F1915" t="s">
        <v>316</v>
      </c>
      <c r="G1915">
        <v>2</v>
      </c>
      <c r="H1915" s="502">
        <v>51000</v>
      </c>
      <c r="I1915" s="415">
        <v>220856.92980000001</v>
      </c>
      <c r="J1915" s="415">
        <v>200463</v>
      </c>
      <c r="K1915" s="415">
        <v>196051.96</v>
      </c>
      <c r="L1915" s="415">
        <v>191738.04</v>
      </c>
      <c r="M1915" s="415">
        <v>183115.92</v>
      </c>
      <c r="N1915" s="415">
        <v>177461.18</v>
      </c>
      <c r="O1915" s="415">
        <v>170361.88</v>
      </c>
      <c r="P1915" s="415">
        <v>167679.20000000001</v>
      </c>
      <c r="Q1915" s="481">
        <f t="shared" si="75"/>
        <v>-20393.929800000013</v>
      </c>
    </row>
    <row r="1916" spans="1:17" outlineLevel="2" x14ac:dyDescent="0.3">
      <c r="A1916" s="366" t="str">
        <f>IFERROR(VLOOKUP(RIGHT(E1916,3)+0,[1]SchLocTable!$A$2:$B$47,2,FALSE)," ")</f>
        <v>Johnson</v>
      </c>
      <c r="B1916" s="366" t="str">
        <f>VLOOKUP(VALUE(D1916),$D$3:F$106,3,FALSE)</f>
        <v>Social Studies</v>
      </c>
      <c r="C1916" t="s">
        <v>314</v>
      </c>
      <c r="D1916">
        <v>818</v>
      </c>
      <c r="E1916" t="s">
        <v>738</v>
      </c>
      <c r="F1916" t="s">
        <v>321</v>
      </c>
      <c r="G1916" t="s">
        <v>319</v>
      </c>
      <c r="H1916" s="502">
        <v>52917</v>
      </c>
      <c r="I1916" s="415">
        <v>75288.527999999991</v>
      </c>
      <c r="J1916" s="415">
        <v>62740.44</v>
      </c>
      <c r="K1916" s="415">
        <v>56956.2</v>
      </c>
      <c r="L1916" s="415">
        <v>56152.74</v>
      </c>
      <c r="M1916" s="415">
        <v>52670.94</v>
      </c>
      <c r="N1916" s="415">
        <v>49124.46</v>
      </c>
      <c r="O1916" s="415">
        <v>47162.14</v>
      </c>
      <c r="P1916" s="415">
        <v>46600.62</v>
      </c>
      <c r="Q1916" s="481">
        <f t="shared" si="75"/>
        <v>-12548.087999999989</v>
      </c>
    </row>
    <row r="1917" spans="1:17" outlineLevel="2" x14ac:dyDescent="0.3">
      <c r="A1917" s="366" t="str">
        <f>IFERROR(VLOOKUP(RIGHT(E1917,3)+0,[1]SchLocTable!$A$2:$B$47,2,FALSE)," ")</f>
        <v>Johnson</v>
      </c>
      <c r="B1917" s="366" t="str">
        <f>VLOOKUP(VALUE(D1917),$D$3:F$106,3,FALSE)</f>
        <v>Social Studies</v>
      </c>
      <c r="C1917" t="s">
        <v>314</v>
      </c>
      <c r="D1917">
        <v>818</v>
      </c>
      <c r="E1917" t="s">
        <v>738</v>
      </c>
      <c r="F1917" t="s">
        <v>318</v>
      </c>
      <c r="G1917" t="s">
        <v>319</v>
      </c>
      <c r="H1917" s="502">
        <v>51140</v>
      </c>
      <c r="I1917" s="415">
        <v>2000</v>
      </c>
      <c r="J1917" s="415">
        <v>0</v>
      </c>
      <c r="K1917" s="415">
        <v>2000</v>
      </c>
      <c r="L1917" s="415">
        <v>2000</v>
      </c>
      <c r="M1917" s="415">
        <v>2000</v>
      </c>
      <c r="N1917" s="415">
        <v>1100</v>
      </c>
      <c r="O1917" s="415">
        <v>900</v>
      </c>
      <c r="P1917" s="415">
        <v>900</v>
      </c>
      <c r="Q1917" s="481">
        <f t="shared" si="75"/>
        <v>-2000</v>
      </c>
    </row>
    <row r="1918" spans="1:17" outlineLevel="2" x14ac:dyDescent="0.3">
      <c r="A1918" s="366" t="str">
        <f>IFERROR(VLOOKUP(RIGHT(E1918,3)+0,[1]SchLocTable!$A$2:$B$47,2,FALSE)," ")</f>
        <v>Johnson</v>
      </c>
      <c r="B1918" s="366" t="str">
        <f>VLOOKUP(VALUE(D1918),$D$3:F$106,3,FALSE)</f>
        <v>Social Studies</v>
      </c>
      <c r="C1918" t="s">
        <v>314</v>
      </c>
      <c r="D1918">
        <v>818</v>
      </c>
      <c r="E1918" t="s">
        <v>738</v>
      </c>
      <c r="F1918" t="s">
        <v>320</v>
      </c>
      <c r="G1918" t="s">
        <v>319</v>
      </c>
      <c r="H1918" s="502">
        <v>52360</v>
      </c>
      <c r="I1918" s="415">
        <v>3202.4254821000004</v>
      </c>
      <c r="J1918" s="415">
        <v>2595</v>
      </c>
      <c r="K1918" s="415">
        <v>2628</v>
      </c>
      <c r="L1918" s="415">
        <v>2575.98</v>
      </c>
      <c r="M1918" s="415">
        <v>2471.4</v>
      </c>
      <c r="N1918" s="415">
        <v>2396.7600000000002</v>
      </c>
      <c r="O1918" s="415">
        <v>2303.71</v>
      </c>
      <c r="P1918" s="415">
        <v>2269.23</v>
      </c>
      <c r="Q1918" s="481">
        <f t="shared" si="75"/>
        <v>-607.42548210000041</v>
      </c>
    </row>
    <row r="1919" spans="1:17" outlineLevel="2" x14ac:dyDescent="0.3">
      <c r="A1919" s="366" t="str">
        <f>IFERROR(VLOOKUP(RIGHT(E1919,3)+0,[1]SchLocTable!$A$2:$B$47,2,FALSE)," ")</f>
        <v>Winthrop</v>
      </c>
      <c r="B1919" s="366" t="str">
        <f>VLOOKUP(VALUE(D1919),$D$3:F$106,3,FALSE)</f>
        <v>Social Studies</v>
      </c>
      <c r="C1919" t="s">
        <v>314</v>
      </c>
      <c r="D1919">
        <v>818</v>
      </c>
      <c r="E1919" t="s">
        <v>739</v>
      </c>
      <c r="F1919" t="s">
        <v>316</v>
      </c>
      <c r="G1919">
        <v>2</v>
      </c>
      <c r="H1919" s="502">
        <v>51000</v>
      </c>
      <c r="I1919" s="415">
        <v>171301.22880000001</v>
      </c>
      <c r="J1919" s="415">
        <v>162989</v>
      </c>
      <c r="K1919" s="415">
        <v>158301</v>
      </c>
      <c r="L1919" s="415">
        <v>153227.04</v>
      </c>
      <c r="M1919" s="415">
        <v>151914.89000000001</v>
      </c>
      <c r="N1919" s="415">
        <v>133643.16</v>
      </c>
      <c r="O1919" s="415">
        <v>125203.08</v>
      </c>
      <c r="P1919" s="415">
        <v>123231.03</v>
      </c>
      <c r="Q1919" s="481">
        <f t="shared" ref="Q1919:Q1982" si="76">J1919-I1919</f>
        <v>-8312.2288000000117</v>
      </c>
    </row>
    <row r="1920" spans="1:17" outlineLevel="2" x14ac:dyDescent="0.3">
      <c r="A1920" s="366" t="str">
        <f>IFERROR(VLOOKUP(RIGHT(E1920,3)+0,[1]SchLocTable!$A$2:$B$47,2,FALSE)," ")</f>
        <v>Winthrop</v>
      </c>
      <c r="B1920" s="366" t="str">
        <f>VLOOKUP(VALUE(D1920),$D$3:F$106,3,FALSE)</f>
        <v>Social Studies</v>
      </c>
      <c r="C1920" t="s">
        <v>314</v>
      </c>
      <c r="D1920">
        <v>818</v>
      </c>
      <c r="E1920" t="s">
        <v>739</v>
      </c>
      <c r="F1920" t="s">
        <v>321</v>
      </c>
      <c r="G1920" t="s">
        <v>319</v>
      </c>
      <c r="H1920" s="502">
        <v>52917</v>
      </c>
      <c r="I1920" s="415">
        <v>31200.623999999996</v>
      </c>
      <c r="J1920" s="415">
        <v>26000.52</v>
      </c>
      <c r="K1920" s="415">
        <v>23591.4</v>
      </c>
      <c r="L1920" s="415">
        <v>22684.82</v>
      </c>
      <c r="M1920" s="415">
        <v>34014.449999999997</v>
      </c>
      <c r="N1920" s="415">
        <v>49412.1</v>
      </c>
      <c r="O1920" s="415">
        <v>52658.57</v>
      </c>
      <c r="P1920" s="415">
        <v>49571.34</v>
      </c>
      <c r="Q1920" s="481">
        <f t="shared" si="76"/>
        <v>-5200.1039999999957</v>
      </c>
    </row>
    <row r="1921" spans="1:17" outlineLevel="2" x14ac:dyDescent="0.3">
      <c r="A1921" s="366" t="str">
        <f>IFERROR(VLOOKUP(RIGHT(E1921,3)+0,[1]SchLocTable!$A$2:$B$47,2,FALSE)," ")</f>
        <v>Winthrop</v>
      </c>
      <c r="B1921" s="366" t="str">
        <f>VLOOKUP(VALUE(D1921),$D$3:F$106,3,FALSE)</f>
        <v>Social Studies</v>
      </c>
      <c r="C1921" t="s">
        <v>314</v>
      </c>
      <c r="D1921">
        <v>818</v>
      </c>
      <c r="E1921" t="s">
        <v>739</v>
      </c>
      <c r="F1921" t="s">
        <v>318</v>
      </c>
      <c r="G1921" t="s">
        <v>319</v>
      </c>
      <c r="H1921" s="502">
        <v>51140</v>
      </c>
      <c r="I1921" s="415">
        <v>900</v>
      </c>
      <c r="J1921" s="415">
        <v>0</v>
      </c>
      <c r="K1921" s="415">
        <v>900</v>
      </c>
      <c r="L1921" s="415">
        <v>900</v>
      </c>
      <c r="M1921" s="415">
        <v>900</v>
      </c>
      <c r="N1921" s="415">
        <v>900</v>
      </c>
      <c r="O1921" s="415">
        <v>900</v>
      </c>
      <c r="P1921" s="415">
        <v>0</v>
      </c>
      <c r="Q1921" s="481">
        <f t="shared" si="76"/>
        <v>-900</v>
      </c>
    </row>
    <row r="1922" spans="1:17" outlineLevel="2" x14ac:dyDescent="0.3">
      <c r="A1922" s="366" t="str">
        <f>IFERROR(VLOOKUP(RIGHT(E1922,3)+0,[1]SchLocTable!$A$2:$B$47,2,FALSE)," ")</f>
        <v>Winthrop</v>
      </c>
      <c r="B1922" s="366" t="str">
        <f>VLOOKUP(VALUE(D1922),$D$3:F$106,3,FALSE)</f>
        <v>Social Studies</v>
      </c>
      <c r="C1922" t="s">
        <v>314</v>
      </c>
      <c r="D1922">
        <v>818</v>
      </c>
      <c r="E1922" t="s">
        <v>739</v>
      </c>
      <c r="F1922" t="s">
        <v>320</v>
      </c>
      <c r="G1922" t="s">
        <v>319</v>
      </c>
      <c r="H1922" s="502">
        <v>52360</v>
      </c>
      <c r="I1922" s="415">
        <v>2483.8678176000003</v>
      </c>
      <c r="J1922" s="415">
        <v>2236</v>
      </c>
      <c r="K1922" s="415">
        <v>2207.54</v>
      </c>
      <c r="L1922" s="415">
        <v>2140.67</v>
      </c>
      <c r="M1922" s="415">
        <v>2064.2600000000002</v>
      </c>
      <c r="N1922" s="415">
        <v>1757.78</v>
      </c>
      <c r="O1922" s="415">
        <v>1628.26</v>
      </c>
      <c r="P1922" s="415">
        <v>1600.81</v>
      </c>
      <c r="Q1922" s="481">
        <f t="shared" si="76"/>
        <v>-247.86781760000031</v>
      </c>
    </row>
    <row r="1923" spans="1:17" outlineLevel="2" x14ac:dyDescent="0.3">
      <c r="A1923" s="366" t="str">
        <f>IFERROR(VLOOKUP(RIGHT(E1923,3)+0,[1]SchLocTable!$A$2:$B$47,2,FALSE)," ")</f>
        <v>Discovery</v>
      </c>
      <c r="B1923" s="366" t="str">
        <f>VLOOKUP(VALUE(D1923),$D$3:F$106,3,FALSE)</f>
        <v>Social Studies</v>
      </c>
      <c r="C1923" t="s">
        <v>314</v>
      </c>
      <c r="D1923">
        <v>818</v>
      </c>
      <c r="E1923" t="s">
        <v>740</v>
      </c>
      <c r="F1923" t="s">
        <v>316</v>
      </c>
      <c r="G1923">
        <v>1</v>
      </c>
      <c r="H1923" s="502">
        <v>51000</v>
      </c>
      <c r="I1923" s="415">
        <v>67234.666589999993</v>
      </c>
      <c r="J1923" s="415">
        <v>63972.84</v>
      </c>
      <c r="K1923" s="415">
        <v>75899.98</v>
      </c>
      <c r="L1923" s="415">
        <v>68955.23</v>
      </c>
      <c r="M1923" s="415">
        <v>66331.98</v>
      </c>
      <c r="N1923" s="415">
        <v>47339.12</v>
      </c>
      <c r="O1923" s="415">
        <v>60342.879999999997</v>
      </c>
      <c r="P1923" s="415">
        <v>59392.06</v>
      </c>
      <c r="Q1923" s="481">
        <f t="shared" si="76"/>
        <v>-3261.8265899999969</v>
      </c>
    </row>
    <row r="1924" spans="1:17" outlineLevel="2" x14ac:dyDescent="0.3">
      <c r="A1924" s="366" t="str">
        <f>IFERROR(VLOOKUP(RIGHT(E1924,3)+0,[1]SchLocTable!$A$2:$B$47,2,FALSE)," ")</f>
        <v>Discovery</v>
      </c>
      <c r="B1924" s="366" t="str">
        <f>VLOOKUP(VALUE(D1924),$D$3:F$106,3,FALSE)</f>
        <v>Social Studies</v>
      </c>
      <c r="C1924" t="s">
        <v>314</v>
      </c>
      <c r="D1924">
        <v>818</v>
      </c>
      <c r="E1924" t="s">
        <v>740</v>
      </c>
      <c r="F1924" t="s">
        <v>321</v>
      </c>
      <c r="G1924" t="s">
        <v>319</v>
      </c>
      <c r="H1924" s="502">
        <v>52917</v>
      </c>
      <c r="I1924" s="415">
        <v>0</v>
      </c>
      <c r="J1924" s="415">
        <v>0</v>
      </c>
      <c r="K1924" s="415">
        <v>439.32</v>
      </c>
      <c r="L1924" s="415">
        <v>479.64</v>
      </c>
      <c r="M1924" s="415">
        <v>428.19</v>
      </c>
      <c r="N1924" s="415">
        <v>479.64</v>
      </c>
      <c r="O1924" s="415">
        <v>423.99</v>
      </c>
      <c r="P1924" s="415">
        <v>448.14</v>
      </c>
      <c r="Q1924" s="481">
        <f t="shared" si="76"/>
        <v>0</v>
      </c>
    </row>
    <row r="1925" spans="1:17" outlineLevel="2" x14ac:dyDescent="0.3">
      <c r="A1925" s="366" t="str">
        <f>IFERROR(VLOOKUP(RIGHT(E1925,3)+0,[1]SchLocTable!$A$2:$B$47,2,FALSE)," ")</f>
        <v>Discovery</v>
      </c>
      <c r="B1925" s="366" t="str">
        <f>VLOOKUP(VALUE(D1925),$D$3:F$106,3,FALSE)</f>
        <v>Social Studies</v>
      </c>
      <c r="C1925" t="s">
        <v>314</v>
      </c>
      <c r="D1925">
        <v>818</v>
      </c>
      <c r="E1925" t="s">
        <v>740</v>
      </c>
      <c r="F1925" t="s">
        <v>320</v>
      </c>
      <c r="G1925" t="s">
        <v>319</v>
      </c>
      <c r="H1925" s="502">
        <v>52360</v>
      </c>
      <c r="I1925" s="415">
        <v>974.902665555</v>
      </c>
      <c r="J1925" s="415">
        <v>927.6</v>
      </c>
      <c r="K1925" s="415">
        <v>1099.3800000000001</v>
      </c>
      <c r="L1925" s="415">
        <v>998.63</v>
      </c>
      <c r="M1925" s="415">
        <v>960.7</v>
      </c>
      <c r="N1925" s="415">
        <v>917.2</v>
      </c>
      <c r="O1925" s="415">
        <v>873.88</v>
      </c>
      <c r="P1925" s="415">
        <v>860.46</v>
      </c>
      <c r="Q1925" s="481">
        <f t="shared" si="76"/>
        <v>-47.302665554999976</v>
      </c>
    </row>
    <row r="1926" spans="1:17" outlineLevel="2" x14ac:dyDescent="0.3">
      <c r="A1926" s="366" t="str">
        <f>IFERROR(VLOOKUP(RIGHT(E1926,3)+0,[1]SchLocTable!$A$2:$B$47,2,FALSE)," ")</f>
        <v>Discovery</v>
      </c>
      <c r="B1926" s="366" t="str">
        <f>VLOOKUP(VALUE(D1926),$D$3:F$106,3,FALSE)</f>
        <v>Social Studies</v>
      </c>
      <c r="C1926" t="s">
        <v>314</v>
      </c>
      <c r="D1926">
        <v>818</v>
      </c>
      <c r="E1926" t="s">
        <v>740</v>
      </c>
      <c r="F1926" t="s">
        <v>324</v>
      </c>
      <c r="G1926" t="s">
        <v>319</v>
      </c>
      <c r="H1926" s="502">
        <v>52385</v>
      </c>
      <c r="I1926" s="415">
        <v>0</v>
      </c>
      <c r="J1926" s="415">
        <v>0</v>
      </c>
      <c r="K1926" s="415">
        <v>0</v>
      </c>
      <c r="L1926" s="415">
        <v>0</v>
      </c>
      <c r="M1926" s="415">
        <v>0</v>
      </c>
      <c r="N1926" s="415">
        <v>0</v>
      </c>
      <c r="O1926" s="415">
        <v>0</v>
      </c>
      <c r="P1926" s="415">
        <v>0</v>
      </c>
      <c r="Q1926" s="481">
        <f t="shared" si="76"/>
        <v>0</v>
      </c>
    </row>
    <row r="1927" spans="1:17" outlineLevel="2" x14ac:dyDescent="0.3">
      <c r="A1927" s="366" t="str">
        <f>IFERROR(VLOOKUP(RIGHT(E1927,3)+0,[1]SchLocTable!$A$2:$B$47,2,FALSE)," ")</f>
        <v>Cross</v>
      </c>
      <c r="B1927" s="366" t="str">
        <f>VLOOKUP(VALUE(D1927),$D$3:F$106,3,FALSE)</f>
        <v>Social Studies</v>
      </c>
      <c r="C1927" t="s">
        <v>314</v>
      </c>
      <c r="D1927">
        <v>818</v>
      </c>
      <c r="E1927" t="s">
        <v>741</v>
      </c>
      <c r="F1927" t="s">
        <v>316</v>
      </c>
      <c r="G1927">
        <v>1</v>
      </c>
      <c r="H1927" s="502">
        <v>51000</v>
      </c>
      <c r="I1927" s="415">
        <v>67234.52996</v>
      </c>
      <c r="J1927" s="415">
        <v>63972</v>
      </c>
      <c r="K1927" s="415">
        <v>60946.080000000002</v>
      </c>
      <c r="L1927" s="415">
        <v>57346.12</v>
      </c>
      <c r="M1927" s="415">
        <v>62718.66</v>
      </c>
      <c r="N1927" s="415">
        <v>52902.98</v>
      </c>
      <c r="O1927" s="415">
        <v>50535.94</v>
      </c>
      <c r="P1927" s="415">
        <v>49740.08</v>
      </c>
      <c r="Q1927" s="481">
        <f t="shared" si="76"/>
        <v>-3262.5299599999998</v>
      </c>
    </row>
    <row r="1928" spans="1:17" outlineLevel="2" x14ac:dyDescent="0.3">
      <c r="A1928" s="366" t="str">
        <f>IFERROR(VLOOKUP(RIGHT(E1928,3)+0,[1]SchLocTable!$A$2:$B$47,2,FALSE)," ")</f>
        <v>Cross</v>
      </c>
      <c r="B1928" s="366" t="str">
        <f>VLOOKUP(VALUE(D1928),$D$3:F$106,3,FALSE)</f>
        <v>Social Studies</v>
      </c>
      <c r="C1928" t="s">
        <v>314</v>
      </c>
      <c r="D1928">
        <v>818</v>
      </c>
      <c r="E1928" t="s">
        <v>741</v>
      </c>
      <c r="F1928" t="s">
        <v>321</v>
      </c>
      <c r="G1928" t="s">
        <v>319</v>
      </c>
      <c r="H1928" s="502">
        <v>52917</v>
      </c>
      <c r="I1928" s="415">
        <v>46330.955999999998</v>
      </c>
      <c r="J1928" s="415">
        <v>31370.22</v>
      </c>
      <c r="K1928" s="415">
        <v>28478.1</v>
      </c>
      <c r="L1928" s="415">
        <v>11684.82</v>
      </c>
      <c r="M1928" s="415">
        <v>10956.75</v>
      </c>
      <c r="N1928" s="415">
        <v>10232.879999999999</v>
      </c>
      <c r="O1928" s="415">
        <v>9817.68</v>
      </c>
      <c r="P1928" s="415">
        <v>9245.67</v>
      </c>
      <c r="Q1928" s="481">
        <f t="shared" si="76"/>
        <v>-14960.735999999997</v>
      </c>
    </row>
    <row r="1929" spans="1:17" outlineLevel="2" x14ac:dyDescent="0.3">
      <c r="A1929" s="366" t="str">
        <f>IFERROR(VLOOKUP(RIGHT(E1929,3)+0,[1]SchLocTable!$A$2:$B$47,2,FALSE)," ")</f>
        <v>Cross</v>
      </c>
      <c r="B1929" s="366" t="str">
        <f>VLOOKUP(VALUE(D1929),$D$3:F$106,3,FALSE)</f>
        <v>Social Studies</v>
      </c>
      <c r="C1929" t="s">
        <v>314</v>
      </c>
      <c r="D1929">
        <v>818</v>
      </c>
      <c r="E1929" t="s">
        <v>741</v>
      </c>
      <c r="F1929" t="s">
        <v>320</v>
      </c>
      <c r="G1929" t="s">
        <v>319</v>
      </c>
      <c r="H1929" s="502">
        <v>52360</v>
      </c>
      <c r="I1929" s="415">
        <v>974.90068442000006</v>
      </c>
      <c r="J1929" s="415">
        <v>757</v>
      </c>
      <c r="K1929" s="415">
        <v>761.84</v>
      </c>
      <c r="L1929" s="415">
        <v>783.13</v>
      </c>
      <c r="M1929" s="415">
        <v>860.64</v>
      </c>
      <c r="N1929" s="415">
        <v>727.14</v>
      </c>
      <c r="O1929" s="415">
        <v>695.47</v>
      </c>
      <c r="P1929" s="415">
        <v>686.6</v>
      </c>
      <c r="Q1929" s="481">
        <f t="shared" si="76"/>
        <v>-217.90068442000006</v>
      </c>
    </row>
    <row r="1930" spans="1:17" outlineLevel="2" x14ac:dyDescent="0.3">
      <c r="A1930" s="366" t="str">
        <f>IFERROR(VLOOKUP(RIGHT(E1930,3)+0,[1]SchLocTable!$A$2:$B$47,2,FALSE)," ")</f>
        <v>Blackham</v>
      </c>
      <c r="B1930" s="366" t="str">
        <f>VLOOKUP(VALUE(D1930),$D$3:F$106,3,FALSE)</f>
        <v>Social Studies</v>
      </c>
      <c r="C1930" t="s">
        <v>314</v>
      </c>
      <c r="D1930">
        <v>818</v>
      </c>
      <c r="E1930" t="s">
        <v>742</v>
      </c>
      <c r="F1930" t="s">
        <v>316</v>
      </c>
      <c r="G1930">
        <v>2</v>
      </c>
      <c r="H1930" s="502">
        <v>51000</v>
      </c>
      <c r="I1930" s="415">
        <v>170670.81797999999</v>
      </c>
      <c r="J1930" s="415">
        <v>66996</v>
      </c>
      <c r="K1930" s="415">
        <v>63971.96</v>
      </c>
      <c r="L1930" s="415">
        <v>60342.879999999997</v>
      </c>
      <c r="M1930" s="415">
        <v>140453.20000000001</v>
      </c>
      <c r="N1930" s="415">
        <v>132025.14000000001</v>
      </c>
      <c r="O1930" s="415">
        <v>124847.07</v>
      </c>
      <c r="P1930" s="415">
        <v>116946.39</v>
      </c>
      <c r="Q1930" s="481">
        <f t="shared" si="76"/>
        <v>-103674.81797999999</v>
      </c>
    </row>
    <row r="1931" spans="1:17" outlineLevel="2" x14ac:dyDescent="0.3">
      <c r="A1931" s="366" t="str">
        <f>IFERROR(VLOOKUP(RIGHT(E1931,3)+0,[1]SchLocTable!$A$2:$B$47,2,FALSE)," ")</f>
        <v>Blackham</v>
      </c>
      <c r="B1931" s="366" t="str">
        <f>VLOOKUP(VALUE(D1931),$D$3:F$106,3,FALSE)</f>
        <v>Social Studies</v>
      </c>
      <c r="C1931" t="s">
        <v>314</v>
      </c>
      <c r="D1931">
        <v>818</v>
      </c>
      <c r="E1931" t="s">
        <v>742</v>
      </c>
      <c r="F1931" t="s">
        <v>321</v>
      </c>
      <c r="G1931" t="s">
        <v>319</v>
      </c>
      <c r="H1931" s="502">
        <v>52917</v>
      </c>
      <c r="I1931" s="415">
        <v>83711.123999999982</v>
      </c>
      <c r="J1931" s="415">
        <v>16070</v>
      </c>
      <c r="K1931" s="415">
        <v>11844</v>
      </c>
      <c r="L1931" s="415">
        <v>11684.82</v>
      </c>
      <c r="M1931" s="415">
        <v>36864.239999999998</v>
      </c>
      <c r="N1931" s="415">
        <v>34315.26</v>
      </c>
      <c r="O1931" s="415">
        <v>19163.12</v>
      </c>
      <c r="P1931" s="415">
        <v>18491.34</v>
      </c>
      <c r="Q1931" s="481">
        <f t="shared" si="76"/>
        <v>-67641.123999999982</v>
      </c>
    </row>
    <row r="1932" spans="1:17" outlineLevel="1" x14ac:dyDescent="0.3">
      <c r="A1932" s="366" t="str">
        <f>IFERROR(VLOOKUP(RIGHT(E1932,3)+0,[1]SchLocTable!$A$2:$B$47,2,FALSE)," ")</f>
        <v>Blackham</v>
      </c>
      <c r="B1932" s="366" t="str">
        <f>VLOOKUP(VALUE(D1932),$D$3:F$106,3,FALSE)</f>
        <v>Social Studies</v>
      </c>
      <c r="C1932" t="s">
        <v>314</v>
      </c>
      <c r="D1932">
        <v>818</v>
      </c>
      <c r="E1932" t="s">
        <v>742</v>
      </c>
      <c r="F1932" t="s">
        <v>318</v>
      </c>
      <c r="G1932" t="s">
        <v>319</v>
      </c>
      <c r="H1932" s="502">
        <v>51140</v>
      </c>
      <c r="I1932" s="415">
        <v>0</v>
      </c>
      <c r="J1932" s="415">
        <v>0</v>
      </c>
      <c r="K1932" s="415">
        <v>0</v>
      </c>
      <c r="L1932" s="415">
        <v>900</v>
      </c>
      <c r="M1932" s="415">
        <v>900</v>
      </c>
      <c r="N1932" s="415">
        <v>900</v>
      </c>
      <c r="O1932" s="415">
        <v>0</v>
      </c>
      <c r="P1932" s="415">
        <v>0</v>
      </c>
      <c r="Q1932" s="481">
        <f t="shared" si="76"/>
        <v>0</v>
      </c>
    </row>
    <row r="1933" spans="1:17" outlineLevel="2" x14ac:dyDescent="0.3">
      <c r="A1933" s="366" t="str">
        <f>IFERROR(VLOOKUP(RIGHT(E1933,3)+0,[1]SchLocTable!$A$2:$B$47,2,FALSE)," ")</f>
        <v>Blackham</v>
      </c>
      <c r="B1933" s="366" t="str">
        <f>VLOOKUP(VALUE(D1933),$D$3:F$106,3,FALSE)</f>
        <v>Social Studies</v>
      </c>
      <c r="C1933" t="s">
        <v>314</v>
      </c>
      <c r="D1933">
        <v>818</v>
      </c>
      <c r="E1933" t="s">
        <v>742</v>
      </c>
      <c r="F1933" t="s">
        <v>320</v>
      </c>
      <c r="G1933" t="s">
        <v>319</v>
      </c>
      <c r="H1933" s="502">
        <v>52360</v>
      </c>
      <c r="I1933" s="415">
        <v>2474.7268607100004</v>
      </c>
      <c r="J1933" s="415">
        <v>901</v>
      </c>
      <c r="K1933" s="415">
        <v>877.03</v>
      </c>
      <c r="L1933" s="415">
        <v>801.17</v>
      </c>
      <c r="M1933" s="415">
        <v>1897.25</v>
      </c>
      <c r="N1933" s="415">
        <v>1792.5</v>
      </c>
      <c r="O1933" s="415">
        <v>1746.36</v>
      </c>
      <c r="P1933" s="415">
        <v>1724.07</v>
      </c>
      <c r="Q1933" s="481">
        <f t="shared" si="76"/>
        <v>-1573.7268607100004</v>
      </c>
    </row>
    <row r="1934" spans="1:17" outlineLevel="2" x14ac:dyDescent="0.3">
      <c r="A1934" s="366" t="str">
        <f>IFERROR(VLOOKUP(RIGHT(E1934,3)+0,[1]SchLocTable!$A$2:$B$47,2,FALSE)," ")</f>
        <v>Dunbar</v>
      </c>
      <c r="B1934" s="366" t="str">
        <f>VLOOKUP(VALUE(D1934),$D$3:F$106,3,FALSE)</f>
        <v>Social Studies</v>
      </c>
      <c r="C1934" t="s">
        <v>314</v>
      </c>
      <c r="D1934">
        <v>818</v>
      </c>
      <c r="E1934" t="s">
        <v>743</v>
      </c>
      <c r="F1934" t="s">
        <v>316</v>
      </c>
      <c r="G1934">
        <v>1</v>
      </c>
      <c r="H1934" s="502">
        <v>51000</v>
      </c>
      <c r="I1934" s="415">
        <v>67234.52996</v>
      </c>
      <c r="J1934" s="415">
        <v>63972</v>
      </c>
      <c r="K1934" s="415">
        <v>60946.080000000002</v>
      </c>
      <c r="L1934" s="415">
        <v>57346.12</v>
      </c>
      <c r="M1934" s="415">
        <v>54993.120000000003</v>
      </c>
      <c r="N1934" s="415">
        <v>52902.98</v>
      </c>
      <c r="O1934" s="415">
        <v>50535.94</v>
      </c>
      <c r="P1934" s="415">
        <v>49740.08</v>
      </c>
      <c r="Q1934" s="481">
        <f t="shared" si="76"/>
        <v>-3262.5299599999998</v>
      </c>
    </row>
    <row r="1935" spans="1:17" outlineLevel="2" x14ac:dyDescent="0.3">
      <c r="A1935" s="366" t="str">
        <f>IFERROR(VLOOKUP(RIGHT(E1935,3)+0,[1]SchLocTable!$A$2:$B$47,2,FALSE)," ")</f>
        <v>Dunbar</v>
      </c>
      <c r="B1935" s="366" t="str">
        <f>VLOOKUP(VALUE(D1935),$D$3:F$106,3,FALSE)</f>
        <v>Social Studies</v>
      </c>
      <c r="C1935" t="s">
        <v>314</v>
      </c>
      <c r="D1935">
        <v>818</v>
      </c>
      <c r="E1935" t="s">
        <v>743</v>
      </c>
      <c r="F1935" t="s">
        <v>321</v>
      </c>
      <c r="G1935" t="s">
        <v>319</v>
      </c>
      <c r="H1935" s="502">
        <v>52917</v>
      </c>
      <c r="I1935" s="415">
        <v>46330.955999999998</v>
      </c>
      <c r="J1935" s="415">
        <v>38609.129999999997</v>
      </c>
      <c r="K1935" s="415">
        <v>35075.879999999997</v>
      </c>
      <c r="L1935" s="415">
        <v>34606.949999999997</v>
      </c>
      <c r="M1935" s="415">
        <v>28955.64</v>
      </c>
      <c r="N1935" s="415">
        <v>24562.23</v>
      </c>
      <c r="O1935" s="415">
        <v>15776.76</v>
      </c>
      <c r="P1935" s="415">
        <v>9245.67</v>
      </c>
      <c r="Q1935" s="481">
        <f t="shared" si="76"/>
        <v>-7721.8260000000009</v>
      </c>
    </row>
    <row r="1936" spans="1:17" outlineLevel="2" x14ac:dyDescent="0.3">
      <c r="A1936" s="366" t="str">
        <f>IFERROR(VLOOKUP(RIGHT(E1936,3)+0,[1]SchLocTable!$A$2:$B$47,2,FALSE)," ")</f>
        <v>Dunbar</v>
      </c>
      <c r="B1936" s="366" t="str">
        <f>VLOOKUP(VALUE(D1936),$D$3:F$106,3,FALSE)</f>
        <v>Social Studies</v>
      </c>
      <c r="C1936" t="s">
        <v>314</v>
      </c>
      <c r="D1936">
        <v>818</v>
      </c>
      <c r="E1936" t="s">
        <v>743</v>
      </c>
      <c r="F1936" t="s">
        <v>320</v>
      </c>
      <c r="G1936" t="s">
        <v>319</v>
      </c>
      <c r="H1936" s="502">
        <v>52360</v>
      </c>
      <c r="I1936" s="415">
        <v>974.90068442000006</v>
      </c>
      <c r="J1936" s="415">
        <v>719</v>
      </c>
      <c r="K1936" s="415">
        <v>733.97</v>
      </c>
      <c r="L1936" s="415">
        <v>688.18</v>
      </c>
      <c r="M1936" s="415">
        <v>680.58</v>
      </c>
      <c r="N1936" s="415">
        <v>670.9</v>
      </c>
      <c r="O1936" s="415">
        <v>672.75</v>
      </c>
      <c r="P1936" s="415">
        <v>686.6</v>
      </c>
      <c r="Q1936" s="481">
        <f t="shared" si="76"/>
        <v>-255.90068442000006</v>
      </c>
    </row>
    <row r="1937" spans="1:17" outlineLevel="2" x14ac:dyDescent="0.3">
      <c r="A1937" s="366" t="str">
        <f>IFERROR(VLOOKUP(RIGHT(E1937,3)+0,[1]SchLocTable!$A$2:$B$47,2,FALSE)," ")</f>
        <v>Curiale</v>
      </c>
      <c r="B1937" s="366" t="str">
        <f>VLOOKUP(VALUE(D1937),$D$3:F$106,3,FALSE)</f>
        <v>Social Studies</v>
      </c>
      <c r="C1937" t="s">
        <v>314</v>
      </c>
      <c r="D1937">
        <v>818</v>
      </c>
      <c r="E1937" t="s">
        <v>744</v>
      </c>
      <c r="F1937" t="s">
        <v>316</v>
      </c>
      <c r="G1937">
        <v>1</v>
      </c>
      <c r="H1937" s="502">
        <v>51000</v>
      </c>
      <c r="I1937" s="415">
        <v>110428.46490000001</v>
      </c>
      <c r="J1937" s="415">
        <v>105070</v>
      </c>
      <c r="K1937" s="415">
        <v>102757.98</v>
      </c>
      <c r="L1937" s="415">
        <v>100497.02</v>
      </c>
      <c r="M1937" s="415">
        <v>103494.48</v>
      </c>
      <c r="N1937" s="415">
        <v>97548.88</v>
      </c>
      <c r="O1937" s="415">
        <v>96106.92</v>
      </c>
      <c r="P1937" s="415">
        <v>129685.18</v>
      </c>
      <c r="Q1937" s="481">
        <f t="shared" si="76"/>
        <v>-5358.4649000000063</v>
      </c>
    </row>
    <row r="1938" spans="1:17" outlineLevel="2" x14ac:dyDescent="0.3">
      <c r="A1938" s="366" t="str">
        <f>IFERROR(VLOOKUP(RIGHT(E1938,3)+0,[1]SchLocTable!$A$2:$B$47,2,FALSE)," ")</f>
        <v>Curiale</v>
      </c>
      <c r="B1938" s="366" t="str">
        <f>VLOOKUP(VALUE(D1938),$D$3:F$106,3,FALSE)</f>
        <v>Social Studies</v>
      </c>
      <c r="C1938" t="s">
        <v>314</v>
      </c>
      <c r="D1938">
        <v>818</v>
      </c>
      <c r="E1938" t="s">
        <v>744</v>
      </c>
      <c r="F1938" t="s">
        <v>321</v>
      </c>
      <c r="G1938" t="s">
        <v>319</v>
      </c>
      <c r="H1938" s="502">
        <v>52917</v>
      </c>
      <c r="I1938" s="415">
        <v>1541.2319999999997</v>
      </c>
      <c r="J1938" s="415">
        <v>1284.3599999999999</v>
      </c>
      <c r="K1938" s="415">
        <v>1317.96</v>
      </c>
      <c r="L1938" s="415">
        <v>1439.13</v>
      </c>
      <c r="M1938" s="415">
        <v>1806.11</v>
      </c>
      <c r="N1938" s="415">
        <v>1439.13</v>
      </c>
      <c r="O1938" s="415">
        <v>1271.97</v>
      </c>
      <c r="P1938" s="415">
        <v>4866.58</v>
      </c>
      <c r="Q1938" s="481">
        <f t="shared" si="76"/>
        <v>-256.87199999999984</v>
      </c>
    </row>
    <row r="1939" spans="1:17" outlineLevel="2" x14ac:dyDescent="0.3">
      <c r="A1939" s="366" t="str">
        <f>IFERROR(VLOOKUP(RIGHT(E1939,3)+0,[1]SchLocTable!$A$2:$B$47,2,FALSE)," ")</f>
        <v>Curiale</v>
      </c>
      <c r="B1939" s="366" t="str">
        <f>VLOOKUP(VALUE(D1939),$D$3:F$106,3,FALSE)</f>
        <v>Social Studies</v>
      </c>
      <c r="C1939" t="s">
        <v>314</v>
      </c>
      <c r="D1939">
        <v>818</v>
      </c>
      <c r="E1939" t="s">
        <v>744</v>
      </c>
      <c r="F1939" t="s">
        <v>318</v>
      </c>
      <c r="G1939" t="s">
        <v>319</v>
      </c>
      <c r="H1939" s="502">
        <v>51140</v>
      </c>
      <c r="I1939" s="415">
        <v>1300</v>
      </c>
      <c r="J1939" s="415">
        <v>0</v>
      </c>
      <c r="K1939" s="415">
        <v>1200</v>
      </c>
      <c r="L1939" s="415">
        <v>1200</v>
      </c>
      <c r="M1939" s="415">
        <v>1200</v>
      </c>
      <c r="N1939" s="415">
        <v>1200</v>
      </c>
      <c r="O1939" s="415">
        <v>1200</v>
      </c>
      <c r="P1939" s="415">
        <v>3700</v>
      </c>
      <c r="Q1939" s="481">
        <f t="shared" si="76"/>
        <v>-1300</v>
      </c>
    </row>
    <row r="1940" spans="1:17" outlineLevel="1" x14ac:dyDescent="0.3">
      <c r="A1940" s="366" t="str">
        <f>IFERROR(VLOOKUP(RIGHT(E1940,3)+0,[1]SchLocTable!$A$2:$B$47,2,FALSE)," ")</f>
        <v>Curiale</v>
      </c>
      <c r="B1940" s="366" t="str">
        <f>VLOOKUP(VALUE(D1940),$D$3:F$106,3,FALSE)</f>
        <v>Social Studies</v>
      </c>
      <c r="C1940" t="s">
        <v>314</v>
      </c>
      <c r="D1940">
        <v>818</v>
      </c>
      <c r="E1940" t="s">
        <v>744</v>
      </c>
      <c r="F1940" t="s">
        <v>320</v>
      </c>
      <c r="G1940" t="s">
        <v>319</v>
      </c>
      <c r="H1940" s="502">
        <v>52360</v>
      </c>
      <c r="I1940" s="415">
        <v>1601.2127410500002</v>
      </c>
      <c r="J1940" s="415">
        <v>1523</v>
      </c>
      <c r="K1940" s="415">
        <v>1503.88</v>
      </c>
      <c r="L1940" s="415">
        <v>1470.93</v>
      </c>
      <c r="M1940" s="415">
        <v>1512.69</v>
      </c>
      <c r="N1940" s="415">
        <v>1428.17</v>
      </c>
      <c r="O1940" s="415">
        <v>1407.69</v>
      </c>
      <c r="P1940" s="415">
        <v>1385.4</v>
      </c>
      <c r="Q1940" s="481">
        <f t="shared" si="76"/>
        <v>-78.212741050000204</v>
      </c>
    </row>
    <row r="1941" spans="1:17" outlineLevel="2" x14ac:dyDescent="0.3">
      <c r="A1941" s="366" t="str">
        <f>IFERROR(VLOOKUP(RIGHT(E1941,3)+0,[1]SchLocTable!$A$2:$B$47,2,FALSE)," ")</f>
        <v>High Horizons Magnet</v>
      </c>
      <c r="B1941" s="366" t="str">
        <f>VLOOKUP(VALUE(D1941),$D$3:F$106,3,FALSE)</f>
        <v>Social Studies</v>
      </c>
      <c r="C1941" t="s">
        <v>314</v>
      </c>
      <c r="D1941">
        <v>818</v>
      </c>
      <c r="E1941" t="s">
        <v>745</v>
      </c>
      <c r="F1941" t="s">
        <v>316</v>
      </c>
      <c r="G1941" t="s">
        <v>319</v>
      </c>
      <c r="H1941" s="502">
        <v>51000</v>
      </c>
      <c r="I1941" s="415">
        <v>0</v>
      </c>
      <c r="J1941" s="415">
        <v>0</v>
      </c>
      <c r="K1941" s="415">
        <v>0</v>
      </c>
      <c r="L1941" s="415">
        <v>0</v>
      </c>
      <c r="M1941" s="415">
        <v>23574.3</v>
      </c>
      <c r="N1941" s="415">
        <v>97548.99</v>
      </c>
      <c r="O1941" s="415">
        <v>96106.92</v>
      </c>
      <c r="P1941" s="415">
        <v>94594.08</v>
      </c>
      <c r="Q1941" s="481">
        <f t="shared" si="76"/>
        <v>0</v>
      </c>
    </row>
    <row r="1942" spans="1:17" outlineLevel="2" x14ac:dyDescent="0.3">
      <c r="A1942" s="366" t="str">
        <f>IFERROR(VLOOKUP(RIGHT(E1942,3)+0,[1]SchLocTable!$A$2:$B$47,2,FALSE)," ")</f>
        <v>High Horizons Magnet</v>
      </c>
      <c r="B1942" s="366" t="str">
        <f>VLOOKUP(VALUE(D1942),$D$3:F$106,3,FALSE)</f>
        <v>Social Studies</v>
      </c>
      <c r="C1942" t="s">
        <v>314</v>
      </c>
      <c r="D1942">
        <v>818</v>
      </c>
      <c r="E1942" t="s">
        <v>745</v>
      </c>
      <c r="F1942" t="s">
        <v>321</v>
      </c>
      <c r="G1942" t="s">
        <v>319</v>
      </c>
      <c r="H1942" s="502">
        <v>52917</v>
      </c>
      <c r="I1942" s="415">
        <v>0</v>
      </c>
      <c r="J1942" s="415">
        <v>0</v>
      </c>
      <c r="K1942" s="415">
        <v>0</v>
      </c>
      <c r="L1942" s="415">
        <v>0</v>
      </c>
      <c r="M1942" s="415">
        <v>7726</v>
      </c>
      <c r="N1942" s="415">
        <v>30308.67</v>
      </c>
      <c r="O1942" s="415">
        <v>29077.5</v>
      </c>
      <c r="P1942" s="415">
        <v>27385.05</v>
      </c>
      <c r="Q1942" s="481">
        <f t="shared" si="76"/>
        <v>0</v>
      </c>
    </row>
    <row r="1943" spans="1:17" outlineLevel="2" x14ac:dyDescent="0.3">
      <c r="A1943" s="366" t="str">
        <f>IFERROR(VLOOKUP(RIGHT(E1943,3)+0,[1]SchLocTable!$A$2:$B$47,2,FALSE)," ")</f>
        <v>High Horizons Magnet</v>
      </c>
      <c r="B1943" s="366" t="str">
        <f>VLOOKUP(VALUE(D1943),$D$3:F$106,3,FALSE)</f>
        <v>Social Studies</v>
      </c>
      <c r="C1943" t="s">
        <v>314</v>
      </c>
      <c r="D1943">
        <v>818</v>
      </c>
      <c r="E1943" t="s">
        <v>745</v>
      </c>
      <c r="F1943" t="s">
        <v>318</v>
      </c>
      <c r="G1943" t="s">
        <v>319</v>
      </c>
      <c r="H1943" s="502">
        <v>51140</v>
      </c>
      <c r="I1943" s="415">
        <v>0</v>
      </c>
      <c r="J1943" s="415">
        <v>0</v>
      </c>
      <c r="K1943" s="415">
        <v>0</v>
      </c>
      <c r="L1943" s="415">
        <v>1100</v>
      </c>
      <c r="M1943" s="415">
        <v>1100</v>
      </c>
      <c r="N1943" s="415">
        <v>1100</v>
      </c>
      <c r="O1943" s="415">
        <v>1100</v>
      </c>
      <c r="P1943" s="415">
        <v>1100</v>
      </c>
      <c r="Q1943" s="481">
        <f t="shared" si="76"/>
        <v>0</v>
      </c>
    </row>
    <row r="1944" spans="1:17" outlineLevel="2" x14ac:dyDescent="0.3">
      <c r="A1944" s="366" t="str">
        <f>IFERROR(VLOOKUP(RIGHT(E1944,3)+0,[1]SchLocTable!$A$2:$B$47,2,FALSE)," ")</f>
        <v>High Horizons Magnet</v>
      </c>
      <c r="B1944" s="366" t="str">
        <f>VLOOKUP(VALUE(D1944),$D$3:F$106,3,FALSE)</f>
        <v>Social Studies</v>
      </c>
      <c r="C1944" t="s">
        <v>314</v>
      </c>
      <c r="D1944">
        <v>818</v>
      </c>
      <c r="E1944" t="s">
        <v>745</v>
      </c>
      <c r="F1944" t="s">
        <v>320</v>
      </c>
      <c r="G1944" t="s">
        <v>319</v>
      </c>
      <c r="H1944" s="502">
        <v>52360</v>
      </c>
      <c r="I1944" s="415">
        <v>0</v>
      </c>
      <c r="J1944" s="415">
        <v>0</v>
      </c>
      <c r="K1944" s="415">
        <v>0</v>
      </c>
      <c r="L1944" s="415">
        <v>15.95</v>
      </c>
      <c r="M1944" s="415">
        <v>326.64999999999998</v>
      </c>
      <c r="N1944" s="415">
        <v>1312.06</v>
      </c>
      <c r="O1944" s="415">
        <v>1299.08</v>
      </c>
      <c r="P1944" s="415">
        <v>1285.02</v>
      </c>
      <c r="Q1944" s="481">
        <f t="shared" si="76"/>
        <v>0</v>
      </c>
    </row>
    <row r="1945" spans="1:17" outlineLevel="2" x14ac:dyDescent="0.3">
      <c r="A1945" s="366" t="str">
        <f>IFERROR(VLOOKUP(RIGHT(E1945,3)+0,[1]SchLocTable!$A$2:$B$47,2,FALSE)," ")</f>
        <v>Bassick HS</v>
      </c>
      <c r="B1945" s="366" t="str">
        <f>VLOOKUP(VALUE(D1945),$D$3:F$106,3,FALSE)</f>
        <v>Social Studies</v>
      </c>
      <c r="C1945" t="s">
        <v>314</v>
      </c>
      <c r="D1945">
        <v>818</v>
      </c>
      <c r="E1945" t="s">
        <v>746</v>
      </c>
      <c r="F1945" t="s">
        <v>316</v>
      </c>
      <c r="G1945">
        <v>8</v>
      </c>
      <c r="H1945" s="502">
        <v>51000</v>
      </c>
      <c r="I1945" s="415">
        <v>660603.83239</v>
      </c>
      <c r="J1945" s="415">
        <v>482778</v>
      </c>
      <c r="K1945" s="415">
        <v>507821.72</v>
      </c>
      <c r="L1945" s="415">
        <v>476511.91</v>
      </c>
      <c r="M1945" s="415">
        <v>456746.89</v>
      </c>
      <c r="N1945" s="415">
        <v>479966.35</v>
      </c>
      <c r="O1945" s="415">
        <v>462844.8</v>
      </c>
      <c r="P1945" s="415">
        <v>461907.14</v>
      </c>
      <c r="Q1945" s="481">
        <f t="shared" si="76"/>
        <v>-177825.83239</v>
      </c>
    </row>
    <row r="1946" spans="1:17" outlineLevel="2" x14ac:dyDescent="0.3">
      <c r="A1946" s="366" t="str">
        <f>IFERROR(VLOOKUP(RIGHT(E1946,3)+0,[1]SchLocTable!$A$2:$B$47,2,FALSE)," ")</f>
        <v>Bassick HS</v>
      </c>
      <c r="B1946" s="366" t="str">
        <f>VLOOKUP(VALUE(D1946),$D$3:F$106,3,FALSE)</f>
        <v>Social Studies</v>
      </c>
      <c r="C1946" t="s">
        <v>314</v>
      </c>
      <c r="D1946">
        <v>818</v>
      </c>
      <c r="E1946" t="s">
        <v>746</v>
      </c>
      <c r="F1946" t="s">
        <v>321</v>
      </c>
      <c r="G1946" t="s">
        <v>319</v>
      </c>
      <c r="H1946" s="502">
        <v>52917</v>
      </c>
      <c r="I1946" s="415">
        <v>283402.47599999997</v>
      </c>
      <c r="J1946" s="415">
        <v>227519.48</v>
      </c>
      <c r="K1946" s="415">
        <v>204480.54</v>
      </c>
      <c r="L1946" s="415">
        <v>140399.04999999999</v>
      </c>
      <c r="M1946" s="415">
        <v>130386.96</v>
      </c>
      <c r="N1946" s="415">
        <v>166119.66</v>
      </c>
      <c r="O1946" s="415">
        <v>116597.97</v>
      </c>
      <c r="P1946" s="415">
        <v>114055.97</v>
      </c>
      <c r="Q1946" s="481">
        <f t="shared" si="76"/>
        <v>-55882.995999999956</v>
      </c>
    </row>
    <row r="1947" spans="1:17" outlineLevel="2" x14ac:dyDescent="0.3">
      <c r="A1947" s="366" t="str">
        <f>IFERROR(VLOOKUP(RIGHT(E1947,3)+0,[1]SchLocTable!$A$2:$B$47,2,FALSE)," ")</f>
        <v>Bassick HS</v>
      </c>
      <c r="B1947" s="366" t="str">
        <f>VLOOKUP(VALUE(D1947),$D$3:F$106,3,FALSE)</f>
        <v>Social Studies</v>
      </c>
      <c r="C1947" t="s">
        <v>314</v>
      </c>
      <c r="D1947">
        <v>818</v>
      </c>
      <c r="E1947" t="s">
        <v>746</v>
      </c>
      <c r="F1947" t="s">
        <v>318</v>
      </c>
      <c r="G1947" t="s">
        <v>319</v>
      </c>
      <c r="H1947" s="502">
        <v>51140</v>
      </c>
      <c r="I1947" s="415">
        <v>1800</v>
      </c>
      <c r="J1947" s="415">
        <v>0</v>
      </c>
      <c r="K1947" s="415">
        <v>900</v>
      </c>
      <c r="L1947" s="415">
        <v>0</v>
      </c>
      <c r="M1947" s="415">
        <v>0</v>
      </c>
      <c r="N1947" s="415">
        <v>1100</v>
      </c>
      <c r="O1947" s="415">
        <v>1100</v>
      </c>
      <c r="P1947" s="415">
        <v>1100</v>
      </c>
      <c r="Q1947" s="481">
        <f t="shared" si="76"/>
        <v>-1800</v>
      </c>
    </row>
    <row r="1948" spans="1:17" outlineLevel="2" x14ac:dyDescent="0.3">
      <c r="A1948" s="366" t="str">
        <f>IFERROR(VLOOKUP(RIGHT(E1948,3)+0,[1]SchLocTable!$A$2:$B$47,2,FALSE)," ")</f>
        <v>Bassick HS</v>
      </c>
      <c r="B1948" s="366" t="str">
        <f>VLOOKUP(VALUE(D1948),$D$3:F$106,3,FALSE)</f>
        <v>Social Studies</v>
      </c>
      <c r="C1948" t="s">
        <v>314</v>
      </c>
      <c r="D1948">
        <v>818</v>
      </c>
      <c r="E1948" t="s">
        <v>746</v>
      </c>
      <c r="F1948" t="s">
        <v>320</v>
      </c>
      <c r="G1948" t="s">
        <v>319</v>
      </c>
      <c r="H1948" s="502">
        <v>52360</v>
      </c>
      <c r="I1948" s="415">
        <v>9578.7555696550007</v>
      </c>
      <c r="J1948" s="415">
        <v>5867</v>
      </c>
      <c r="K1948" s="415">
        <v>6502.69</v>
      </c>
      <c r="L1948" s="415">
        <v>6329.36</v>
      </c>
      <c r="M1948" s="415">
        <v>6115.06</v>
      </c>
      <c r="N1948" s="415">
        <v>6326.35</v>
      </c>
      <c r="O1948" s="415">
        <v>6284.28</v>
      </c>
      <c r="P1948" s="415">
        <v>6286.04</v>
      </c>
      <c r="Q1948" s="481">
        <f t="shared" si="76"/>
        <v>-3711.7555696550007</v>
      </c>
    </row>
    <row r="1949" spans="1:17" outlineLevel="2" x14ac:dyDescent="0.3">
      <c r="A1949" s="366" t="str">
        <f>IFERROR(VLOOKUP(RIGHT(E1949,3)+0,[1]SchLocTable!$A$2:$B$47,2,FALSE)," ")</f>
        <v>Bassick HS</v>
      </c>
      <c r="B1949" s="366" t="str">
        <f>VLOOKUP(VALUE(D1949),$D$3:F$106,3,FALSE)</f>
        <v>Social Studies</v>
      </c>
      <c r="C1949" t="s">
        <v>314</v>
      </c>
      <c r="D1949">
        <v>818</v>
      </c>
      <c r="E1949" t="s">
        <v>746</v>
      </c>
      <c r="F1949" t="s">
        <v>324</v>
      </c>
      <c r="G1949" t="s">
        <v>319</v>
      </c>
      <c r="H1949" s="502">
        <v>52385</v>
      </c>
      <c r="I1949" s="415">
        <v>0</v>
      </c>
      <c r="J1949" s="415">
        <v>0</v>
      </c>
      <c r="K1949" s="415">
        <v>2617.4899999999998</v>
      </c>
      <c r="L1949" s="415">
        <v>483.18</v>
      </c>
      <c r="M1949" s="415">
        <v>2646.15</v>
      </c>
      <c r="N1949" s="415">
        <v>0</v>
      </c>
      <c r="O1949" s="415">
        <v>0</v>
      </c>
      <c r="P1949" s="415">
        <v>0</v>
      </c>
      <c r="Q1949" s="481">
        <f t="shared" si="76"/>
        <v>0</v>
      </c>
    </row>
    <row r="1950" spans="1:17" outlineLevel="2" x14ac:dyDescent="0.3">
      <c r="A1950" s="366" t="str">
        <f>IFERROR(VLOOKUP(RIGHT(E1950,3)+0,[1]SchLocTable!$A$2:$B$47,2,FALSE)," ")</f>
        <v>Central HS</v>
      </c>
      <c r="B1950" s="366" t="str">
        <f>VLOOKUP(VALUE(D1950),$D$3:F$106,3,FALSE)</f>
        <v>Social Studies</v>
      </c>
      <c r="C1950" t="s">
        <v>314</v>
      </c>
      <c r="D1950">
        <v>818</v>
      </c>
      <c r="E1950" t="s">
        <v>747</v>
      </c>
      <c r="F1950" t="s">
        <v>316</v>
      </c>
      <c r="G1950">
        <v>16</v>
      </c>
      <c r="H1950" s="502">
        <v>51000</v>
      </c>
      <c r="I1950" s="415">
        <v>1280790.9583200002</v>
      </c>
      <c r="J1950" s="415">
        <v>1148190.22</v>
      </c>
      <c r="K1950" s="415">
        <v>1177983.95</v>
      </c>
      <c r="L1950" s="415">
        <v>1075037.43</v>
      </c>
      <c r="M1950" s="415">
        <v>967420.66</v>
      </c>
      <c r="N1950" s="415">
        <v>999682.9</v>
      </c>
      <c r="O1950" s="415">
        <v>1202816.3700000001</v>
      </c>
      <c r="P1950" s="415">
        <v>1101086.6100000001</v>
      </c>
      <c r="Q1950" s="481">
        <f t="shared" si="76"/>
        <v>-132600.73832000024</v>
      </c>
    </row>
    <row r="1951" spans="1:17" outlineLevel="2" x14ac:dyDescent="0.3">
      <c r="A1951" s="366" t="str">
        <f>IFERROR(VLOOKUP(RIGHT(E1951,3)+0,[1]SchLocTable!$A$2:$B$47,2,FALSE)," ")</f>
        <v>Central HS</v>
      </c>
      <c r="B1951" s="366" t="str">
        <f>VLOOKUP(VALUE(D1951),$D$3:F$106,3,FALSE)</f>
        <v>Social Studies</v>
      </c>
      <c r="C1951" t="s">
        <v>314</v>
      </c>
      <c r="D1951">
        <v>818</v>
      </c>
      <c r="E1951" t="s">
        <v>747</v>
      </c>
      <c r="F1951" t="s">
        <v>321</v>
      </c>
      <c r="G1951" t="s">
        <v>319</v>
      </c>
      <c r="H1951" s="502">
        <v>52917</v>
      </c>
      <c r="I1951" s="415">
        <v>304021.98</v>
      </c>
      <c r="J1951" s="415">
        <v>227593.29</v>
      </c>
      <c r="K1951" s="415">
        <v>221798.34</v>
      </c>
      <c r="L1951" s="415">
        <v>235363.82</v>
      </c>
      <c r="M1951" s="415">
        <v>234574.03</v>
      </c>
      <c r="N1951" s="415">
        <v>237461.96</v>
      </c>
      <c r="O1951" s="415">
        <v>278161.27</v>
      </c>
      <c r="P1951" s="415">
        <v>254995.91</v>
      </c>
      <c r="Q1951" s="481">
        <f t="shared" si="76"/>
        <v>-76428.689999999973</v>
      </c>
    </row>
    <row r="1952" spans="1:17" outlineLevel="2" x14ac:dyDescent="0.3">
      <c r="A1952" s="366" t="str">
        <f>IFERROR(VLOOKUP(RIGHT(E1952,3)+0,[1]SchLocTable!$A$2:$B$47,2,FALSE)," ")</f>
        <v>Central HS</v>
      </c>
      <c r="B1952" s="366" t="str">
        <f>VLOOKUP(VALUE(D1952),$D$3:F$106,3,FALSE)</f>
        <v>Social Studies</v>
      </c>
      <c r="C1952" t="s">
        <v>314</v>
      </c>
      <c r="D1952">
        <v>818</v>
      </c>
      <c r="E1952" t="s">
        <v>747</v>
      </c>
      <c r="F1952" t="s">
        <v>318</v>
      </c>
      <c r="G1952" t="s">
        <v>319</v>
      </c>
      <c r="H1952" s="502">
        <v>51140</v>
      </c>
      <c r="I1952" s="415">
        <v>5300</v>
      </c>
      <c r="J1952" s="415">
        <v>0</v>
      </c>
      <c r="K1952" s="415">
        <v>5500</v>
      </c>
      <c r="L1952" s="415">
        <v>5400</v>
      </c>
      <c r="M1952" s="415">
        <v>7100</v>
      </c>
      <c r="N1952" s="415">
        <v>8100</v>
      </c>
      <c r="O1952" s="415">
        <v>7400</v>
      </c>
      <c r="P1952" s="415">
        <v>7640</v>
      </c>
      <c r="Q1952" s="481">
        <f t="shared" si="76"/>
        <v>-5300</v>
      </c>
    </row>
    <row r="1953" spans="1:17" outlineLevel="2" x14ac:dyDescent="0.3">
      <c r="A1953" s="366" t="str">
        <f>IFERROR(VLOOKUP(RIGHT(E1953,3)+0,[1]SchLocTable!$A$2:$B$47,2,FALSE)," ")</f>
        <v>Central HS</v>
      </c>
      <c r="B1953" s="366" t="str">
        <f>VLOOKUP(VALUE(D1953),$D$3:F$106,3,FALSE)</f>
        <v>Social Studies</v>
      </c>
      <c r="C1953" t="s">
        <v>314</v>
      </c>
      <c r="D1953">
        <v>818</v>
      </c>
      <c r="E1953" t="s">
        <v>747</v>
      </c>
      <c r="F1953" t="s">
        <v>320</v>
      </c>
      <c r="G1953" t="s">
        <v>319</v>
      </c>
      <c r="H1953" s="502">
        <v>52360</v>
      </c>
      <c r="I1953" s="415">
        <v>18571.468895639999</v>
      </c>
      <c r="J1953" s="415">
        <v>16490.830000000002</v>
      </c>
      <c r="K1953" s="415">
        <v>16150.49</v>
      </c>
      <c r="L1953" s="415">
        <v>14655.56</v>
      </c>
      <c r="M1953" s="415">
        <v>13076.21</v>
      </c>
      <c r="N1953" s="415">
        <v>13874.91</v>
      </c>
      <c r="O1953" s="415">
        <v>16491.59</v>
      </c>
      <c r="P1953" s="415">
        <v>15025.27</v>
      </c>
      <c r="Q1953" s="481">
        <f t="shared" si="76"/>
        <v>-2080.6388956399969</v>
      </c>
    </row>
    <row r="1954" spans="1:17" outlineLevel="1" x14ac:dyDescent="0.3">
      <c r="A1954" s="366" t="str">
        <f>IFERROR(VLOOKUP(RIGHT(E1954,3)+0,[1]SchLocTable!$A$2:$B$47,2,FALSE)," ")</f>
        <v>Central HS</v>
      </c>
      <c r="B1954" s="366" t="str">
        <f>VLOOKUP(VALUE(D1954),$D$3:F$106,3,FALSE)</f>
        <v>Social Studies</v>
      </c>
      <c r="C1954" t="s">
        <v>314</v>
      </c>
      <c r="D1954">
        <v>818</v>
      </c>
      <c r="E1954" t="s">
        <v>747</v>
      </c>
      <c r="F1954" t="s">
        <v>324</v>
      </c>
      <c r="G1954" t="s">
        <v>319</v>
      </c>
      <c r="H1954" s="502">
        <v>52385</v>
      </c>
      <c r="I1954" s="415">
        <v>0</v>
      </c>
      <c r="J1954" s="415">
        <v>0</v>
      </c>
      <c r="K1954" s="415">
        <v>248</v>
      </c>
      <c r="L1954" s="415">
        <v>2092.5</v>
      </c>
      <c r="M1954" s="415">
        <v>3633.64</v>
      </c>
      <c r="N1954" s="415">
        <v>0</v>
      </c>
      <c r="O1954" s="415">
        <v>0</v>
      </c>
      <c r="P1954" s="415">
        <v>0</v>
      </c>
      <c r="Q1954" s="481">
        <f t="shared" si="76"/>
        <v>0</v>
      </c>
    </row>
    <row r="1955" spans="1:17" outlineLevel="2" x14ac:dyDescent="0.3">
      <c r="A1955" s="366" t="str">
        <f>IFERROR(VLOOKUP(RIGHT(E1955,3)+0,[1]SchLocTable!$A$2:$B$47,2,FALSE)," ")</f>
        <v>Central HS</v>
      </c>
      <c r="B1955" s="366" t="str">
        <f>VLOOKUP(VALUE(D1955),$D$3:F$106,3,FALSE)</f>
        <v>Social Studies</v>
      </c>
      <c r="C1955" t="s">
        <v>314</v>
      </c>
      <c r="D1955">
        <v>818</v>
      </c>
      <c r="E1955" t="s">
        <v>747</v>
      </c>
      <c r="F1955" t="s">
        <v>329</v>
      </c>
      <c r="G1955" t="s">
        <v>319</v>
      </c>
      <c r="H1955" s="502">
        <v>51154</v>
      </c>
      <c r="I1955" s="415">
        <v>0</v>
      </c>
      <c r="J1955" s="415">
        <v>0</v>
      </c>
      <c r="K1955" s="415">
        <v>0</v>
      </c>
      <c r="L1955" s="415">
        <v>0</v>
      </c>
      <c r="M1955" s="415">
        <v>11375</v>
      </c>
      <c r="N1955" s="415">
        <v>6825</v>
      </c>
      <c r="O1955" s="415">
        <v>0</v>
      </c>
      <c r="P1955" s="415">
        <v>0</v>
      </c>
      <c r="Q1955" s="481">
        <f t="shared" si="76"/>
        <v>0</v>
      </c>
    </row>
    <row r="1956" spans="1:17" outlineLevel="2" x14ac:dyDescent="0.3">
      <c r="A1956" s="366" t="str">
        <f>IFERROR(VLOOKUP(RIGHT(E1956,3)+0,[1]SchLocTable!$A$2:$B$47,2,FALSE)," ")</f>
        <v>Harding HS</v>
      </c>
      <c r="B1956" s="366" t="str">
        <f>VLOOKUP(VALUE(D1956),$D$3:F$106,3,FALSE)</f>
        <v>Social Studies</v>
      </c>
      <c r="C1956" t="s">
        <v>314</v>
      </c>
      <c r="D1956">
        <v>818</v>
      </c>
      <c r="E1956" t="s">
        <v>748</v>
      </c>
      <c r="F1956" t="s">
        <v>316</v>
      </c>
      <c r="G1956">
        <v>10</v>
      </c>
      <c r="H1956" s="502">
        <v>51000</v>
      </c>
      <c r="I1956" s="415">
        <v>858105.80803999992</v>
      </c>
      <c r="J1956" s="415">
        <v>711396</v>
      </c>
      <c r="K1956" s="415">
        <v>681937.38</v>
      </c>
      <c r="L1956" s="415">
        <v>612762.16</v>
      </c>
      <c r="M1956" s="415">
        <v>575304.84</v>
      </c>
      <c r="N1956" s="415">
        <v>592142.01</v>
      </c>
      <c r="O1956" s="415">
        <v>625159.6</v>
      </c>
      <c r="P1956" s="415">
        <v>615318.07999999996</v>
      </c>
      <c r="Q1956" s="481">
        <f t="shared" si="76"/>
        <v>-146709.80803999992</v>
      </c>
    </row>
    <row r="1957" spans="1:17" outlineLevel="2" x14ac:dyDescent="0.3">
      <c r="A1957" s="366" t="str">
        <f>IFERROR(VLOOKUP(RIGHT(E1957,3)+0,[1]SchLocTable!$A$2:$B$47,2,FALSE)," ")</f>
        <v>Harding HS</v>
      </c>
      <c r="B1957" s="366" t="str">
        <f>VLOOKUP(VALUE(D1957),$D$3:F$106,3,FALSE)</f>
        <v>Social Studies</v>
      </c>
      <c r="C1957" t="s">
        <v>314</v>
      </c>
      <c r="D1957">
        <v>818</v>
      </c>
      <c r="E1957" t="s">
        <v>748</v>
      </c>
      <c r="F1957" t="s">
        <v>321</v>
      </c>
      <c r="G1957" t="s">
        <v>319</v>
      </c>
      <c r="H1957" s="502">
        <v>52917</v>
      </c>
      <c r="I1957" s="415">
        <v>172940.796</v>
      </c>
      <c r="J1957" s="415">
        <v>145863.32999999999</v>
      </c>
      <c r="K1957" s="415">
        <v>118645.84</v>
      </c>
      <c r="L1957" s="415">
        <v>120979.7</v>
      </c>
      <c r="M1957" s="415">
        <v>111582.34</v>
      </c>
      <c r="N1957" s="415">
        <v>124869.63</v>
      </c>
      <c r="O1957" s="415">
        <v>171690.65</v>
      </c>
      <c r="P1957" s="415">
        <v>156188.64000000001</v>
      </c>
      <c r="Q1957" s="481">
        <f t="shared" si="76"/>
        <v>-27077.466000000015</v>
      </c>
    </row>
    <row r="1958" spans="1:17" outlineLevel="2" x14ac:dyDescent="0.3">
      <c r="A1958" s="366" t="str">
        <f>IFERROR(VLOOKUP(RIGHT(E1958,3)+0,[1]SchLocTable!$A$2:$B$47,2,FALSE)," ")</f>
        <v>Harding HS</v>
      </c>
      <c r="B1958" s="366" t="str">
        <f>VLOOKUP(VALUE(D1958),$D$3:F$106,3,FALSE)</f>
        <v>Social Studies</v>
      </c>
      <c r="C1958" t="s">
        <v>314</v>
      </c>
      <c r="D1958">
        <v>818</v>
      </c>
      <c r="E1958" t="s">
        <v>748</v>
      </c>
      <c r="F1958" t="s">
        <v>318</v>
      </c>
      <c r="G1958" t="s">
        <v>319</v>
      </c>
      <c r="H1958" s="502">
        <v>51140</v>
      </c>
      <c r="I1958" s="415">
        <v>4200</v>
      </c>
      <c r="J1958" s="415">
        <v>0</v>
      </c>
      <c r="K1958" s="415">
        <v>3200</v>
      </c>
      <c r="L1958" s="415">
        <v>4000</v>
      </c>
      <c r="M1958" s="415">
        <v>4000</v>
      </c>
      <c r="N1958" s="415">
        <v>5100</v>
      </c>
      <c r="O1958" s="415">
        <v>5800</v>
      </c>
      <c r="P1958" s="415">
        <v>3800</v>
      </c>
      <c r="Q1958" s="481">
        <f t="shared" si="76"/>
        <v>-4200</v>
      </c>
    </row>
    <row r="1959" spans="1:17" outlineLevel="2" x14ac:dyDescent="0.3">
      <c r="A1959" s="366" t="str">
        <f>IFERROR(VLOOKUP(RIGHT(E1959,3)+0,[1]SchLocTable!$A$2:$B$47,2,FALSE)," ")</f>
        <v>Harding HS</v>
      </c>
      <c r="B1959" s="366" t="str">
        <f>VLOOKUP(VALUE(D1959),$D$3:F$106,3,FALSE)</f>
        <v>Social Studies</v>
      </c>
      <c r="C1959" t="s">
        <v>314</v>
      </c>
      <c r="D1959">
        <v>818</v>
      </c>
      <c r="E1959" t="s">
        <v>748</v>
      </c>
      <c r="F1959" t="s">
        <v>320</v>
      </c>
      <c r="G1959" t="s">
        <v>319</v>
      </c>
      <c r="H1959" s="502">
        <v>52360</v>
      </c>
      <c r="I1959" s="415">
        <v>12442.534216579999</v>
      </c>
      <c r="J1959" s="415">
        <v>9655</v>
      </c>
      <c r="K1959" s="415">
        <v>9478.51</v>
      </c>
      <c r="L1959" s="415">
        <v>8436.69</v>
      </c>
      <c r="M1959" s="415">
        <v>7913.34</v>
      </c>
      <c r="N1959" s="415">
        <v>8172.14</v>
      </c>
      <c r="O1959" s="415">
        <v>8488.56</v>
      </c>
      <c r="P1959" s="415">
        <v>8377.94</v>
      </c>
      <c r="Q1959" s="481">
        <f t="shared" si="76"/>
        <v>-2787.5342165799993</v>
      </c>
    </row>
    <row r="1960" spans="1:17" outlineLevel="2" x14ac:dyDescent="0.3">
      <c r="A1960" s="366" t="str">
        <f>IFERROR(VLOOKUP(RIGHT(E1960,3)+0,[1]SchLocTable!$A$2:$B$47,2,FALSE)," ")</f>
        <v>Harding HS</v>
      </c>
      <c r="B1960" s="366" t="str">
        <f>VLOOKUP(VALUE(D1960),$D$3:F$106,3,FALSE)</f>
        <v>Social Studies</v>
      </c>
      <c r="C1960" t="s">
        <v>314</v>
      </c>
      <c r="D1960">
        <v>818</v>
      </c>
      <c r="E1960" t="s">
        <v>748</v>
      </c>
      <c r="F1960" t="s">
        <v>324</v>
      </c>
      <c r="G1960" t="s">
        <v>319</v>
      </c>
      <c r="H1960" s="502">
        <v>52385</v>
      </c>
      <c r="I1960" s="415">
        <v>0</v>
      </c>
      <c r="J1960" s="415">
        <v>0</v>
      </c>
      <c r="K1960" s="415">
        <v>0</v>
      </c>
      <c r="L1960" s="415">
        <v>534.08000000000004</v>
      </c>
      <c r="M1960" s="415">
        <v>961</v>
      </c>
      <c r="N1960" s="415">
        <v>2566.37</v>
      </c>
      <c r="O1960" s="415">
        <v>0</v>
      </c>
      <c r="P1960" s="415">
        <v>0</v>
      </c>
      <c r="Q1960" s="481">
        <f t="shared" si="76"/>
        <v>0</v>
      </c>
    </row>
    <row r="1961" spans="1:17" outlineLevel="2" x14ac:dyDescent="0.3">
      <c r="A1961" s="366" t="str">
        <f>IFERROR(VLOOKUP(RIGHT(E1961,3)+0,[1]SchLocTable!$A$2:$B$47,2,FALSE)," ")</f>
        <v xml:space="preserve"> </v>
      </c>
      <c r="B1961" s="366" t="str">
        <f>VLOOKUP(VALUE(D1961),$D$3:F$106,3,FALSE)</f>
        <v>Physical Education</v>
      </c>
      <c r="C1961" t="s">
        <v>314</v>
      </c>
      <c r="D1961">
        <v>819</v>
      </c>
      <c r="E1961" t="s">
        <v>749</v>
      </c>
      <c r="F1961" t="s">
        <v>316</v>
      </c>
      <c r="G1961" t="s">
        <v>319</v>
      </c>
      <c r="H1961" s="502">
        <v>51000</v>
      </c>
      <c r="I1961" s="415">
        <v>55242.609449999996</v>
      </c>
      <c r="J1961" s="415">
        <v>0</v>
      </c>
      <c r="K1961" s="415">
        <v>0</v>
      </c>
      <c r="L1961" s="415">
        <v>0</v>
      </c>
      <c r="M1961" s="415">
        <v>0</v>
      </c>
      <c r="N1961" s="415">
        <v>40696.39</v>
      </c>
      <c r="O1961" s="415">
        <v>0</v>
      </c>
      <c r="P1961" s="415">
        <v>0</v>
      </c>
      <c r="Q1961" s="481">
        <f t="shared" si="76"/>
        <v>-55242.609449999996</v>
      </c>
    </row>
    <row r="1962" spans="1:17" outlineLevel="1" x14ac:dyDescent="0.3">
      <c r="A1962" s="366" t="str">
        <f>IFERROR(VLOOKUP(RIGHT(E1962,3)+0,[1]SchLocTable!$A$2:$B$47,2,FALSE)," ")</f>
        <v xml:space="preserve"> </v>
      </c>
      <c r="B1962" s="366" t="str">
        <f>VLOOKUP(VALUE(D1962),$D$3:F$106,3,FALSE)</f>
        <v>Physical Education</v>
      </c>
      <c r="C1962" t="s">
        <v>314</v>
      </c>
      <c r="D1962">
        <v>819</v>
      </c>
      <c r="E1962" t="s">
        <v>749</v>
      </c>
      <c r="F1962" t="s">
        <v>321</v>
      </c>
      <c r="G1962" t="s">
        <v>319</v>
      </c>
      <c r="H1962" s="502">
        <v>52917</v>
      </c>
      <c r="I1962" s="415">
        <v>15644.663999999999</v>
      </c>
      <c r="J1962" s="415">
        <v>0</v>
      </c>
      <c r="K1962" s="415">
        <v>0</v>
      </c>
      <c r="L1962" s="415">
        <v>0</v>
      </c>
      <c r="M1962" s="415">
        <v>0</v>
      </c>
      <c r="N1962" s="415">
        <v>12917.79</v>
      </c>
      <c r="O1962" s="415">
        <v>0</v>
      </c>
      <c r="P1962" s="415">
        <v>0</v>
      </c>
      <c r="Q1962" s="481">
        <f t="shared" si="76"/>
        <v>-15644.663999999999</v>
      </c>
    </row>
    <row r="1963" spans="1:17" outlineLevel="1" x14ac:dyDescent="0.3">
      <c r="A1963" s="366" t="str">
        <f>IFERROR(VLOOKUP(RIGHT(E1963,3)+0,[1]SchLocTable!$A$2:$B$47,2,FALSE)," ")</f>
        <v xml:space="preserve"> </v>
      </c>
      <c r="B1963" s="366" t="str">
        <f>VLOOKUP(VALUE(D1963),$D$3:F$106,3,FALSE)</f>
        <v>Physical Education</v>
      </c>
      <c r="C1963" t="s">
        <v>314</v>
      </c>
      <c r="D1963">
        <v>819</v>
      </c>
      <c r="E1963" t="s">
        <v>749</v>
      </c>
      <c r="F1963" t="s">
        <v>318</v>
      </c>
      <c r="G1963" t="s">
        <v>319</v>
      </c>
      <c r="H1963" s="502">
        <v>51140</v>
      </c>
      <c r="I1963" s="415">
        <v>0</v>
      </c>
      <c r="J1963" s="415">
        <v>0</v>
      </c>
      <c r="K1963" s="415">
        <v>0</v>
      </c>
      <c r="L1963" s="415">
        <v>1800</v>
      </c>
      <c r="M1963" s="415">
        <v>1800</v>
      </c>
      <c r="N1963" s="415">
        <v>0</v>
      </c>
      <c r="O1963" s="415">
        <v>0</v>
      </c>
      <c r="P1963" s="415">
        <v>0</v>
      </c>
      <c r="Q1963" s="481">
        <f t="shared" si="76"/>
        <v>0</v>
      </c>
    </row>
    <row r="1964" spans="1:17" outlineLevel="2" x14ac:dyDescent="0.3">
      <c r="A1964" s="366" t="str">
        <f>IFERROR(VLOOKUP(RIGHT(E1964,3)+0,[1]SchLocTable!$A$2:$B$47,2,FALSE)," ")</f>
        <v xml:space="preserve"> </v>
      </c>
      <c r="B1964" s="366" t="str">
        <f>VLOOKUP(VALUE(D1964),$D$3:F$106,3,FALSE)</f>
        <v>Physical Education</v>
      </c>
      <c r="C1964" t="s">
        <v>314</v>
      </c>
      <c r="D1964">
        <v>819</v>
      </c>
      <c r="E1964" t="s">
        <v>749</v>
      </c>
      <c r="F1964" t="s">
        <v>320</v>
      </c>
      <c r="G1964" t="s">
        <v>319</v>
      </c>
      <c r="H1964" s="502">
        <v>52360</v>
      </c>
      <c r="I1964" s="415">
        <v>801.01783702499995</v>
      </c>
      <c r="J1964" s="415">
        <v>0</v>
      </c>
      <c r="K1964" s="415">
        <v>0</v>
      </c>
      <c r="L1964" s="415">
        <v>26.1</v>
      </c>
      <c r="M1964" s="415">
        <v>0</v>
      </c>
      <c r="N1964" s="415">
        <v>543.19000000000005</v>
      </c>
      <c r="O1964" s="415">
        <v>0</v>
      </c>
      <c r="P1964" s="415">
        <v>0</v>
      </c>
      <c r="Q1964" s="481">
        <f t="shared" si="76"/>
        <v>-801.01783702499995</v>
      </c>
    </row>
    <row r="1965" spans="1:17" outlineLevel="2" x14ac:dyDescent="0.3">
      <c r="A1965" s="366" t="str">
        <f>IFERROR(VLOOKUP(RIGHT(E1965,3)+0,[1]SchLocTable!$A$2:$B$47,2,FALSE)," ")</f>
        <v xml:space="preserve"> </v>
      </c>
      <c r="B1965" s="366" t="str">
        <f>VLOOKUP(VALUE(D1965),$D$3:F$106,3,FALSE)</f>
        <v>Physical Education</v>
      </c>
      <c r="C1965" t="s">
        <v>314</v>
      </c>
      <c r="D1965">
        <v>819</v>
      </c>
      <c r="E1965" t="s">
        <v>749</v>
      </c>
      <c r="F1965" t="s">
        <v>750</v>
      </c>
      <c r="G1965" t="s">
        <v>319</v>
      </c>
      <c r="H1965" s="502">
        <v>55195</v>
      </c>
      <c r="I1965" s="415">
        <v>795.44839999999999</v>
      </c>
      <c r="J1965" s="415">
        <v>772.28</v>
      </c>
      <c r="K1965" s="415">
        <v>202.34</v>
      </c>
      <c r="L1965" s="415">
        <v>1702.71</v>
      </c>
      <c r="M1965" s="415">
        <v>0</v>
      </c>
      <c r="N1965" s="415">
        <v>0</v>
      </c>
      <c r="O1965" s="415">
        <v>1378</v>
      </c>
      <c r="P1965" s="415">
        <v>0</v>
      </c>
      <c r="Q1965" s="481">
        <f t="shared" si="76"/>
        <v>-23.16840000000002</v>
      </c>
    </row>
    <row r="1966" spans="1:17" outlineLevel="2" x14ac:dyDescent="0.3">
      <c r="A1966" s="366" t="str">
        <f>IFERROR(VLOOKUP(RIGHT(E1966,3)+0,[1]SchLocTable!$A$2:$B$47,2,FALSE)," ")</f>
        <v xml:space="preserve"> </v>
      </c>
      <c r="B1966" s="366" t="str">
        <f>VLOOKUP(VALUE(D1966),$D$3:F$106,3,FALSE)</f>
        <v>Physical Education</v>
      </c>
      <c r="C1966" t="s">
        <v>314</v>
      </c>
      <c r="D1966">
        <v>819</v>
      </c>
      <c r="E1966" t="s">
        <v>749</v>
      </c>
      <c r="F1966" t="s">
        <v>502</v>
      </c>
      <c r="G1966" t="s">
        <v>319</v>
      </c>
      <c r="H1966" s="502">
        <v>53610</v>
      </c>
      <c r="I1966" s="415">
        <v>2163</v>
      </c>
      <c r="J1966" s="415">
        <v>2100</v>
      </c>
      <c r="K1966" s="415">
        <v>0</v>
      </c>
      <c r="L1966" s="415">
        <v>0</v>
      </c>
      <c r="M1966" s="415">
        <v>0</v>
      </c>
      <c r="N1966" s="415">
        <v>0</v>
      </c>
      <c r="O1966" s="415">
        <v>0</v>
      </c>
      <c r="P1966" s="415">
        <v>0</v>
      </c>
      <c r="Q1966" s="481">
        <f t="shared" si="76"/>
        <v>-63</v>
      </c>
    </row>
    <row r="1967" spans="1:17" outlineLevel="2" x14ac:dyDescent="0.3">
      <c r="A1967" s="366" t="str">
        <f>IFERROR(VLOOKUP(RIGHT(E1967,3)+0,[1]SchLocTable!$A$2:$B$47,2,FALSE)," ")</f>
        <v xml:space="preserve"> </v>
      </c>
      <c r="B1967" s="366" t="str">
        <f>VLOOKUP(VALUE(D1967),$D$3:F$106,3,FALSE)</f>
        <v>Physical Education</v>
      </c>
      <c r="C1967" t="s">
        <v>314</v>
      </c>
      <c r="D1967">
        <v>819</v>
      </c>
      <c r="E1967" t="s">
        <v>749</v>
      </c>
      <c r="F1967" t="s">
        <v>533</v>
      </c>
      <c r="G1967" t="s">
        <v>319</v>
      </c>
      <c r="H1967" s="502">
        <v>52397</v>
      </c>
      <c r="I1967" s="415">
        <v>0</v>
      </c>
      <c r="J1967" s="415">
        <v>0</v>
      </c>
      <c r="K1967" s="415">
        <v>0</v>
      </c>
      <c r="L1967" s="415">
        <v>0</v>
      </c>
      <c r="M1967" s="415">
        <v>2184</v>
      </c>
      <c r="N1967" s="415">
        <v>1176</v>
      </c>
      <c r="O1967" s="415">
        <v>0</v>
      </c>
      <c r="P1967" s="415">
        <v>0</v>
      </c>
      <c r="Q1967" s="481">
        <f t="shared" si="76"/>
        <v>0</v>
      </c>
    </row>
    <row r="1968" spans="1:17" outlineLevel="2" x14ac:dyDescent="0.3">
      <c r="A1968" s="366" t="str">
        <f>IFERROR(VLOOKUP(RIGHT(E1968,3)+0,[1]SchLocTable!$A$2:$B$47,2,FALSE)," ")</f>
        <v>Barnum</v>
      </c>
      <c r="B1968" s="366" t="str">
        <f>VLOOKUP(VALUE(D1968),$D$3:F$106,3,FALSE)</f>
        <v>Physical Education</v>
      </c>
      <c r="C1968" t="s">
        <v>314</v>
      </c>
      <c r="D1968">
        <v>819</v>
      </c>
      <c r="E1968" t="s">
        <v>751</v>
      </c>
      <c r="F1968" t="s">
        <v>316</v>
      </c>
      <c r="G1968">
        <v>2</v>
      </c>
      <c r="H1968" s="502">
        <v>51000</v>
      </c>
      <c r="I1968" s="415">
        <v>210686.49738999997</v>
      </c>
      <c r="J1968" s="415">
        <v>200463</v>
      </c>
      <c r="K1968" s="415">
        <v>188164.14</v>
      </c>
      <c r="L1968" s="415">
        <v>168046.17</v>
      </c>
      <c r="M1968" s="415">
        <v>93222.99</v>
      </c>
      <c r="N1968" s="415">
        <v>88896.99</v>
      </c>
      <c r="O1968" s="415">
        <v>83107.08</v>
      </c>
      <c r="P1968" s="415">
        <v>105564.59</v>
      </c>
      <c r="Q1968" s="481">
        <f t="shared" si="76"/>
        <v>-10223.497389999975</v>
      </c>
    </row>
    <row r="1969" spans="1:17" outlineLevel="2" x14ac:dyDescent="0.3">
      <c r="A1969" s="366" t="str">
        <f>IFERROR(VLOOKUP(RIGHT(E1969,3)+0,[1]SchLocTable!$A$2:$B$47,2,FALSE)," ")</f>
        <v>Barnum</v>
      </c>
      <c r="B1969" s="366" t="str">
        <f>VLOOKUP(VALUE(D1969),$D$3:F$106,3,FALSE)</f>
        <v>Physical Education</v>
      </c>
      <c r="C1969" t="s">
        <v>314</v>
      </c>
      <c r="D1969">
        <v>819</v>
      </c>
      <c r="E1969" t="s">
        <v>751</v>
      </c>
      <c r="F1969" t="s">
        <v>321</v>
      </c>
      <c r="G1969" t="s">
        <v>319</v>
      </c>
      <c r="H1969" s="502">
        <v>52917</v>
      </c>
      <c r="I1969" s="415">
        <v>46330.955999999998</v>
      </c>
      <c r="J1969" s="415">
        <v>38609.129999999997</v>
      </c>
      <c r="K1969" s="415">
        <v>35075.879999999997</v>
      </c>
      <c r="L1969" s="415">
        <v>29663.1</v>
      </c>
      <c r="M1969" s="415">
        <v>0</v>
      </c>
      <c r="N1969" s="415">
        <v>0</v>
      </c>
      <c r="O1969" s="415">
        <v>0</v>
      </c>
      <c r="P1969" s="415">
        <v>0</v>
      </c>
      <c r="Q1969" s="481">
        <f t="shared" si="76"/>
        <v>-7721.8260000000009</v>
      </c>
    </row>
    <row r="1970" spans="1:17" outlineLevel="2" x14ac:dyDescent="0.3">
      <c r="A1970" s="366" t="str">
        <f>IFERROR(VLOOKUP(RIGHT(E1970,3)+0,[1]SchLocTable!$A$2:$B$47,2,FALSE)," ")</f>
        <v>Barnum</v>
      </c>
      <c r="B1970" s="366" t="str">
        <f>VLOOKUP(VALUE(D1970),$D$3:F$106,3,FALSE)</f>
        <v>Physical Education</v>
      </c>
      <c r="C1970" t="s">
        <v>314</v>
      </c>
      <c r="D1970">
        <v>819</v>
      </c>
      <c r="E1970" t="s">
        <v>751</v>
      </c>
      <c r="F1970" t="s">
        <v>318</v>
      </c>
      <c r="G1970" t="s">
        <v>319</v>
      </c>
      <c r="H1970" s="502">
        <v>51140</v>
      </c>
      <c r="I1970" s="415">
        <v>1100</v>
      </c>
      <c r="J1970" s="415">
        <v>0</v>
      </c>
      <c r="K1970" s="415">
        <v>900</v>
      </c>
      <c r="L1970" s="415">
        <v>900</v>
      </c>
      <c r="M1970" s="415">
        <v>900</v>
      </c>
      <c r="N1970" s="415">
        <v>900</v>
      </c>
      <c r="O1970" s="415">
        <v>900</v>
      </c>
      <c r="P1970" s="415">
        <v>900</v>
      </c>
      <c r="Q1970" s="481">
        <f t="shared" si="76"/>
        <v>-1100</v>
      </c>
    </row>
    <row r="1971" spans="1:17" outlineLevel="2" x14ac:dyDescent="0.3">
      <c r="A1971" s="366" t="str">
        <f>IFERROR(VLOOKUP(RIGHT(E1971,3)+0,[1]SchLocTable!$A$2:$B$47,2,FALSE)," ")</f>
        <v>Barnum</v>
      </c>
      <c r="B1971" s="366" t="str">
        <f>VLOOKUP(VALUE(D1971),$D$3:F$106,3,FALSE)</f>
        <v>Physical Education</v>
      </c>
      <c r="C1971" t="s">
        <v>314</v>
      </c>
      <c r="D1971">
        <v>819</v>
      </c>
      <c r="E1971" t="s">
        <v>751</v>
      </c>
      <c r="F1971" t="s">
        <v>320</v>
      </c>
      <c r="G1971" t="s">
        <v>319</v>
      </c>
      <c r="H1971" s="502">
        <v>52360</v>
      </c>
      <c r="I1971" s="415">
        <v>3054.9542121550003</v>
      </c>
      <c r="J1971" s="415">
        <v>2713</v>
      </c>
      <c r="K1971" s="415">
        <v>2545.44</v>
      </c>
      <c r="L1971" s="415">
        <v>2326.86</v>
      </c>
      <c r="M1971" s="415">
        <v>1364.78</v>
      </c>
      <c r="N1971" s="415">
        <v>1302.06</v>
      </c>
      <c r="O1971" s="415">
        <v>1218.1099999999999</v>
      </c>
      <c r="P1971" s="415">
        <v>1568.47</v>
      </c>
      <c r="Q1971" s="481">
        <f t="shared" si="76"/>
        <v>-341.95421215500028</v>
      </c>
    </row>
    <row r="1972" spans="1:17" outlineLevel="2" x14ac:dyDescent="0.3">
      <c r="A1972" s="366" t="str">
        <f>IFERROR(VLOOKUP(RIGHT(E1972,3)+0,[1]SchLocTable!$A$2:$B$47,2,FALSE)," ")</f>
        <v>Beardsley</v>
      </c>
      <c r="B1972" s="366" t="str">
        <f>VLOOKUP(VALUE(D1972),$D$3:F$106,3,FALSE)</f>
        <v>Physical Education</v>
      </c>
      <c r="C1972" t="s">
        <v>314</v>
      </c>
      <c r="D1972">
        <v>819</v>
      </c>
      <c r="E1972" t="s">
        <v>752</v>
      </c>
      <c r="F1972" t="s">
        <v>316</v>
      </c>
      <c r="G1972">
        <v>1</v>
      </c>
      <c r="H1972" s="502">
        <v>51000</v>
      </c>
      <c r="I1972" s="415">
        <v>100258.00096</v>
      </c>
      <c r="J1972" s="415">
        <v>95393</v>
      </c>
      <c r="K1972" s="415">
        <v>93293.98</v>
      </c>
      <c r="L1972" s="415">
        <v>91241.02</v>
      </c>
      <c r="M1972" s="415">
        <v>89892.92</v>
      </c>
      <c r="N1972" s="415">
        <v>88564.06</v>
      </c>
      <c r="O1972" s="415">
        <v>87254.96</v>
      </c>
      <c r="P1972" s="415">
        <v>85881.12</v>
      </c>
      <c r="Q1972" s="481">
        <f t="shared" si="76"/>
        <v>-4865.0009600000049</v>
      </c>
    </row>
    <row r="1973" spans="1:17" outlineLevel="2" x14ac:dyDescent="0.3">
      <c r="A1973" s="366" t="str">
        <f>IFERROR(VLOOKUP(RIGHT(E1973,3)+0,[1]SchLocTable!$A$2:$B$47,2,FALSE)," ")</f>
        <v>Beardsley</v>
      </c>
      <c r="B1973" s="366" t="str">
        <f>VLOOKUP(VALUE(D1973),$D$3:F$106,3,FALSE)</f>
        <v>Physical Education</v>
      </c>
      <c r="C1973" t="s">
        <v>314</v>
      </c>
      <c r="D1973">
        <v>819</v>
      </c>
      <c r="E1973" t="s">
        <v>752</v>
      </c>
      <c r="F1973" t="s">
        <v>321</v>
      </c>
      <c r="G1973" t="s">
        <v>319</v>
      </c>
      <c r="H1973" s="502">
        <v>52917</v>
      </c>
      <c r="I1973" s="415">
        <v>46330.955999999998</v>
      </c>
      <c r="J1973" s="415">
        <v>38609.129999999997</v>
      </c>
      <c r="K1973" s="415">
        <v>35075.879999999997</v>
      </c>
      <c r="L1973" s="415">
        <v>34606.949999999997</v>
      </c>
      <c r="M1973" s="415">
        <v>32449.200000000001</v>
      </c>
      <c r="N1973" s="415">
        <v>30308.67</v>
      </c>
      <c r="O1973" s="415">
        <v>29077.5</v>
      </c>
      <c r="P1973" s="415">
        <v>27385.05</v>
      </c>
      <c r="Q1973" s="481">
        <f t="shared" si="76"/>
        <v>-7721.8260000000009</v>
      </c>
    </row>
    <row r="1974" spans="1:17" outlineLevel="2" x14ac:dyDescent="0.3">
      <c r="A1974" s="366" t="str">
        <f>IFERROR(VLOOKUP(RIGHT(E1974,3)+0,[1]SchLocTable!$A$2:$B$47,2,FALSE)," ")</f>
        <v>Beardsley</v>
      </c>
      <c r="B1974" s="366" t="str">
        <f>VLOOKUP(VALUE(D1974),$D$3:F$106,3,FALSE)</f>
        <v>Physical Education</v>
      </c>
      <c r="C1974" t="s">
        <v>314</v>
      </c>
      <c r="D1974">
        <v>819</v>
      </c>
      <c r="E1974" t="s">
        <v>752</v>
      </c>
      <c r="F1974" t="s">
        <v>318</v>
      </c>
      <c r="G1974" t="s">
        <v>319</v>
      </c>
      <c r="H1974" s="502">
        <v>51140</v>
      </c>
      <c r="I1974" s="415">
        <v>1200</v>
      </c>
      <c r="J1974" s="415">
        <v>0</v>
      </c>
      <c r="K1974" s="415">
        <v>1200</v>
      </c>
      <c r="L1974" s="415">
        <v>1200</v>
      </c>
      <c r="M1974" s="415">
        <v>1200</v>
      </c>
      <c r="N1974" s="415">
        <v>1100</v>
      </c>
      <c r="O1974" s="415">
        <v>1100</v>
      </c>
      <c r="P1974" s="415">
        <v>1100</v>
      </c>
      <c r="Q1974" s="481">
        <f t="shared" si="76"/>
        <v>-1200</v>
      </c>
    </row>
    <row r="1975" spans="1:17" outlineLevel="2" x14ac:dyDescent="0.3">
      <c r="A1975" s="366" t="str">
        <f>IFERROR(VLOOKUP(RIGHT(E1975,3)+0,[1]SchLocTable!$A$2:$B$47,2,FALSE)," ")</f>
        <v>Beardsley</v>
      </c>
      <c r="B1975" s="366" t="str">
        <f>VLOOKUP(VALUE(D1975),$D$3:F$106,3,FALSE)</f>
        <v>Physical Education</v>
      </c>
      <c r="C1975" t="s">
        <v>314</v>
      </c>
      <c r="D1975">
        <v>819</v>
      </c>
      <c r="E1975" t="s">
        <v>752</v>
      </c>
      <c r="F1975" t="s">
        <v>320</v>
      </c>
      <c r="G1975" t="s">
        <v>319</v>
      </c>
      <c r="H1975" s="502">
        <v>52360</v>
      </c>
      <c r="I1975" s="415">
        <v>1453.7410139200001</v>
      </c>
      <c r="J1975" s="415">
        <v>1192</v>
      </c>
      <c r="K1975" s="415">
        <v>1220.43</v>
      </c>
      <c r="L1975" s="415">
        <v>1197.0899999999999</v>
      </c>
      <c r="M1975" s="415">
        <v>1173.05</v>
      </c>
      <c r="N1975" s="415">
        <v>1181.79</v>
      </c>
      <c r="O1975" s="415">
        <v>1170.71</v>
      </c>
      <c r="P1975" s="415">
        <v>1158.69</v>
      </c>
      <c r="Q1975" s="481">
        <f t="shared" si="76"/>
        <v>-261.74101392000011</v>
      </c>
    </row>
    <row r="1976" spans="1:17" outlineLevel="2" x14ac:dyDescent="0.3">
      <c r="A1976" s="366" t="str">
        <f>IFERROR(VLOOKUP(RIGHT(E1976,3)+0,[1]SchLocTable!$A$2:$B$47,2,FALSE)," ")</f>
        <v>Black Rock</v>
      </c>
      <c r="B1976" s="366" t="str">
        <f>VLOOKUP(VALUE(D1976),$D$3:F$106,3,FALSE)</f>
        <v>Physical Education</v>
      </c>
      <c r="C1976" t="s">
        <v>314</v>
      </c>
      <c r="D1976">
        <v>819</v>
      </c>
      <c r="E1976" t="s">
        <v>753</v>
      </c>
      <c r="F1976" t="s">
        <v>316</v>
      </c>
      <c r="G1976">
        <v>2</v>
      </c>
      <c r="H1976" s="502">
        <v>51000</v>
      </c>
      <c r="I1976" s="415">
        <v>178727.88907999999</v>
      </c>
      <c r="J1976" s="415">
        <v>94155</v>
      </c>
      <c r="K1976" s="415">
        <v>89786.06</v>
      </c>
      <c r="L1976" s="415">
        <v>98747.59</v>
      </c>
      <c r="M1976" s="415">
        <v>109415.83</v>
      </c>
      <c r="N1976" s="415">
        <v>107416.92</v>
      </c>
      <c r="O1976" s="415">
        <v>101441.74</v>
      </c>
      <c r="P1976" s="415">
        <v>94985.02</v>
      </c>
      <c r="Q1976" s="481">
        <f t="shared" si="76"/>
        <v>-84572.889079999994</v>
      </c>
    </row>
    <row r="1977" spans="1:17" outlineLevel="2" x14ac:dyDescent="0.3">
      <c r="A1977" s="366" t="str">
        <f>IFERROR(VLOOKUP(RIGHT(E1977,3)+0,[1]SchLocTable!$A$2:$B$47,2,FALSE)," ")</f>
        <v>Black Rock</v>
      </c>
      <c r="B1977" s="366" t="str">
        <f>VLOOKUP(VALUE(D1977),$D$3:F$106,3,FALSE)</f>
        <v>Physical Education</v>
      </c>
      <c r="C1977" t="s">
        <v>314</v>
      </c>
      <c r="D1977">
        <v>819</v>
      </c>
      <c r="E1977" t="s">
        <v>753</v>
      </c>
      <c r="F1977" t="s">
        <v>321</v>
      </c>
      <c r="G1977" t="s">
        <v>319</v>
      </c>
      <c r="H1977" s="502">
        <v>52917</v>
      </c>
      <c r="I1977" s="415">
        <v>61975.619999999995</v>
      </c>
      <c r="J1977" s="415">
        <v>16070</v>
      </c>
      <c r="K1977" s="415">
        <v>11844</v>
      </c>
      <c r="L1977" s="415">
        <v>28232.85</v>
      </c>
      <c r="M1977" s="415">
        <v>43405.95</v>
      </c>
      <c r="N1977" s="415">
        <v>40541.550000000003</v>
      </c>
      <c r="O1977" s="415">
        <v>38895.18</v>
      </c>
      <c r="P1977" s="415">
        <v>36630.720000000001</v>
      </c>
      <c r="Q1977" s="481">
        <f t="shared" si="76"/>
        <v>-45905.619999999995</v>
      </c>
    </row>
    <row r="1978" spans="1:17" outlineLevel="2" x14ac:dyDescent="0.3">
      <c r="A1978" s="366" t="str">
        <f>IFERROR(VLOOKUP(RIGHT(E1978,3)+0,[1]SchLocTable!$A$2:$B$47,2,FALSE)," ")</f>
        <v>Black Rock</v>
      </c>
      <c r="B1978" s="366" t="str">
        <f>VLOOKUP(VALUE(D1978),$D$3:F$106,3,FALSE)</f>
        <v>Physical Education</v>
      </c>
      <c r="C1978" t="s">
        <v>314</v>
      </c>
      <c r="D1978">
        <v>819</v>
      </c>
      <c r="E1978" t="s">
        <v>753</v>
      </c>
      <c r="F1978" t="s">
        <v>318</v>
      </c>
      <c r="G1978" t="s">
        <v>319</v>
      </c>
      <c r="H1978" s="502">
        <v>51140</v>
      </c>
      <c r="I1978" s="415">
        <v>900</v>
      </c>
      <c r="J1978" s="415">
        <v>0</v>
      </c>
      <c r="K1978" s="415">
        <v>900</v>
      </c>
      <c r="L1978" s="415">
        <v>900</v>
      </c>
      <c r="M1978" s="415">
        <v>900</v>
      </c>
      <c r="N1978" s="415">
        <v>0</v>
      </c>
      <c r="O1978" s="415">
        <v>0</v>
      </c>
      <c r="P1978" s="415">
        <v>0</v>
      </c>
      <c r="Q1978" s="481">
        <f t="shared" si="76"/>
        <v>-900</v>
      </c>
    </row>
    <row r="1979" spans="1:17" outlineLevel="1" x14ac:dyDescent="0.3">
      <c r="A1979" s="366" t="str">
        <f>IFERROR(VLOOKUP(RIGHT(E1979,3)+0,[1]SchLocTable!$A$2:$B$47,2,FALSE)," ")</f>
        <v>Black Rock</v>
      </c>
      <c r="B1979" s="366" t="str">
        <f>VLOOKUP(VALUE(D1979),$D$3:F$106,3,FALSE)</f>
        <v>Physical Education</v>
      </c>
      <c r="C1979" t="s">
        <v>314</v>
      </c>
      <c r="D1979">
        <v>819</v>
      </c>
      <c r="E1979" t="s">
        <v>753</v>
      </c>
      <c r="F1979" t="s">
        <v>320</v>
      </c>
      <c r="G1979" t="s">
        <v>319</v>
      </c>
      <c r="H1979" s="502">
        <v>52360</v>
      </c>
      <c r="I1979" s="415">
        <v>2591.55439166</v>
      </c>
      <c r="J1979" s="415">
        <v>1308</v>
      </c>
      <c r="K1979" s="415">
        <v>1264.3699999999999</v>
      </c>
      <c r="L1979" s="415">
        <v>1330.53</v>
      </c>
      <c r="M1979" s="415">
        <v>1499.94</v>
      </c>
      <c r="N1979" s="415">
        <v>1399.27</v>
      </c>
      <c r="O1979" s="415">
        <v>1323.19</v>
      </c>
      <c r="P1979" s="415">
        <v>1240.1199999999999</v>
      </c>
      <c r="Q1979" s="481">
        <f t="shared" si="76"/>
        <v>-1283.55439166</v>
      </c>
    </row>
    <row r="1980" spans="1:17" outlineLevel="2" x14ac:dyDescent="0.3">
      <c r="A1980" s="366" t="str">
        <f>IFERROR(VLOOKUP(RIGHT(E1980,3)+0,[1]SchLocTable!$A$2:$B$47,2,FALSE)," ")</f>
        <v>Bryant</v>
      </c>
      <c r="B1980" s="366" t="str">
        <f>VLOOKUP(VALUE(D1980),$D$3:F$106,3,FALSE)</f>
        <v>Physical Education</v>
      </c>
      <c r="C1980" t="s">
        <v>314</v>
      </c>
      <c r="D1980">
        <v>819</v>
      </c>
      <c r="E1980" t="s">
        <v>754</v>
      </c>
      <c r="F1980" t="s">
        <v>316</v>
      </c>
      <c r="G1980">
        <v>1</v>
      </c>
      <c r="H1980" s="502">
        <v>51000</v>
      </c>
      <c r="I1980" s="415">
        <v>58375.714019999992</v>
      </c>
      <c r="J1980" s="415">
        <v>55543</v>
      </c>
      <c r="K1980" s="415">
        <v>53431.98</v>
      </c>
      <c r="L1980" s="415">
        <v>50320.92</v>
      </c>
      <c r="M1980" s="415">
        <v>61500.61</v>
      </c>
      <c r="N1980" s="415">
        <v>41910.6</v>
      </c>
      <c r="O1980" s="415">
        <v>50535.94</v>
      </c>
      <c r="P1980" s="415">
        <v>37241.99</v>
      </c>
      <c r="Q1980" s="481">
        <f t="shared" si="76"/>
        <v>-2832.7140199999922</v>
      </c>
    </row>
    <row r="1981" spans="1:17" outlineLevel="2" x14ac:dyDescent="0.3">
      <c r="A1981" s="366" t="str">
        <f>IFERROR(VLOOKUP(RIGHT(E1981,3)+0,[1]SchLocTable!$A$2:$B$47,2,FALSE)," ")</f>
        <v>Bryant</v>
      </c>
      <c r="B1981" s="366" t="str">
        <f>VLOOKUP(VALUE(D1981),$D$3:F$106,3,FALSE)</f>
        <v>Physical Education</v>
      </c>
      <c r="C1981" t="s">
        <v>314</v>
      </c>
      <c r="D1981">
        <v>819</v>
      </c>
      <c r="E1981" t="s">
        <v>754</v>
      </c>
      <c r="F1981" t="s">
        <v>321</v>
      </c>
      <c r="G1981" t="s">
        <v>319</v>
      </c>
      <c r="H1981" s="502">
        <v>52917</v>
      </c>
      <c r="I1981" s="415">
        <v>15644.663999999999</v>
      </c>
      <c r="J1981" s="415">
        <v>12416.4</v>
      </c>
      <c r="K1981" s="415">
        <v>0</v>
      </c>
      <c r="L1981" s="415">
        <v>0</v>
      </c>
      <c r="M1981" s="415">
        <v>32436.81</v>
      </c>
      <c r="N1981" s="415">
        <v>20094.34</v>
      </c>
      <c r="O1981" s="415">
        <v>9732.2099999999991</v>
      </c>
      <c r="P1981" s="415">
        <v>7026.26</v>
      </c>
      <c r="Q1981" s="481">
        <f t="shared" si="76"/>
        <v>-3228.2639999999992</v>
      </c>
    </row>
    <row r="1982" spans="1:17" outlineLevel="2" x14ac:dyDescent="0.3">
      <c r="A1982" s="366" t="str">
        <f>IFERROR(VLOOKUP(RIGHT(E1982,3)+0,[1]SchLocTable!$A$2:$B$47,2,FALSE)," ")</f>
        <v>Bryant</v>
      </c>
      <c r="B1982" s="366" t="str">
        <f>VLOOKUP(VALUE(D1982),$D$3:F$106,3,FALSE)</f>
        <v>Physical Education</v>
      </c>
      <c r="C1982" t="s">
        <v>314</v>
      </c>
      <c r="D1982">
        <v>819</v>
      </c>
      <c r="E1982" t="s">
        <v>754</v>
      </c>
      <c r="F1982" t="s">
        <v>320</v>
      </c>
      <c r="G1982" t="s">
        <v>319</v>
      </c>
      <c r="H1982" s="502">
        <v>52360</v>
      </c>
      <c r="I1982" s="415">
        <v>846.4478532899999</v>
      </c>
      <c r="J1982" s="415">
        <v>799.91</v>
      </c>
      <c r="K1982" s="415">
        <v>774.76</v>
      </c>
      <c r="L1982" s="415">
        <v>729.65</v>
      </c>
      <c r="M1982" s="415">
        <v>761.05</v>
      </c>
      <c r="N1982" s="415">
        <v>588.46</v>
      </c>
      <c r="O1982" s="415">
        <v>695.69</v>
      </c>
      <c r="P1982" s="415">
        <v>513.65</v>
      </c>
      <c r="Q1982" s="481">
        <f t="shared" si="76"/>
        <v>-46.53785328999993</v>
      </c>
    </row>
    <row r="1983" spans="1:17" outlineLevel="2" x14ac:dyDescent="0.3">
      <c r="A1983" s="366" t="str">
        <f>IFERROR(VLOOKUP(RIGHT(E1983,3)+0,[1]SchLocTable!$A$2:$B$47,2,FALSE)," ")</f>
        <v>Columbus</v>
      </c>
      <c r="B1983" s="366" t="str">
        <f>VLOOKUP(VALUE(D1983),$D$3:F$106,3,FALSE)</f>
        <v>Physical Education</v>
      </c>
      <c r="C1983" t="s">
        <v>314</v>
      </c>
      <c r="D1983">
        <v>819</v>
      </c>
      <c r="E1983" t="s">
        <v>755</v>
      </c>
      <c r="F1983" t="s">
        <v>316</v>
      </c>
      <c r="G1983">
        <v>1</v>
      </c>
      <c r="H1983" s="502">
        <v>51000</v>
      </c>
      <c r="I1983" s="415">
        <v>60872.763899999998</v>
      </c>
      <c r="J1983" s="415">
        <v>57919</v>
      </c>
      <c r="K1983" s="415">
        <v>55543.02</v>
      </c>
      <c r="L1983" s="415">
        <v>51420.24</v>
      </c>
      <c r="M1983" s="415">
        <v>0</v>
      </c>
      <c r="N1983" s="415">
        <v>42481.02</v>
      </c>
      <c r="O1983" s="415">
        <v>96106.92</v>
      </c>
      <c r="P1983" s="415">
        <v>100361.66</v>
      </c>
      <c r="Q1983" s="481">
        <f t="shared" ref="Q1983:Q2046" si="77">J1983-I1983</f>
        <v>-2953.7638999999981</v>
      </c>
    </row>
    <row r="1984" spans="1:17" outlineLevel="2" x14ac:dyDescent="0.3">
      <c r="A1984" s="366" t="str">
        <f>IFERROR(VLOOKUP(RIGHT(E1984,3)+0,[1]SchLocTable!$A$2:$B$47,2,FALSE)," ")</f>
        <v>Columbus</v>
      </c>
      <c r="B1984" s="366" t="str">
        <f>VLOOKUP(VALUE(D1984),$D$3:F$106,3,FALSE)</f>
        <v>Physical Education</v>
      </c>
      <c r="C1984" t="s">
        <v>314</v>
      </c>
      <c r="D1984">
        <v>819</v>
      </c>
      <c r="E1984" t="s">
        <v>755</v>
      </c>
      <c r="F1984" t="s">
        <v>321</v>
      </c>
      <c r="G1984" t="s">
        <v>319</v>
      </c>
      <c r="H1984" s="502">
        <v>52917</v>
      </c>
      <c r="I1984" s="415">
        <v>37369.331999999995</v>
      </c>
      <c r="J1984" s="415">
        <v>12963.3</v>
      </c>
      <c r="K1984" s="415">
        <v>11844</v>
      </c>
      <c r="L1984" s="415">
        <v>2225.6799999999998</v>
      </c>
      <c r="M1984" s="415">
        <v>0</v>
      </c>
      <c r="N1984" s="415">
        <v>10526.67</v>
      </c>
      <c r="O1984" s="415">
        <v>23581.07</v>
      </c>
      <c r="P1984" s="415">
        <v>22186.29</v>
      </c>
      <c r="Q1984" s="481">
        <f t="shared" si="77"/>
        <v>-24406.031999999996</v>
      </c>
    </row>
    <row r="1985" spans="1:17" outlineLevel="2" x14ac:dyDescent="0.3">
      <c r="A1985" s="366" t="str">
        <f>IFERROR(VLOOKUP(RIGHT(E1985,3)+0,[1]SchLocTable!$A$2:$B$47,2,FALSE)," ")</f>
        <v>Columbus</v>
      </c>
      <c r="B1985" s="366" t="str">
        <f>VLOOKUP(VALUE(D1985),$D$3:F$106,3,FALSE)</f>
        <v>Physical Education</v>
      </c>
      <c r="C1985" t="s">
        <v>314</v>
      </c>
      <c r="D1985">
        <v>819</v>
      </c>
      <c r="E1985" t="s">
        <v>755</v>
      </c>
      <c r="F1985" t="s">
        <v>320</v>
      </c>
      <c r="G1985" t="s">
        <v>319</v>
      </c>
      <c r="H1985" s="502">
        <v>52360</v>
      </c>
      <c r="I1985" s="415">
        <v>882.65507654999999</v>
      </c>
      <c r="J1985" s="415">
        <v>769</v>
      </c>
      <c r="K1985" s="415">
        <v>754.81</v>
      </c>
      <c r="L1985" s="415">
        <v>736.38</v>
      </c>
      <c r="M1985" s="415">
        <v>0</v>
      </c>
      <c r="N1985" s="415">
        <v>759.63</v>
      </c>
      <c r="O1985" s="415">
        <v>1322.61</v>
      </c>
      <c r="P1985" s="415">
        <v>1390.59</v>
      </c>
      <c r="Q1985" s="481">
        <f t="shared" si="77"/>
        <v>-113.65507654999999</v>
      </c>
    </row>
    <row r="1986" spans="1:17" outlineLevel="2" x14ac:dyDescent="0.3">
      <c r="A1986" s="366" t="str">
        <f>IFERROR(VLOOKUP(RIGHT(E1986,3)+0,[1]SchLocTable!$A$2:$B$47,2,FALSE)," ")</f>
        <v>Columbus</v>
      </c>
      <c r="B1986" s="366" t="str">
        <f>VLOOKUP(VALUE(D1986),$D$3:F$106,3,FALSE)</f>
        <v>Physical Education</v>
      </c>
      <c r="C1986" t="s">
        <v>314</v>
      </c>
      <c r="D1986">
        <v>819</v>
      </c>
      <c r="E1986" t="s">
        <v>755</v>
      </c>
      <c r="F1986" t="s">
        <v>324</v>
      </c>
      <c r="G1986" t="s">
        <v>319</v>
      </c>
      <c r="H1986" s="502">
        <v>52385</v>
      </c>
      <c r="I1986" s="415">
        <v>0</v>
      </c>
      <c r="J1986" s="415">
        <v>0</v>
      </c>
      <c r="K1986" s="415">
        <v>0</v>
      </c>
      <c r="L1986" s="415">
        <v>155</v>
      </c>
      <c r="M1986" s="415">
        <v>0</v>
      </c>
      <c r="N1986" s="415">
        <v>0</v>
      </c>
      <c r="O1986" s="415">
        <v>0</v>
      </c>
      <c r="P1986" s="415">
        <v>0</v>
      </c>
      <c r="Q1986" s="481">
        <f t="shared" si="77"/>
        <v>0</v>
      </c>
    </row>
    <row r="1987" spans="1:17" outlineLevel="2" x14ac:dyDescent="0.3">
      <c r="A1987" s="366" t="str">
        <f>IFERROR(VLOOKUP(RIGHT(E1987,3)+0,[1]SchLocTable!$A$2:$B$47,2,FALSE)," ")</f>
        <v>Edison</v>
      </c>
      <c r="B1987" s="366" t="str">
        <f>VLOOKUP(VALUE(D1987),$D$3:F$106,3,FALSE)</f>
        <v>Physical Education</v>
      </c>
      <c r="C1987" t="s">
        <v>314</v>
      </c>
      <c r="D1987">
        <v>819</v>
      </c>
      <c r="E1987" t="s">
        <v>756</v>
      </c>
      <c r="F1987" t="s">
        <v>316</v>
      </c>
      <c r="G1987">
        <v>1</v>
      </c>
      <c r="H1987" s="502">
        <v>51000</v>
      </c>
      <c r="I1987" s="415">
        <v>110428.46490000001</v>
      </c>
      <c r="J1987" s="415">
        <v>105070</v>
      </c>
      <c r="K1987" s="415">
        <v>94155.1</v>
      </c>
      <c r="L1987" s="415">
        <v>88897.12</v>
      </c>
      <c r="M1987" s="415">
        <v>83106.92</v>
      </c>
      <c r="N1987" s="415">
        <v>0</v>
      </c>
      <c r="O1987" s="415">
        <v>54622.1</v>
      </c>
      <c r="P1987" s="415">
        <v>53762.02</v>
      </c>
      <c r="Q1987" s="481">
        <f t="shared" si="77"/>
        <v>-5358.4649000000063</v>
      </c>
    </row>
    <row r="1988" spans="1:17" outlineLevel="2" x14ac:dyDescent="0.3">
      <c r="A1988" s="366" t="str">
        <f>IFERROR(VLOOKUP(RIGHT(E1988,3)+0,[1]SchLocTable!$A$2:$B$47,2,FALSE)," ")</f>
        <v>Edison</v>
      </c>
      <c r="B1988" s="366" t="str">
        <f>VLOOKUP(VALUE(D1988),$D$3:F$106,3,FALSE)</f>
        <v>Physical Education</v>
      </c>
      <c r="C1988" t="s">
        <v>314</v>
      </c>
      <c r="D1988">
        <v>819</v>
      </c>
      <c r="E1988" t="s">
        <v>756</v>
      </c>
      <c r="F1988" t="s">
        <v>321</v>
      </c>
      <c r="G1988" t="s">
        <v>319</v>
      </c>
      <c r="H1988" s="502">
        <v>52917</v>
      </c>
      <c r="I1988" s="415">
        <v>46330.955999999998</v>
      </c>
      <c r="J1988" s="415">
        <v>38609.129999999997</v>
      </c>
      <c r="K1988" s="415">
        <v>35075.879999999997</v>
      </c>
      <c r="L1988" s="415">
        <v>34439.79</v>
      </c>
      <c r="M1988" s="415">
        <v>32436.81</v>
      </c>
      <c r="N1988" s="415">
        <v>0</v>
      </c>
      <c r="O1988" s="415">
        <v>13027.33</v>
      </c>
      <c r="P1988" s="415">
        <v>9245.67</v>
      </c>
      <c r="Q1988" s="481">
        <f t="shared" si="77"/>
        <v>-7721.8260000000009</v>
      </c>
    </row>
    <row r="1989" spans="1:17" outlineLevel="2" x14ac:dyDescent="0.3">
      <c r="A1989" s="366" t="str">
        <f>IFERROR(VLOOKUP(RIGHT(E1989,3)+0,[1]SchLocTable!$A$2:$B$47,2,FALSE)," ")</f>
        <v>Edison</v>
      </c>
      <c r="B1989" s="366" t="str">
        <f>VLOOKUP(VALUE(D1989),$D$3:F$106,3,FALSE)</f>
        <v>Physical Education</v>
      </c>
      <c r="C1989" t="s">
        <v>314</v>
      </c>
      <c r="D1989">
        <v>819</v>
      </c>
      <c r="E1989" t="s">
        <v>756</v>
      </c>
      <c r="F1989" t="s">
        <v>320</v>
      </c>
      <c r="G1989" t="s">
        <v>319</v>
      </c>
      <c r="H1989" s="502">
        <v>52360</v>
      </c>
      <c r="I1989" s="415">
        <v>1601.2127410500002</v>
      </c>
      <c r="J1989" s="415">
        <v>1314</v>
      </c>
      <c r="K1989" s="415">
        <v>1215.53</v>
      </c>
      <c r="L1989" s="415">
        <v>1146.1300000000001</v>
      </c>
      <c r="M1989" s="415">
        <v>1074.3499999999999</v>
      </c>
      <c r="N1989" s="415">
        <v>0</v>
      </c>
      <c r="O1989" s="415">
        <v>745.98</v>
      </c>
      <c r="P1989" s="415">
        <v>748.55</v>
      </c>
      <c r="Q1989" s="481">
        <f t="shared" si="77"/>
        <v>-287.2127410500002</v>
      </c>
    </row>
    <row r="1990" spans="1:17" outlineLevel="2" x14ac:dyDescent="0.3">
      <c r="A1990" s="366" t="str">
        <f>IFERROR(VLOOKUP(RIGHT(E1990,3)+0,[1]SchLocTable!$A$2:$B$47,2,FALSE)," ")</f>
        <v>Physical Science HS</v>
      </c>
      <c r="B1990" s="366" t="str">
        <f>VLOOKUP(VALUE(D1990),$D$3:F$106,3,FALSE)</f>
        <v>Physical Education</v>
      </c>
      <c r="C1990" t="s">
        <v>314</v>
      </c>
      <c r="D1990">
        <v>819</v>
      </c>
      <c r="E1990" t="s">
        <v>1298</v>
      </c>
      <c r="F1990" t="s">
        <v>316</v>
      </c>
      <c r="G1990" t="s">
        <v>319</v>
      </c>
      <c r="H1990" s="502">
        <v>51000</v>
      </c>
      <c r="I1990" s="415">
        <v>0</v>
      </c>
      <c r="J1990" s="415">
        <v>0</v>
      </c>
      <c r="K1990" s="415">
        <v>0</v>
      </c>
      <c r="L1990" s="415">
        <v>0</v>
      </c>
      <c r="M1990" s="415">
        <v>25305.200000000001</v>
      </c>
      <c r="N1990" s="415">
        <v>0</v>
      </c>
      <c r="O1990" s="415">
        <v>0</v>
      </c>
      <c r="P1990" s="415">
        <v>0</v>
      </c>
      <c r="Q1990" s="481">
        <f t="shared" si="77"/>
        <v>0</v>
      </c>
    </row>
    <row r="1991" spans="1:17" outlineLevel="2" x14ac:dyDescent="0.3">
      <c r="A1991" s="366" t="str">
        <f>IFERROR(VLOOKUP(RIGHT(E1991,3)+0,[1]SchLocTable!$A$2:$B$47,2,FALSE)," ")</f>
        <v>Marin</v>
      </c>
      <c r="B1991" s="366" t="str">
        <f>VLOOKUP(VALUE(D1991),$D$3:F$106,3,FALSE)</f>
        <v>Physical Education</v>
      </c>
      <c r="C1991" t="s">
        <v>314</v>
      </c>
      <c r="D1991">
        <v>819</v>
      </c>
      <c r="E1991" t="s">
        <v>757</v>
      </c>
      <c r="F1991" t="s">
        <v>316</v>
      </c>
      <c r="G1991">
        <v>3</v>
      </c>
      <c r="H1991" s="502">
        <v>51000</v>
      </c>
      <c r="I1991" s="415">
        <v>255993.82119999998</v>
      </c>
      <c r="J1991" s="415">
        <v>179561</v>
      </c>
      <c r="K1991" s="415">
        <v>187792.77</v>
      </c>
      <c r="L1991" s="415">
        <v>99649.1</v>
      </c>
      <c r="M1991" s="415">
        <v>75201.39</v>
      </c>
      <c r="N1991" s="415">
        <v>107094</v>
      </c>
      <c r="O1991" s="415">
        <v>104083.03</v>
      </c>
      <c r="P1991" s="415">
        <v>98727.59</v>
      </c>
      <c r="Q1991" s="481">
        <f t="shared" si="77"/>
        <v>-76432.821199999977</v>
      </c>
    </row>
    <row r="1992" spans="1:17" outlineLevel="1" x14ac:dyDescent="0.3">
      <c r="A1992" s="366" t="str">
        <f>IFERROR(VLOOKUP(RIGHT(E1992,3)+0,[1]SchLocTable!$A$2:$B$47,2,FALSE)," ")</f>
        <v>Marin</v>
      </c>
      <c r="B1992" s="366" t="str">
        <f>VLOOKUP(VALUE(D1992),$D$3:F$106,3,FALSE)</f>
        <v>Physical Education</v>
      </c>
      <c r="C1992" t="s">
        <v>314</v>
      </c>
      <c r="D1992">
        <v>819</v>
      </c>
      <c r="E1992" t="s">
        <v>757</v>
      </c>
      <c r="F1992" t="s">
        <v>321</v>
      </c>
      <c r="G1992" t="s">
        <v>319</v>
      </c>
      <c r="H1992" s="502">
        <v>52917</v>
      </c>
      <c r="I1992" s="415">
        <v>31289.327999999998</v>
      </c>
      <c r="J1992" s="415">
        <v>26074.44</v>
      </c>
      <c r="K1992" s="415">
        <v>19176</v>
      </c>
      <c r="L1992" s="415">
        <v>11684.82</v>
      </c>
      <c r="M1992" s="415">
        <v>20107.990000000002</v>
      </c>
      <c r="N1992" s="415">
        <v>10098.06</v>
      </c>
      <c r="O1992" s="415">
        <v>9732.2099999999991</v>
      </c>
      <c r="P1992" s="415">
        <v>9182.4599999999991</v>
      </c>
      <c r="Q1992" s="481">
        <f t="shared" si="77"/>
        <v>-5214.887999999999</v>
      </c>
    </row>
    <row r="1993" spans="1:17" outlineLevel="2" x14ac:dyDescent="0.3">
      <c r="A1993" s="366" t="str">
        <f>IFERROR(VLOOKUP(RIGHT(E1993,3)+0,[1]SchLocTable!$A$2:$B$47,2,FALSE)," ")</f>
        <v>Marin</v>
      </c>
      <c r="B1993" s="366" t="str">
        <f>VLOOKUP(VALUE(D1993),$D$3:F$106,3,FALSE)</f>
        <v>Physical Education</v>
      </c>
      <c r="C1993" t="s">
        <v>314</v>
      </c>
      <c r="D1993">
        <v>819</v>
      </c>
      <c r="E1993" t="s">
        <v>757</v>
      </c>
      <c r="F1993" t="s">
        <v>318</v>
      </c>
      <c r="G1993" t="s">
        <v>319</v>
      </c>
      <c r="H1993" s="502">
        <v>51140</v>
      </c>
      <c r="I1993" s="415">
        <v>900</v>
      </c>
      <c r="J1993" s="415">
        <v>0</v>
      </c>
      <c r="K1993" s="415">
        <v>0</v>
      </c>
      <c r="L1993" s="415">
        <v>0</v>
      </c>
      <c r="M1993" s="415">
        <v>0</v>
      </c>
      <c r="N1993" s="415">
        <v>0</v>
      </c>
      <c r="O1993" s="415">
        <v>0</v>
      </c>
      <c r="P1993" s="415">
        <v>0</v>
      </c>
      <c r="Q1993" s="481">
        <f t="shared" si="77"/>
        <v>-900</v>
      </c>
    </row>
    <row r="1994" spans="1:17" outlineLevel="2" x14ac:dyDescent="0.3">
      <c r="A1994" s="366" t="str">
        <f>IFERROR(VLOOKUP(RIGHT(E1994,3)+0,[1]SchLocTable!$A$2:$B$47,2,FALSE)," ")</f>
        <v>Marin</v>
      </c>
      <c r="B1994" s="366" t="str">
        <f>VLOOKUP(VALUE(D1994),$D$3:F$106,3,FALSE)</f>
        <v>Physical Education</v>
      </c>
      <c r="C1994" t="s">
        <v>314</v>
      </c>
      <c r="D1994">
        <v>819</v>
      </c>
      <c r="E1994" t="s">
        <v>757</v>
      </c>
      <c r="F1994" t="s">
        <v>320</v>
      </c>
      <c r="G1994" t="s">
        <v>319</v>
      </c>
      <c r="H1994" s="502">
        <v>52360</v>
      </c>
      <c r="I1994" s="415">
        <v>3711.9104074000002</v>
      </c>
      <c r="J1994" s="415">
        <v>2489</v>
      </c>
      <c r="K1994" s="415">
        <v>2641.21</v>
      </c>
      <c r="L1994" s="415">
        <v>1396.51</v>
      </c>
      <c r="M1994" s="415">
        <v>1009.43</v>
      </c>
      <c r="N1994" s="415">
        <v>1513.26</v>
      </c>
      <c r="O1994" s="415">
        <v>1472.13</v>
      </c>
      <c r="P1994" s="415">
        <v>1397.02</v>
      </c>
      <c r="Q1994" s="481">
        <f t="shared" si="77"/>
        <v>-1222.9104074000002</v>
      </c>
    </row>
    <row r="1995" spans="1:17" outlineLevel="2" x14ac:dyDescent="0.3">
      <c r="A1995" s="366" t="str">
        <f>IFERROR(VLOOKUP(RIGHT(E1995,3)+0,[1]SchLocTable!$A$2:$B$47,2,FALSE)," ")</f>
        <v>Marin</v>
      </c>
      <c r="B1995" s="366" t="str">
        <f>VLOOKUP(VALUE(D1995),$D$3:F$106,3,FALSE)</f>
        <v>Physical Education</v>
      </c>
      <c r="C1995" t="s">
        <v>314</v>
      </c>
      <c r="D1995">
        <v>819</v>
      </c>
      <c r="E1995" t="s">
        <v>757</v>
      </c>
      <c r="F1995" t="s">
        <v>324</v>
      </c>
      <c r="G1995" t="s">
        <v>319</v>
      </c>
      <c r="H1995" s="502">
        <v>52385</v>
      </c>
      <c r="I1995" s="415">
        <v>4171.05</v>
      </c>
      <c r="J1995" s="415">
        <v>0</v>
      </c>
      <c r="K1995" s="415">
        <v>2790</v>
      </c>
      <c r="L1995" s="415">
        <v>1519</v>
      </c>
      <c r="M1995" s="415">
        <v>0</v>
      </c>
      <c r="N1995" s="415">
        <v>0</v>
      </c>
      <c r="O1995" s="415">
        <v>0</v>
      </c>
      <c r="P1995" s="415">
        <v>0</v>
      </c>
      <c r="Q1995" s="481">
        <f t="shared" si="77"/>
        <v>-4171.05</v>
      </c>
    </row>
    <row r="1996" spans="1:17" outlineLevel="2" x14ac:dyDescent="0.3">
      <c r="A1996" s="366" t="str">
        <f>IFERROR(VLOOKUP(RIGHT(E1996,3)+0,[1]SchLocTable!$A$2:$B$47,2,FALSE)," ")</f>
        <v>Hall</v>
      </c>
      <c r="B1996" s="366" t="str">
        <f>VLOOKUP(VALUE(D1996),$D$3:F$106,3,FALSE)</f>
        <v>Physical Education</v>
      </c>
      <c r="C1996" t="s">
        <v>314</v>
      </c>
      <c r="D1996">
        <v>819</v>
      </c>
      <c r="E1996" t="s">
        <v>758</v>
      </c>
      <c r="F1996" t="s">
        <v>316</v>
      </c>
      <c r="G1996">
        <v>1</v>
      </c>
      <c r="H1996" s="502">
        <v>51000</v>
      </c>
      <c r="I1996" s="415">
        <v>58375.714019999992</v>
      </c>
      <c r="J1996" s="415">
        <v>55543.02</v>
      </c>
      <c r="K1996" s="415">
        <v>102757.98</v>
      </c>
      <c r="L1996" s="415">
        <v>100497.02</v>
      </c>
      <c r="M1996" s="415">
        <v>99011.9</v>
      </c>
      <c r="N1996" s="415">
        <v>97548.88</v>
      </c>
      <c r="O1996" s="415">
        <v>96106.92</v>
      </c>
      <c r="P1996" s="415">
        <v>94593.98</v>
      </c>
      <c r="Q1996" s="481">
        <f t="shared" si="77"/>
        <v>-2832.6940199999954</v>
      </c>
    </row>
    <row r="1997" spans="1:17" outlineLevel="2" x14ac:dyDescent="0.3">
      <c r="A1997" s="366" t="str">
        <f>IFERROR(VLOOKUP(RIGHT(E1997,3)+0,[1]SchLocTable!$A$2:$B$47,2,FALSE)," ")</f>
        <v>Hall</v>
      </c>
      <c r="B1997" s="366" t="str">
        <f>VLOOKUP(VALUE(D1997),$D$3:F$106,3,FALSE)</f>
        <v>Physical Education</v>
      </c>
      <c r="C1997" t="s">
        <v>314</v>
      </c>
      <c r="D1997">
        <v>819</v>
      </c>
      <c r="E1997" t="s">
        <v>758</v>
      </c>
      <c r="F1997" t="s">
        <v>321</v>
      </c>
      <c r="G1997" t="s">
        <v>319</v>
      </c>
      <c r="H1997" s="502">
        <v>52917</v>
      </c>
      <c r="I1997" s="415">
        <v>15644.663999999999</v>
      </c>
      <c r="J1997" s="415">
        <v>0</v>
      </c>
      <c r="K1997" s="415">
        <v>0</v>
      </c>
      <c r="L1997" s="415">
        <v>0</v>
      </c>
      <c r="M1997" s="415">
        <v>0</v>
      </c>
      <c r="N1997" s="415">
        <v>0</v>
      </c>
      <c r="O1997" s="415">
        <v>0</v>
      </c>
      <c r="P1997" s="415">
        <v>0</v>
      </c>
      <c r="Q1997" s="481">
        <f t="shared" si="77"/>
        <v>-15644.663999999999</v>
      </c>
    </row>
    <row r="1998" spans="1:17" outlineLevel="2" x14ac:dyDescent="0.3">
      <c r="A1998" s="366" t="str">
        <f>IFERROR(VLOOKUP(RIGHT(E1998,3)+0,[1]SchLocTable!$A$2:$B$47,2,FALSE)," ")</f>
        <v>Hall</v>
      </c>
      <c r="B1998" s="366" t="str">
        <f>VLOOKUP(VALUE(D1998),$D$3:F$106,3,FALSE)</f>
        <v>Physical Education</v>
      </c>
      <c r="C1998" t="s">
        <v>314</v>
      </c>
      <c r="D1998">
        <v>819</v>
      </c>
      <c r="E1998" t="s">
        <v>758</v>
      </c>
      <c r="F1998" t="s">
        <v>318</v>
      </c>
      <c r="G1998" t="s">
        <v>319</v>
      </c>
      <c r="H1998" s="502">
        <v>51140</v>
      </c>
      <c r="I1998" s="415">
        <v>0</v>
      </c>
      <c r="J1998" s="415">
        <v>0</v>
      </c>
      <c r="K1998" s="415">
        <v>1100</v>
      </c>
      <c r="L1998" s="415">
        <v>900</v>
      </c>
      <c r="M1998" s="415">
        <v>900</v>
      </c>
      <c r="N1998" s="415">
        <v>900</v>
      </c>
      <c r="O1998" s="415">
        <v>900</v>
      </c>
      <c r="P1998" s="415">
        <v>900</v>
      </c>
      <c r="Q1998" s="481">
        <f t="shared" si="77"/>
        <v>0</v>
      </c>
    </row>
    <row r="1999" spans="1:17" outlineLevel="2" x14ac:dyDescent="0.3">
      <c r="A1999" s="366" t="str">
        <f>IFERROR(VLOOKUP(RIGHT(E1999,3)+0,[1]SchLocTable!$A$2:$B$47,2,FALSE)," ")</f>
        <v>Hall</v>
      </c>
      <c r="B1999" s="366" t="str">
        <f>VLOOKUP(VALUE(D1999),$D$3:F$106,3,FALSE)</f>
        <v>Physical Education</v>
      </c>
      <c r="C1999" t="s">
        <v>314</v>
      </c>
      <c r="D1999">
        <v>819</v>
      </c>
      <c r="E1999" t="s">
        <v>758</v>
      </c>
      <c r="F1999" t="s">
        <v>320</v>
      </c>
      <c r="G1999" t="s">
        <v>319</v>
      </c>
      <c r="H1999" s="502">
        <v>52360</v>
      </c>
      <c r="I1999" s="415">
        <v>846.4478532899999</v>
      </c>
      <c r="J1999" s="415">
        <v>797.19</v>
      </c>
      <c r="K1999" s="415">
        <v>1505.94</v>
      </c>
      <c r="L1999" s="415">
        <v>1470.26</v>
      </c>
      <c r="M1999" s="415">
        <v>1425.83</v>
      </c>
      <c r="N1999" s="415">
        <v>1359.61</v>
      </c>
      <c r="O1999" s="415">
        <v>1333.24</v>
      </c>
      <c r="P1999" s="415">
        <v>1336.69</v>
      </c>
      <c r="Q1999" s="481">
        <f t="shared" si="77"/>
        <v>-49.257853289999844</v>
      </c>
    </row>
    <row r="2000" spans="1:17" outlineLevel="1" x14ac:dyDescent="0.3">
      <c r="A2000" s="366" t="str">
        <f>IFERROR(VLOOKUP(RIGHT(E2000,3)+0,[1]SchLocTable!$A$2:$B$47,2,FALSE)," ")</f>
        <v>Hallen</v>
      </c>
      <c r="B2000" s="366" t="str">
        <f>VLOOKUP(VALUE(D2000),$D$3:F$106,3,FALSE)</f>
        <v>Physical Education</v>
      </c>
      <c r="C2000" t="s">
        <v>314</v>
      </c>
      <c r="D2000">
        <v>819</v>
      </c>
      <c r="E2000" t="s">
        <v>759</v>
      </c>
      <c r="F2000" t="s">
        <v>316</v>
      </c>
      <c r="G2000">
        <v>1</v>
      </c>
      <c r="H2000" s="502">
        <v>51000</v>
      </c>
      <c r="I2000" s="415">
        <v>53417.138059999997</v>
      </c>
      <c r="J2000" s="415">
        <v>0</v>
      </c>
      <c r="K2000" s="415">
        <v>0</v>
      </c>
      <c r="L2000" s="415">
        <v>58374.62</v>
      </c>
      <c r="M2000" s="415">
        <v>89892.92</v>
      </c>
      <c r="N2000" s="415">
        <v>88564.06</v>
      </c>
      <c r="O2000" s="415">
        <v>87254.96</v>
      </c>
      <c r="P2000" s="415">
        <v>85881.12</v>
      </c>
      <c r="Q2000" s="481">
        <f t="shared" si="77"/>
        <v>-53417.138059999997</v>
      </c>
    </row>
    <row r="2001" spans="1:17" outlineLevel="2" x14ac:dyDescent="0.3">
      <c r="A2001" s="366" t="str">
        <f>IFERROR(VLOOKUP(RIGHT(E2001,3)+0,[1]SchLocTable!$A$2:$B$47,2,FALSE)," ")</f>
        <v>Hallen</v>
      </c>
      <c r="B2001" s="366" t="str">
        <f>VLOOKUP(VALUE(D2001),$D$3:F$106,3,FALSE)</f>
        <v>Physical Education</v>
      </c>
      <c r="C2001" t="s">
        <v>314</v>
      </c>
      <c r="D2001">
        <v>819</v>
      </c>
      <c r="E2001" t="s">
        <v>759</v>
      </c>
      <c r="F2001" t="s">
        <v>321</v>
      </c>
      <c r="G2001" t="s">
        <v>319</v>
      </c>
      <c r="H2001" s="502">
        <v>52917</v>
      </c>
      <c r="I2001" s="415">
        <v>15644.663999999999</v>
      </c>
      <c r="J2001" s="415">
        <v>0</v>
      </c>
      <c r="K2001" s="415">
        <v>0</v>
      </c>
      <c r="L2001" s="415">
        <v>23071.3</v>
      </c>
      <c r="M2001" s="415">
        <v>32449.200000000001</v>
      </c>
      <c r="N2001" s="415">
        <v>30308.67</v>
      </c>
      <c r="O2001" s="415">
        <v>29077.5</v>
      </c>
      <c r="P2001" s="415">
        <v>27385.05</v>
      </c>
      <c r="Q2001" s="481">
        <f t="shared" si="77"/>
        <v>-15644.663999999999</v>
      </c>
    </row>
    <row r="2002" spans="1:17" outlineLevel="2" x14ac:dyDescent="0.3">
      <c r="A2002" s="366" t="str">
        <f>IFERROR(VLOOKUP(RIGHT(E2002,3)+0,[1]SchLocTable!$A$2:$B$47,2,FALSE)," ")</f>
        <v>Hallen</v>
      </c>
      <c r="B2002" s="366" t="str">
        <f>VLOOKUP(VALUE(D2002),$D$3:F$106,3,FALSE)</f>
        <v>Physical Education</v>
      </c>
      <c r="C2002" t="s">
        <v>314</v>
      </c>
      <c r="D2002">
        <v>819</v>
      </c>
      <c r="E2002" t="s">
        <v>759</v>
      </c>
      <c r="F2002" t="s">
        <v>318</v>
      </c>
      <c r="G2002" t="s">
        <v>319</v>
      </c>
      <c r="H2002" s="502">
        <v>51140</v>
      </c>
      <c r="I2002" s="415">
        <v>0</v>
      </c>
      <c r="J2002" s="415">
        <v>0</v>
      </c>
      <c r="K2002" s="415">
        <v>0</v>
      </c>
      <c r="L2002" s="415">
        <v>2600</v>
      </c>
      <c r="M2002" s="415">
        <v>1300</v>
      </c>
      <c r="N2002" s="415">
        <v>1300</v>
      </c>
      <c r="O2002" s="415">
        <v>1300</v>
      </c>
      <c r="P2002" s="415">
        <v>1300</v>
      </c>
      <c r="Q2002" s="481">
        <f t="shared" si="77"/>
        <v>0</v>
      </c>
    </row>
    <row r="2003" spans="1:17" outlineLevel="2" x14ac:dyDescent="0.3">
      <c r="A2003" s="366" t="str">
        <f>IFERROR(VLOOKUP(RIGHT(E2003,3)+0,[1]SchLocTable!$A$2:$B$47,2,FALSE)," ")</f>
        <v>Hallen</v>
      </c>
      <c r="B2003" s="366" t="str">
        <f>VLOOKUP(VALUE(D2003),$D$3:F$106,3,FALSE)</f>
        <v>Physical Education</v>
      </c>
      <c r="C2003" t="s">
        <v>314</v>
      </c>
      <c r="D2003">
        <v>819</v>
      </c>
      <c r="E2003" t="s">
        <v>759</v>
      </c>
      <c r="F2003" t="s">
        <v>320</v>
      </c>
      <c r="G2003" t="s">
        <v>319</v>
      </c>
      <c r="H2003" s="502">
        <v>52360</v>
      </c>
      <c r="I2003" s="415">
        <v>774.54850187</v>
      </c>
      <c r="J2003" s="415">
        <v>0</v>
      </c>
      <c r="K2003" s="415">
        <v>0</v>
      </c>
      <c r="L2003" s="415">
        <v>0</v>
      </c>
      <c r="M2003" s="415">
        <v>0</v>
      </c>
      <c r="N2003" s="415">
        <v>0</v>
      </c>
      <c r="O2003" s="415">
        <v>0</v>
      </c>
      <c r="P2003" s="415">
        <v>0</v>
      </c>
      <c r="Q2003" s="481">
        <f t="shared" si="77"/>
        <v>-774.54850187</v>
      </c>
    </row>
    <row r="2004" spans="1:17" outlineLevel="2" x14ac:dyDescent="0.3">
      <c r="A2004" s="366" t="str">
        <f>IFERROR(VLOOKUP(RIGHT(E2004,3)+0,[1]SchLocTable!$A$2:$B$47,2,FALSE)," ")</f>
        <v>Hallen</v>
      </c>
      <c r="B2004" s="366" t="str">
        <f>VLOOKUP(VALUE(D2004),$D$3:F$106,3,FALSE)</f>
        <v>Physical Education</v>
      </c>
      <c r="C2004" t="s">
        <v>314</v>
      </c>
      <c r="D2004">
        <v>819</v>
      </c>
      <c r="E2004" t="s">
        <v>759</v>
      </c>
      <c r="F2004" t="s">
        <v>329</v>
      </c>
      <c r="G2004" t="s">
        <v>319</v>
      </c>
      <c r="H2004" s="502">
        <v>51154</v>
      </c>
      <c r="I2004" s="415">
        <v>0</v>
      </c>
      <c r="J2004" s="415">
        <v>0</v>
      </c>
      <c r="K2004" s="415">
        <v>0</v>
      </c>
      <c r="L2004" s="415">
        <v>11375</v>
      </c>
      <c r="M2004" s="415">
        <v>0</v>
      </c>
      <c r="N2004" s="415">
        <v>0</v>
      </c>
      <c r="O2004" s="415">
        <v>0</v>
      </c>
      <c r="P2004" s="415">
        <v>0</v>
      </c>
      <c r="Q2004" s="481">
        <f t="shared" si="77"/>
        <v>0</v>
      </c>
    </row>
    <row r="2005" spans="1:17" outlineLevel="2" x14ac:dyDescent="0.3">
      <c r="A2005" s="366" t="str">
        <f>IFERROR(VLOOKUP(RIGHT(E2005,3)+0,[1]SchLocTable!$A$2:$B$47,2,FALSE)," ")</f>
        <v>Hooker</v>
      </c>
      <c r="B2005" s="366" t="str">
        <f>VLOOKUP(VALUE(D2005),$D$3:F$106,3,FALSE)</f>
        <v>Physical Education</v>
      </c>
      <c r="C2005" t="s">
        <v>314</v>
      </c>
      <c r="D2005">
        <v>819</v>
      </c>
      <c r="E2005" t="s">
        <v>760</v>
      </c>
      <c r="F2005" t="s">
        <v>316</v>
      </c>
      <c r="G2005">
        <v>1</v>
      </c>
      <c r="H2005" s="502">
        <v>51000</v>
      </c>
      <c r="I2005" s="415">
        <v>55242.78811999999</v>
      </c>
      <c r="J2005" s="415">
        <v>52562</v>
      </c>
      <c r="K2005" s="415">
        <v>50825.06</v>
      </c>
      <c r="L2005" s="415">
        <v>47458.34</v>
      </c>
      <c r="M2005" s="415">
        <v>77032.02</v>
      </c>
      <c r="N2005" s="415">
        <v>72752.94</v>
      </c>
      <c r="O2005" s="415">
        <v>68473.08</v>
      </c>
      <c r="P2005" s="415">
        <v>67395.12</v>
      </c>
      <c r="Q2005" s="481">
        <f t="shared" si="77"/>
        <v>-2680.7881199999902</v>
      </c>
    </row>
    <row r="2006" spans="1:17" outlineLevel="2" x14ac:dyDescent="0.3">
      <c r="A2006" s="366" t="str">
        <f>IFERROR(VLOOKUP(RIGHT(E2006,3)+0,[1]SchLocTable!$A$2:$B$47,2,FALSE)," ")</f>
        <v>Hooker</v>
      </c>
      <c r="B2006" s="366" t="str">
        <f>VLOOKUP(VALUE(D2006),$D$3:F$106,3,FALSE)</f>
        <v>Physical Education</v>
      </c>
      <c r="C2006" t="s">
        <v>314</v>
      </c>
      <c r="D2006">
        <v>819</v>
      </c>
      <c r="E2006" t="s">
        <v>760</v>
      </c>
      <c r="F2006" t="s">
        <v>321</v>
      </c>
      <c r="G2006" t="s">
        <v>319</v>
      </c>
      <c r="H2006" s="502">
        <v>52917</v>
      </c>
      <c r="I2006" s="415">
        <v>513.82799999999997</v>
      </c>
      <c r="J2006" s="415">
        <v>428.19</v>
      </c>
      <c r="K2006" s="415">
        <v>439.32</v>
      </c>
      <c r="L2006" s="415">
        <v>456.8</v>
      </c>
      <c r="M2006" s="415">
        <v>32449.200000000001</v>
      </c>
      <c r="N2006" s="415">
        <v>30308.67</v>
      </c>
      <c r="O2006" s="415">
        <v>29077.5</v>
      </c>
      <c r="P2006" s="415">
        <v>27385.05</v>
      </c>
      <c r="Q2006" s="481">
        <f t="shared" si="77"/>
        <v>-85.637999999999977</v>
      </c>
    </row>
    <row r="2007" spans="1:17" outlineLevel="1" x14ac:dyDescent="0.3">
      <c r="A2007" s="366" t="str">
        <f>IFERROR(VLOOKUP(RIGHT(E2007,3)+0,[1]SchLocTable!$A$2:$B$47,2,FALSE)," ")</f>
        <v>Hooker</v>
      </c>
      <c r="B2007" s="366" t="str">
        <f>VLOOKUP(VALUE(D2007),$D$3:F$106,3,FALSE)</f>
        <v>Physical Education</v>
      </c>
      <c r="C2007" t="s">
        <v>314</v>
      </c>
      <c r="D2007">
        <v>819</v>
      </c>
      <c r="E2007" t="s">
        <v>760</v>
      </c>
      <c r="F2007" t="s">
        <v>318</v>
      </c>
      <c r="G2007" t="s">
        <v>319</v>
      </c>
      <c r="H2007" s="502">
        <v>51140</v>
      </c>
      <c r="I2007" s="415">
        <v>0</v>
      </c>
      <c r="J2007" s="415">
        <v>0</v>
      </c>
      <c r="K2007" s="415">
        <v>0</v>
      </c>
      <c r="L2007" s="415">
        <v>0</v>
      </c>
      <c r="M2007" s="415">
        <v>900</v>
      </c>
      <c r="N2007" s="415">
        <v>0</v>
      </c>
      <c r="O2007" s="415">
        <v>0</v>
      </c>
      <c r="P2007" s="415">
        <v>0</v>
      </c>
      <c r="Q2007" s="481">
        <f t="shared" si="77"/>
        <v>0</v>
      </c>
    </row>
    <row r="2008" spans="1:17" outlineLevel="2" x14ac:dyDescent="0.3">
      <c r="A2008" s="366" t="str">
        <f>IFERROR(VLOOKUP(RIGHT(E2008,3)+0,[1]SchLocTable!$A$2:$B$47,2,FALSE)," ")</f>
        <v>Hooker</v>
      </c>
      <c r="B2008" s="366" t="str">
        <f>VLOOKUP(VALUE(D2008),$D$3:F$106,3,FALSE)</f>
        <v>Physical Education</v>
      </c>
      <c r="C2008" t="s">
        <v>314</v>
      </c>
      <c r="D2008">
        <v>819</v>
      </c>
      <c r="E2008" t="s">
        <v>760</v>
      </c>
      <c r="F2008" t="s">
        <v>320</v>
      </c>
      <c r="G2008" t="s">
        <v>319</v>
      </c>
      <c r="H2008" s="502">
        <v>52360</v>
      </c>
      <c r="I2008" s="415">
        <v>801.02042773999995</v>
      </c>
      <c r="J2008" s="415">
        <v>761</v>
      </c>
      <c r="K2008" s="415">
        <v>735.79</v>
      </c>
      <c r="L2008" s="415">
        <v>686.98</v>
      </c>
      <c r="M2008" s="415">
        <v>999.27</v>
      </c>
      <c r="N2008" s="415">
        <v>936.59</v>
      </c>
      <c r="O2008" s="415">
        <v>882.44</v>
      </c>
      <c r="P2008" s="415">
        <v>874.68</v>
      </c>
      <c r="Q2008" s="481">
        <f t="shared" si="77"/>
        <v>-40.020427739999946</v>
      </c>
    </row>
    <row r="2009" spans="1:17" outlineLevel="2" x14ac:dyDescent="0.3">
      <c r="A2009" s="366" t="str">
        <f>IFERROR(VLOOKUP(RIGHT(E2009,3)+0,[1]SchLocTable!$A$2:$B$47,2,FALSE)," ")</f>
        <v>Hooker</v>
      </c>
      <c r="B2009" s="366" t="str">
        <f>VLOOKUP(VALUE(D2009),$D$3:F$106,3,FALSE)</f>
        <v>Physical Education</v>
      </c>
      <c r="C2009" t="s">
        <v>314</v>
      </c>
      <c r="D2009">
        <v>819</v>
      </c>
      <c r="E2009" t="s">
        <v>760</v>
      </c>
      <c r="F2009" t="s">
        <v>324</v>
      </c>
      <c r="G2009" t="s">
        <v>319</v>
      </c>
      <c r="H2009" s="502">
        <v>52385</v>
      </c>
      <c r="I2009" s="415">
        <v>0</v>
      </c>
      <c r="J2009" s="415">
        <v>0</v>
      </c>
      <c r="K2009" s="415">
        <v>0</v>
      </c>
      <c r="L2009" s="415">
        <v>2119.5</v>
      </c>
      <c r="M2009" s="415">
        <v>0</v>
      </c>
      <c r="N2009" s="415">
        <v>0</v>
      </c>
      <c r="O2009" s="415">
        <v>0</v>
      </c>
      <c r="P2009" s="415">
        <v>0</v>
      </c>
      <c r="Q2009" s="481">
        <f t="shared" si="77"/>
        <v>0</v>
      </c>
    </row>
    <row r="2010" spans="1:17" outlineLevel="2" x14ac:dyDescent="0.3">
      <c r="A2010" s="366" t="str">
        <f>IFERROR(VLOOKUP(RIGHT(E2010,3)+0,[1]SchLocTable!$A$2:$B$47,2,FALSE)," ")</f>
        <v>Batalla</v>
      </c>
      <c r="B2010" s="366" t="str">
        <f>VLOOKUP(VALUE(D2010),$D$3:F$106,3,FALSE)</f>
        <v>Physical Education</v>
      </c>
      <c r="C2010" t="s">
        <v>314</v>
      </c>
      <c r="D2010">
        <v>819</v>
      </c>
      <c r="E2010" t="s">
        <v>761</v>
      </c>
      <c r="F2010" t="s">
        <v>316</v>
      </c>
      <c r="G2010">
        <v>1</v>
      </c>
      <c r="H2010" s="502">
        <v>51000</v>
      </c>
      <c r="I2010" s="415">
        <v>110428.46490000001</v>
      </c>
      <c r="J2010" s="415">
        <v>105070</v>
      </c>
      <c r="K2010" s="415">
        <v>102757.98</v>
      </c>
      <c r="L2010" s="415">
        <v>100497.02</v>
      </c>
      <c r="M2010" s="415">
        <v>93223</v>
      </c>
      <c r="N2010" s="415">
        <v>88897.12</v>
      </c>
      <c r="O2010" s="415">
        <v>83106.92</v>
      </c>
      <c r="P2010" s="415">
        <v>76645.460000000006</v>
      </c>
      <c r="Q2010" s="481">
        <f t="shared" si="77"/>
        <v>-5358.4649000000063</v>
      </c>
    </row>
    <row r="2011" spans="1:17" outlineLevel="2" x14ac:dyDescent="0.3">
      <c r="A2011" s="366" t="str">
        <f>IFERROR(VLOOKUP(RIGHT(E2011,3)+0,[1]SchLocTable!$A$2:$B$47,2,FALSE)," ")</f>
        <v>Batalla</v>
      </c>
      <c r="B2011" s="366" t="str">
        <f>VLOOKUP(VALUE(D2011),$D$3:F$106,3,FALSE)</f>
        <v>Physical Education</v>
      </c>
      <c r="C2011" t="s">
        <v>314</v>
      </c>
      <c r="D2011">
        <v>819</v>
      </c>
      <c r="E2011" t="s">
        <v>761</v>
      </c>
      <c r="F2011" t="s">
        <v>321</v>
      </c>
      <c r="G2011" t="s">
        <v>319</v>
      </c>
      <c r="H2011" s="502">
        <v>52917</v>
      </c>
      <c r="I2011" s="415">
        <v>46330.955999999998</v>
      </c>
      <c r="J2011" s="415">
        <v>38609.129999999997</v>
      </c>
      <c r="K2011" s="415">
        <v>35075.879999999997</v>
      </c>
      <c r="L2011" s="415">
        <v>34606.949999999997</v>
      </c>
      <c r="M2011" s="415">
        <v>32449.200000000001</v>
      </c>
      <c r="N2011" s="415">
        <v>30308.67</v>
      </c>
      <c r="O2011" s="415">
        <v>29077.5</v>
      </c>
      <c r="P2011" s="415">
        <v>27385.05</v>
      </c>
      <c r="Q2011" s="481">
        <f t="shared" si="77"/>
        <v>-7721.8260000000009</v>
      </c>
    </row>
    <row r="2012" spans="1:17" outlineLevel="2" x14ac:dyDescent="0.3">
      <c r="A2012" s="366" t="str">
        <f>IFERROR(VLOOKUP(RIGHT(E2012,3)+0,[1]SchLocTable!$A$2:$B$47,2,FALSE)," ")</f>
        <v>Batalla</v>
      </c>
      <c r="B2012" s="366" t="str">
        <f>VLOOKUP(VALUE(D2012),$D$3:F$106,3,FALSE)</f>
        <v>Physical Education</v>
      </c>
      <c r="C2012" t="s">
        <v>314</v>
      </c>
      <c r="D2012">
        <v>819</v>
      </c>
      <c r="E2012" t="s">
        <v>761</v>
      </c>
      <c r="F2012" t="s">
        <v>318</v>
      </c>
      <c r="G2012" t="s">
        <v>319</v>
      </c>
      <c r="H2012" s="502">
        <v>51140</v>
      </c>
      <c r="I2012" s="415">
        <v>900</v>
      </c>
      <c r="J2012" s="415">
        <v>0</v>
      </c>
      <c r="K2012" s="415">
        <v>900</v>
      </c>
      <c r="L2012" s="415">
        <v>1800</v>
      </c>
      <c r="M2012" s="415">
        <v>1800</v>
      </c>
      <c r="N2012" s="415">
        <v>900</v>
      </c>
      <c r="O2012" s="415">
        <v>900</v>
      </c>
      <c r="P2012" s="415">
        <v>0</v>
      </c>
      <c r="Q2012" s="481">
        <f t="shared" si="77"/>
        <v>-900</v>
      </c>
    </row>
    <row r="2013" spans="1:17" outlineLevel="2" x14ac:dyDescent="0.3">
      <c r="A2013" s="366" t="str">
        <f>IFERROR(VLOOKUP(RIGHT(E2013,3)+0,[1]SchLocTable!$A$2:$B$47,2,FALSE)," ")</f>
        <v>Batalla</v>
      </c>
      <c r="B2013" s="366" t="str">
        <f>VLOOKUP(VALUE(D2013),$D$3:F$106,3,FALSE)</f>
        <v>Physical Education</v>
      </c>
      <c r="C2013" t="s">
        <v>314</v>
      </c>
      <c r="D2013">
        <v>819</v>
      </c>
      <c r="E2013" t="s">
        <v>761</v>
      </c>
      <c r="F2013" t="s">
        <v>320</v>
      </c>
      <c r="G2013" t="s">
        <v>319</v>
      </c>
      <c r="H2013" s="502">
        <v>52360</v>
      </c>
      <c r="I2013" s="415">
        <v>1601.2127410500002</v>
      </c>
      <c r="J2013" s="415">
        <v>1328</v>
      </c>
      <c r="K2013" s="415">
        <v>1353.32</v>
      </c>
      <c r="L2013" s="415">
        <v>1340</v>
      </c>
      <c r="M2013" s="415">
        <v>1234.05</v>
      </c>
      <c r="N2013" s="415">
        <v>1183.72</v>
      </c>
      <c r="O2013" s="415">
        <v>1107.67</v>
      </c>
      <c r="P2013" s="415">
        <v>1083.53</v>
      </c>
      <c r="Q2013" s="481">
        <f t="shared" si="77"/>
        <v>-273.2127410500002</v>
      </c>
    </row>
    <row r="2014" spans="1:17" outlineLevel="1" x14ac:dyDescent="0.3">
      <c r="A2014" s="366" t="str">
        <f>IFERROR(VLOOKUP(RIGHT(E2014,3)+0,[1]SchLocTable!$A$2:$B$47,2,FALSE)," ")</f>
        <v>Info Tech HS</v>
      </c>
      <c r="B2014" s="366" t="str">
        <f>VLOOKUP(VALUE(D2014),$D$3:F$106,3,FALSE)</f>
        <v>Physical Education</v>
      </c>
      <c r="C2014" t="s">
        <v>314</v>
      </c>
      <c r="D2014">
        <v>819</v>
      </c>
      <c r="E2014" t="s">
        <v>762</v>
      </c>
      <c r="F2014" t="s">
        <v>316</v>
      </c>
      <c r="G2014" t="s">
        <v>319</v>
      </c>
      <c r="H2014" s="502">
        <v>51000</v>
      </c>
      <c r="I2014" s="415">
        <v>80000</v>
      </c>
      <c r="J2014" s="415">
        <v>0</v>
      </c>
      <c r="K2014" s="415">
        <v>0</v>
      </c>
      <c r="L2014" s="415">
        <v>0</v>
      </c>
      <c r="M2014" s="415">
        <v>88897</v>
      </c>
      <c r="N2014" s="415">
        <v>0</v>
      </c>
      <c r="O2014" s="415">
        <v>0</v>
      </c>
      <c r="P2014" s="415">
        <v>15982.99</v>
      </c>
      <c r="Q2014" s="481">
        <f t="shared" si="77"/>
        <v>-80000</v>
      </c>
    </row>
    <row r="2015" spans="1:17" outlineLevel="2" x14ac:dyDescent="0.3">
      <c r="A2015" s="366" t="str">
        <f>IFERROR(VLOOKUP(RIGHT(E2015,3)+0,[1]SchLocTable!$A$2:$B$47,2,FALSE)," ")</f>
        <v>Info Tech HS</v>
      </c>
      <c r="B2015" s="366" t="str">
        <f>VLOOKUP(VALUE(D2015),$D$3:F$106,3,FALSE)</f>
        <v>Physical Education</v>
      </c>
      <c r="C2015" t="s">
        <v>314</v>
      </c>
      <c r="D2015">
        <v>819</v>
      </c>
      <c r="E2015" t="s">
        <v>762</v>
      </c>
      <c r="F2015" t="s">
        <v>321</v>
      </c>
      <c r="G2015" t="s">
        <v>319</v>
      </c>
      <c r="H2015" s="502">
        <v>52917</v>
      </c>
      <c r="I2015" s="415">
        <v>32400</v>
      </c>
      <c r="J2015" s="415">
        <v>0</v>
      </c>
      <c r="K2015" s="415">
        <v>0</v>
      </c>
      <c r="L2015" s="415">
        <v>0</v>
      </c>
      <c r="M2015" s="415">
        <v>1284.3599999999999</v>
      </c>
      <c r="N2015" s="415">
        <v>0</v>
      </c>
      <c r="O2015" s="415">
        <v>0</v>
      </c>
      <c r="P2015" s="415">
        <v>0</v>
      </c>
      <c r="Q2015" s="481">
        <f t="shared" si="77"/>
        <v>-32400</v>
      </c>
    </row>
    <row r="2016" spans="1:17" outlineLevel="2" x14ac:dyDescent="0.3">
      <c r="A2016" s="366" t="str">
        <f>IFERROR(VLOOKUP(RIGHT(E2016,3)+0,[1]SchLocTable!$A$2:$B$47,2,FALSE)," ")</f>
        <v>Info Tech HS</v>
      </c>
      <c r="B2016" s="366" t="str">
        <f>VLOOKUP(VALUE(D2016),$D$3:F$106,3,FALSE)</f>
        <v>Physical Education</v>
      </c>
      <c r="C2016" t="s">
        <v>314</v>
      </c>
      <c r="D2016">
        <v>819</v>
      </c>
      <c r="E2016" t="s">
        <v>762</v>
      </c>
      <c r="F2016" t="s">
        <v>318</v>
      </c>
      <c r="G2016" t="s">
        <v>319</v>
      </c>
      <c r="H2016" s="502">
        <v>51140</v>
      </c>
      <c r="I2016" s="415">
        <v>0</v>
      </c>
      <c r="J2016" s="415">
        <v>0</v>
      </c>
      <c r="K2016" s="415">
        <v>0</v>
      </c>
      <c r="L2016" s="415">
        <v>900</v>
      </c>
      <c r="M2016" s="415">
        <v>0</v>
      </c>
      <c r="N2016" s="415">
        <v>0</v>
      </c>
      <c r="O2016" s="415">
        <v>0</v>
      </c>
      <c r="P2016" s="415">
        <v>0</v>
      </c>
      <c r="Q2016" s="481">
        <f t="shared" si="77"/>
        <v>0</v>
      </c>
    </row>
    <row r="2017" spans="1:17" outlineLevel="2" x14ac:dyDescent="0.3">
      <c r="A2017" s="366" t="str">
        <f>IFERROR(VLOOKUP(RIGHT(E2017,3)+0,[1]SchLocTable!$A$2:$B$47,2,FALSE)," ")</f>
        <v>Info Tech HS</v>
      </c>
      <c r="B2017" s="366" t="str">
        <f>VLOOKUP(VALUE(D2017),$D$3:F$106,3,FALSE)</f>
        <v>Physical Education</v>
      </c>
      <c r="C2017" t="s">
        <v>314</v>
      </c>
      <c r="D2017">
        <v>819</v>
      </c>
      <c r="E2017" t="s">
        <v>762</v>
      </c>
      <c r="F2017" t="s">
        <v>320</v>
      </c>
      <c r="G2017" t="s">
        <v>319</v>
      </c>
      <c r="H2017" s="502">
        <v>52360</v>
      </c>
      <c r="I2017" s="415">
        <v>1160</v>
      </c>
      <c r="J2017" s="415">
        <v>0</v>
      </c>
      <c r="K2017" s="415">
        <v>0</v>
      </c>
      <c r="L2017" s="415">
        <v>13.05</v>
      </c>
      <c r="M2017" s="415">
        <v>1289.01</v>
      </c>
      <c r="N2017" s="415">
        <v>0</v>
      </c>
      <c r="O2017" s="415">
        <v>0</v>
      </c>
      <c r="P2017" s="415">
        <v>0</v>
      </c>
      <c r="Q2017" s="481">
        <f t="shared" si="77"/>
        <v>-1160</v>
      </c>
    </row>
    <row r="2018" spans="1:17" outlineLevel="2" x14ac:dyDescent="0.3">
      <c r="A2018" s="366" t="str">
        <f>IFERROR(VLOOKUP(RIGHT(E2018,3)+0,[1]SchLocTable!$A$2:$B$47,2,FALSE)," ")</f>
        <v>BMA HS</v>
      </c>
      <c r="B2018" s="366" t="str">
        <f>VLOOKUP(VALUE(D2018),$D$3:F$106,3,FALSE)</f>
        <v>Physical Education</v>
      </c>
      <c r="C2018" t="s">
        <v>314</v>
      </c>
      <c r="D2018">
        <v>819</v>
      </c>
      <c r="E2018" t="s">
        <v>763</v>
      </c>
      <c r="F2018" t="s">
        <v>316</v>
      </c>
      <c r="G2018">
        <v>2</v>
      </c>
      <c r="H2018" s="502">
        <v>51000</v>
      </c>
      <c r="I2018" s="415">
        <v>171301.22880000001</v>
      </c>
      <c r="J2018" s="415">
        <v>159369</v>
      </c>
      <c r="K2018" s="415">
        <v>155320.1</v>
      </c>
      <c r="L2018" s="415">
        <v>150817.94</v>
      </c>
      <c r="M2018" s="415">
        <v>141268.04</v>
      </c>
      <c r="N2018" s="415">
        <v>88897.12</v>
      </c>
      <c r="O2018" s="415">
        <v>83106.92</v>
      </c>
      <c r="P2018" s="415">
        <v>35465.08</v>
      </c>
      <c r="Q2018" s="481">
        <f t="shared" si="77"/>
        <v>-11932.228800000012</v>
      </c>
    </row>
    <row r="2019" spans="1:17" outlineLevel="2" x14ac:dyDescent="0.3">
      <c r="A2019" s="366" t="str">
        <f>IFERROR(VLOOKUP(RIGHT(E2019,3)+0,[1]SchLocTable!$A$2:$B$47,2,FALSE)," ")</f>
        <v>BMA HS</v>
      </c>
      <c r="B2019" s="366" t="str">
        <f>VLOOKUP(VALUE(D2019),$D$3:F$106,3,FALSE)</f>
        <v>Physical Education</v>
      </c>
      <c r="C2019" t="s">
        <v>314</v>
      </c>
      <c r="D2019">
        <v>819</v>
      </c>
      <c r="E2019" t="s">
        <v>763</v>
      </c>
      <c r="F2019" t="s">
        <v>321</v>
      </c>
      <c r="G2019" t="s">
        <v>319</v>
      </c>
      <c r="H2019" s="502">
        <v>52917</v>
      </c>
      <c r="I2019" s="415">
        <v>53013.995999999992</v>
      </c>
      <c r="J2019" s="415">
        <v>44178.33</v>
      </c>
      <c r="K2019" s="415">
        <v>40049.94</v>
      </c>
      <c r="L2019" s="415">
        <v>29952.61</v>
      </c>
      <c r="M2019" s="415">
        <v>26118.12</v>
      </c>
      <c r="N2019" s="415">
        <v>24212.79</v>
      </c>
      <c r="O2019" s="415">
        <v>23332.03</v>
      </c>
      <c r="P2019" s="415">
        <v>0</v>
      </c>
      <c r="Q2019" s="481">
        <f t="shared" si="77"/>
        <v>-8835.6659999999902</v>
      </c>
    </row>
    <row r="2020" spans="1:17" outlineLevel="2" x14ac:dyDescent="0.3">
      <c r="A2020" s="366" t="str">
        <f>IFERROR(VLOOKUP(RIGHT(E2020,3)+0,[1]SchLocTable!$A$2:$B$47,2,FALSE)," ")</f>
        <v>BMA HS</v>
      </c>
      <c r="B2020" s="366" t="str">
        <f>VLOOKUP(VALUE(D2020),$D$3:F$106,3,FALSE)</f>
        <v>Physical Education</v>
      </c>
      <c r="C2020" t="s">
        <v>314</v>
      </c>
      <c r="D2020">
        <v>819</v>
      </c>
      <c r="E2020" t="s">
        <v>763</v>
      </c>
      <c r="F2020" t="s">
        <v>320</v>
      </c>
      <c r="G2020" t="s">
        <v>319</v>
      </c>
      <c r="H2020" s="502">
        <v>52360</v>
      </c>
      <c r="I2020" s="415">
        <v>2483.8678176000003</v>
      </c>
      <c r="J2020" s="415">
        <v>2071</v>
      </c>
      <c r="K2020" s="415">
        <v>2080.4299999999998</v>
      </c>
      <c r="L2020" s="415">
        <v>2061.91</v>
      </c>
      <c r="M2020" s="415">
        <v>1942.55</v>
      </c>
      <c r="N2020" s="415">
        <v>1193.72</v>
      </c>
      <c r="O2020" s="415">
        <v>1115.9000000000001</v>
      </c>
      <c r="P2020" s="415">
        <v>1186.08</v>
      </c>
      <c r="Q2020" s="481">
        <f t="shared" si="77"/>
        <v>-412.86781760000031</v>
      </c>
    </row>
    <row r="2021" spans="1:17" outlineLevel="2" x14ac:dyDescent="0.3">
      <c r="A2021" s="366" t="str">
        <f>IFERROR(VLOOKUP(RIGHT(E2021,3)+0,[1]SchLocTable!$A$2:$B$47,2,FALSE)," ")</f>
        <v>BMA HS</v>
      </c>
      <c r="B2021" s="366" t="str">
        <f>VLOOKUP(VALUE(D2021),$D$3:F$106,3,FALSE)</f>
        <v>Physical Education</v>
      </c>
      <c r="C2021" t="s">
        <v>314</v>
      </c>
      <c r="D2021">
        <v>819</v>
      </c>
      <c r="E2021" t="s">
        <v>763</v>
      </c>
      <c r="F2021" t="s">
        <v>324</v>
      </c>
      <c r="G2021" t="s">
        <v>319</v>
      </c>
      <c r="H2021" s="502">
        <v>52385</v>
      </c>
      <c r="I2021" s="415">
        <v>0</v>
      </c>
      <c r="J2021" s="415">
        <v>0</v>
      </c>
      <c r="K2021" s="415">
        <v>0</v>
      </c>
      <c r="L2021" s="415">
        <v>0</v>
      </c>
      <c r="M2021" s="415">
        <v>1247.75</v>
      </c>
      <c r="N2021" s="415">
        <v>0</v>
      </c>
      <c r="O2021" s="415">
        <v>0</v>
      </c>
      <c r="P2021" s="415">
        <v>0</v>
      </c>
      <c r="Q2021" s="481">
        <f t="shared" si="77"/>
        <v>0</v>
      </c>
    </row>
    <row r="2022" spans="1:17" outlineLevel="2" x14ac:dyDescent="0.3">
      <c r="A2022" s="366" t="str">
        <f>IFERROR(VLOOKUP(RIGHT(E2022,3)+0,[1]SchLocTable!$A$2:$B$47,2,FALSE)," ")</f>
        <v>Park City Magnet</v>
      </c>
      <c r="B2022" s="366" t="str">
        <f>VLOOKUP(VALUE(D2022),$D$3:F$106,3,FALSE)</f>
        <v>Physical Education</v>
      </c>
      <c r="C2022" t="s">
        <v>314</v>
      </c>
      <c r="D2022">
        <v>819</v>
      </c>
      <c r="E2022" t="s">
        <v>764</v>
      </c>
      <c r="F2022" t="s">
        <v>316</v>
      </c>
      <c r="G2022">
        <v>2</v>
      </c>
      <c r="H2022" s="502">
        <v>51000</v>
      </c>
      <c r="I2022" s="415">
        <v>135416.45233999999</v>
      </c>
      <c r="J2022" s="415">
        <v>128845</v>
      </c>
      <c r="K2022" s="415">
        <v>123412.9</v>
      </c>
      <c r="L2022" s="415">
        <v>108537.09</v>
      </c>
      <c r="M2022" s="415">
        <v>130872.12</v>
      </c>
      <c r="N2022" s="415">
        <v>99363.61</v>
      </c>
      <c r="O2022" s="415">
        <v>57203.12</v>
      </c>
      <c r="P2022" s="415">
        <v>56301.96</v>
      </c>
      <c r="Q2022" s="481">
        <f t="shared" si="77"/>
        <v>-6571.4523399999889</v>
      </c>
    </row>
    <row r="2023" spans="1:17" outlineLevel="2" x14ac:dyDescent="0.3">
      <c r="A2023" s="366" t="str">
        <f>IFERROR(VLOOKUP(RIGHT(E2023,3)+0,[1]SchLocTable!$A$2:$B$47,2,FALSE)," ")</f>
        <v>Park City Magnet</v>
      </c>
      <c r="B2023" s="366" t="str">
        <f>VLOOKUP(VALUE(D2023),$D$3:F$106,3,FALSE)</f>
        <v>Physical Education</v>
      </c>
      <c r="C2023" t="s">
        <v>314</v>
      </c>
      <c r="D2023">
        <v>819</v>
      </c>
      <c r="E2023" t="s">
        <v>764</v>
      </c>
      <c r="F2023" t="s">
        <v>321</v>
      </c>
      <c r="G2023" t="s">
        <v>319</v>
      </c>
      <c r="H2023" s="502">
        <v>52917</v>
      </c>
      <c r="I2023" s="415">
        <v>76446.467999999993</v>
      </c>
      <c r="J2023" s="415">
        <v>49038.99</v>
      </c>
      <c r="K2023" s="415">
        <v>44551.29</v>
      </c>
      <c r="L2023" s="415">
        <v>34606.949999999997</v>
      </c>
      <c r="M2023" s="415">
        <v>41318.949999999997</v>
      </c>
      <c r="N2023" s="415">
        <v>35639.599999999999</v>
      </c>
      <c r="O2023" s="415">
        <v>29077.5</v>
      </c>
      <c r="P2023" s="415">
        <v>19974.330000000002</v>
      </c>
      <c r="Q2023" s="481">
        <f t="shared" si="77"/>
        <v>-27407.477999999996</v>
      </c>
    </row>
    <row r="2024" spans="1:17" outlineLevel="2" x14ac:dyDescent="0.3">
      <c r="A2024" s="366" t="str">
        <f>IFERROR(VLOOKUP(RIGHT(E2024,3)+0,[1]SchLocTable!$A$2:$B$47,2,FALSE)," ")</f>
        <v>Park City Magnet</v>
      </c>
      <c r="B2024" s="366" t="str">
        <f>VLOOKUP(VALUE(D2024),$D$3:F$106,3,FALSE)</f>
        <v>Physical Education</v>
      </c>
      <c r="C2024" t="s">
        <v>314</v>
      </c>
      <c r="D2024">
        <v>819</v>
      </c>
      <c r="E2024" t="s">
        <v>764</v>
      </c>
      <c r="F2024" t="s">
        <v>318</v>
      </c>
      <c r="G2024" t="s">
        <v>319</v>
      </c>
      <c r="H2024" s="502">
        <v>51140</v>
      </c>
      <c r="I2024" s="415">
        <v>900</v>
      </c>
      <c r="J2024" s="415">
        <v>0</v>
      </c>
      <c r="K2024" s="415">
        <v>900</v>
      </c>
      <c r="L2024" s="415">
        <v>900</v>
      </c>
      <c r="M2024" s="415">
        <v>0</v>
      </c>
      <c r="N2024" s="415">
        <v>0</v>
      </c>
      <c r="O2024" s="415">
        <v>0</v>
      </c>
      <c r="P2024" s="415">
        <v>0</v>
      </c>
      <c r="Q2024" s="481">
        <f t="shared" si="77"/>
        <v>-900</v>
      </c>
    </row>
    <row r="2025" spans="1:17" outlineLevel="1" x14ac:dyDescent="0.3">
      <c r="A2025" s="366" t="str">
        <f>IFERROR(VLOOKUP(RIGHT(E2025,3)+0,[1]SchLocTable!$A$2:$B$47,2,FALSE)," ")</f>
        <v>Park City Magnet</v>
      </c>
      <c r="B2025" s="366" t="str">
        <f>VLOOKUP(VALUE(D2025),$D$3:F$106,3,FALSE)</f>
        <v>Physical Education</v>
      </c>
      <c r="C2025" t="s">
        <v>314</v>
      </c>
      <c r="D2025">
        <v>819</v>
      </c>
      <c r="E2025" t="s">
        <v>764</v>
      </c>
      <c r="F2025" t="s">
        <v>320</v>
      </c>
      <c r="G2025" t="s">
        <v>319</v>
      </c>
      <c r="H2025" s="502">
        <v>52360</v>
      </c>
      <c r="I2025" s="415">
        <v>1963.5385589299999</v>
      </c>
      <c r="J2025" s="415">
        <v>1616</v>
      </c>
      <c r="K2025" s="415">
        <v>1612.39</v>
      </c>
      <c r="L2025" s="415">
        <v>1448.03</v>
      </c>
      <c r="M2025" s="415">
        <v>1731.16</v>
      </c>
      <c r="N2025" s="415">
        <v>1301.58</v>
      </c>
      <c r="O2025" s="415">
        <v>719.02</v>
      </c>
      <c r="P2025" s="415">
        <v>741.4</v>
      </c>
      <c r="Q2025" s="481">
        <f t="shared" si="77"/>
        <v>-347.53855892999991</v>
      </c>
    </row>
    <row r="2026" spans="1:17" outlineLevel="2" x14ac:dyDescent="0.3">
      <c r="A2026" s="366" t="str">
        <f>IFERROR(VLOOKUP(RIGHT(E2026,3)+0,[1]SchLocTable!$A$2:$B$47,2,FALSE)," ")</f>
        <v>Park City Magnet</v>
      </c>
      <c r="B2026" s="366" t="str">
        <f>VLOOKUP(VALUE(D2026),$D$3:F$106,3,FALSE)</f>
        <v>Physical Education</v>
      </c>
      <c r="C2026" t="s">
        <v>314</v>
      </c>
      <c r="D2026">
        <v>819</v>
      </c>
      <c r="E2026" t="s">
        <v>764</v>
      </c>
      <c r="F2026" t="s">
        <v>324</v>
      </c>
      <c r="G2026" t="s">
        <v>319</v>
      </c>
      <c r="H2026" s="502">
        <v>52385</v>
      </c>
      <c r="I2026" s="415">
        <v>0</v>
      </c>
      <c r="J2026" s="415">
        <v>0</v>
      </c>
      <c r="K2026" s="415">
        <v>0</v>
      </c>
      <c r="L2026" s="415">
        <v>347.2</v>
      </c>
      <c r="M2026" s="415">
        <v>0</v>
      </c>
      <c r="N2026" s="415">
        <v>0</v>
      </c>
      <c r="O2026" s="415">
        <v>0</v>
      </c>
      <c r="P2026" s="415">
        <v>0</v>
      </c>
      <c r="Q2026" s="481">
        <f t="shared" si="77"/>
        <v>0</v>
      </c>
    </row>
    <row r="2027" spans="1:17" outlineLevel="2" x14ac:dyDescent="0.3">
      <c r="A2027" s="366" t="str">
        <f>IFERROR(VLOOKUP(RIGHT(E2027,3)+0,[1]SchLocTable!$A$2:$B$47,2,FALSE)," ")</f>
        <v>Zoo Science HS</v>
      </c>
      <c r="B2027" s="366" t="str">
        <f>VLOOKUP(VALUE(D2027),$D$3:F$106,3,FALSE)</f>
        <v>Physical Education</v>
      </c>
      <c r="C2027" t="s">
        <v>314</v>
      </c>
      <c r="D2027">
        <v>819</v>
      </c>
      <c r="E2027" t="s">
        <v>765</v>
      </c>
      <c r="F2027" t="s">
        <v>316</v>
      </c>
      <c r="G2027">
        <v>2</v>
      </c>
      <c r="H2027" s="502">
        <v>51000</v>
      </c>
      <c r="I2027" s="415">
        <v>209385.47499999998</v>
      </c>
      <c r="J2027" s="415">
        <v>105070</v>
      </c>
      <c r="K2027" s="415">
        <v>192544.01</v>
      </c>
      <c r="L2027" s="415">
        <v>100497.02</v>
      </c>
      <c r="M2027" s="415">
        <v>81011.899999999994</v>
      </c>
      <c r="N2027" s="415">
        <v>110365.88</v>
      </c>
      <c r="O2027" s="415">
        <v>46106.92</v>
      </c>
      <c r="P2027" s="415">
        <v>94593.98</v>
      </c>
      <c r="Q2027" s="481">
        <f t="shared" si="77"/>
        <v>-104315.47499999998</v>
      </c>
    </row>
    <row r="2028" spans="1:17" outlineLevel="2" x14ac:dyDescent="0.3">
      <c r="A2028" s="366" t="str">
        <f>IFERROR(VLOOKUP(RIGHT(E2028,3)+0,[1]SchLocTable!$A$2:$B$47,2,FALSE)," ")</f>
        <v>Zoo Science HS</v>
      </c>
      <c r="B2028" s="366" t="str">
        <f>VLOOKUP(VALUE(D2028),$D$3:F$106,3,FALSE)</f>
        <v>Physical Education</v>
      </c>
      <c r="C2028" t="s">
        <v>314</v>
      </c>
      <c r="D2028">
        <v>819</v>
      </c>
      <c r="E2028" t="s">
        <v>765</v>
      </c>
      <c r="F2028" t="s">
        <v>321</v>
      </c>
      <c r="G2028" t="s">
        <v>319</v>
      </c>
      <c r="H2028" s="502">
        <v>52917</v>
      </c>
      <c r="I2028" s="415">
        <v>92661.911999999997</v>
      </c>
      <c r="J2028" s="415">
        <v>47589</v>
      </c>
      <c r="K2028" s="415">
        <v>70151.759999999995</v>
      </c>
      <c r="L2028" s="415">
        <v>34606.949999999997</v>
      </c>
      <c r="M2028" s="415">
        <v>32449.200000000001</v>
      </c>
      <c r="N2028" s="415">
        <v>30308.67</v>
      </c>
      <c r="O2028" s="415">
        <v>29077.5</v>
      </c>
      <c r="P2028" s="415">
        <v>27385.05</v>
      </c>
      <c r="Q2028" s="481">
        <f t="shared" si="77"/>
        <v>-45072.911999999997</v>
      </c>
    </row>
    <row r="2029" spans="1:17" outlineLevel="2" x14ac:dyDescent="0.3">
      <c r="A2029" s="366" t="str">
        <f>IFERROR(VLOOKUP(RIGHT(E2029,3)+0,[1]SchLocTable!$A$2:$B$47,2,FALSE)," ")</f>
        <v>Zoo Science HS</v>
      </c>
      <c r="B2029" s="366" t="str">
        <f>VLOOKUP(VALUE(D2029),$D$3:F$106,3,FALSE)</f>
        <v>Physical Education</v>
      </c>
      <c r="C2029" t="s">
        <v>314</v>
      </c>
      <c r="D2029">
        <v>819</v>
      </c>
      <c r="E2029" t="s">
        <v>765</v>
      </c>
      <c r="F2029" t="s">
        <v>318</v>
      </c>
      <c r="G2029" t="s">
        <v>319</v>
      </c>
      <c r="H2029" s="502">
        <v>51140</v>
      </c>
      <c r="I2029" s="415">
        <v>2000</v>
      </c>
      <c r="J2029" s="415">
        <v>0</v>
      </c>
      <c r="K2029" s="415">
        <v>2000</v>
      </c>
      <c r="L2029" s="415">
        <v>2000</v>
      </c>
      <c r="M2029" s="415">
        <v>1100</v>
      </c>
      <c r="N2029" s="415">
        <v>1100</v>
      </c>
      <c r="O2029" s="415">
        <v>900</v>
      </c>
      <c r="P2029" s="415">
        <v>900</v>
      </c>
      <c r="Q2029" s="481">
        <f t="shared" si="77"/>
        <v>-2000</v>
      </c>
    </row>
    <row r="2030" spans="1:17" outlineLevel="2" x14ac:dyDescent="0.3">
      <c r="A2030" s="366" t="str">
        <f>IFERROR(VLOOKUP(RIGHT(E2030,3)+0,[1]SchLocTable!$A$2:$B$47,2,FALSE)," ")</f>
        <v>Zoo Science HS</v>
      </c>
      <c r="B2030" s="366" t="str">
        <f>VLOOKUP(VALUE(D2030),$D$3:F$106,3,FALSE)</f>
        <v>Physical Education</v>
      </c>
      <c r="C2030" t="s">
        <v>314</v>
      </c>
      <c r="D2030">
        <v>819</v>
      </c>
      <c r="E2030" t="s">
        <v>765</v>
      </c>
      <c r="F2030" t="s">
        <v>320</v>
      </c>
      <c r="G2030" t="s">
        <v>319</v>
      </c>
      <c r="H2030" s="502">
        <v>52360</v>
      </c>
      <c r="I2030" s="415">
        <v>3036.0893875000002</v>
      </c>
      <c r="J2030" s="415">
        <v>1330</v>
      </c>
      <c r="K2030" s="415">
        <v>2521.4499999999998</v>
      </c>
      <c r="L2030" s="415">
        <v>1342.9</v>
      </c>
      <c r="M2030" s="415">
        <v>1320.91</v>
      </c>
      <c r="N2030" s="415">
        <v>1312.06</v>
      </c>
      <c r="O2030" s="415">
        <v>1296.18</v>
      </c>
      <c r="P2030" s="415">
        <v>1282.1300000000001</v>
      </c>
      <c r="Q2030" s="481">
        <f t="shared" si="77"/>
        <v>-1706.0893875000002</v>
      </c>
    </row>
    <row r="2031" spans="1:17" outlineLevel="2" x14ac:dyDescent="0.3">
      <c r="A2031" s="366" t="str">
        <f>IFERROR(VLOOKUP(RIGHT(E2031,3)+0,[1]SchLocTable!$A$2:$B$47,2,FALSE)," ")</f>
        <v>Madison</v>
      </c>
      <c r="B2031" s="366" t="str">
        <f>VLOOKUP(VALUE(D2031),$D$3:F$106,3,FALSE)</f>
        <v>Physical Education</v>
      </c>
      <c r="C2031" t="s">
        <v>314</v>
      </c>
      <c r="D2031">
        <v>819</v>
      </c>
      <c r="E2031" t="s">
        <v>766</v>
      </c>
      <c r="F2031" t="s">
        <v>316</v>
      </c>
      <c r="G2031">
        <v>1</v>
      </c>
      <c r="H2031" s="502">
        <v>51000</v>
      </c>
      <c r="I2031" s="415">
        <v>81769.775880000001</v>
      </c>
      <c r="J2031" s="415">
        <v>77802</v>
      </c>
      <c r="K2031" s="415">
        <v>73480.94</v>
      </c>
      <c r="L2031" s="415">
        <v>68473.08</v>
      </c>
      <c r="M2031" s="415">
        <v>64194</v>
      </c>
      <c r="N2031" s="415">
        <v>57862.37</v>
      </c>
      <c r="O2031" s="415">
        <v>50535.94</v>
      </c>
      <c r="P2031" s="415">
        <v>48048</v>
      </c>
      <c r="Q2031" s="481">
        <f t="shared" si="77"/>
        <v>-3967.7758800000011</v>
      </c>
    </row>
    <row r="2032" spans="1:17" outlineLevel="2" x14ac:dyDescent="0.3">
      <c r="A2032" s="366" t="str">
        <f>IFERROR(VLOOKUP(RIGHT(E2032,3)+0,[1]SchLocTable!$A$2:$B$47,2,FALSE)," ")</f>
        <v>Madison</v>
      </c>
      <c r="B2032" s="366" t="str">
        <f>VLOOKUP(VALUE(D2032),$D$3:F$106,3,FALSE)</f>
        <v>Physical Education</v>
      </c>
      <c r="C2032" t="s">
        <v>314</v>
      </c>
      <c r="D2032">
        <v>819</v>
      </c>
      <c r="E2032" t="s">
        <v>766</v>
      </c>
      <c r="F2032" t="s">
        <v>321</v>
      </c>
      <c r="G2032" t="s">
        <v>319</v>
      </c>
      <c r="H2032" s="502">
        <v>52917</v>
      </c>
      <c r="I2032" s="415">
        <v>37644.263999999996</v>
      </c>
      <c r="J2032" s="415">
        <v>31370.22</v>
      </c>
      <c r="K2032" s="415">
        <v>28478.1</v>
      </c>
      <c r="L2032" s="415">
        <v>20963.849999999999</v>
      </c>
      <c r="M2032" s="415">
        <v>10952.55</v>
      </c>
      <c r="N2032" s="415">
        <v>10677.76</v>
      </c>
      <c r="O2032" s="415">
        <v>9817.68</v>
      </c>
      <c r="P2032" s="415">
        <v>9245.67</v>
      </c>
      <c r="Q2032" s="481">
        <f t="shared" si="77"/>
        <v>-6274.0439999999944</v>
      </c>
    </row>
    <row r="2033" spans="1:17" outlineLevel="1" x14ac:dyDescent="0.3">
      <c r="A2033" s="366" t="str">
        <f>IFERROR(VLOOKUP(RIGHT(E2033,3)+0,[1]SchLocTable!$A$2:$B$47,2,FALSE)," ")</f>
        <v>Madison</v>
      </c>
      <c r="B2033" s="366" t="str">
        <f>VLOOKUP(VALUE(D2033),$D$3:F$106,3,FALSE)</f>
        <v>Physical Education</v>
      </c>
      <c r="C2033" t="s">
        <v>314</v>
      </c>
      <c r="D2033">
        <v>819</v>
      </c>
      <c r="E2033" t="s">
        <v>766</v>
      </c>
      <c r="F2033" t="s">
        <v>320</v>
      </c>
      <c r="G2033" t="s">
        <v>319</v>
      </c>
      <c r="H2033" s="502">
        <v>52360</v>
      </c>
      <c r="I2033" s="415">
        <v>1185.66175026</v>
      </c>
      <c r="J2033" s="415">
        <v>958</v>
      </c>
      <c r="K2033" s="415">
        <v>943.59</v>
      </c>
      <c r="L2033" s="415">
        <v>905.72</v>
      </c>
      <c r="M2033" s="415">
        <v>886.66</v>
      </c>
      <c r="N2033" s="415">
        <v>797.26</v>
      </c>
      <c r="O2033" s="415">
        <v>695.48</v>
      </c>
      <c r="P2033" s="415">
        <v>662.07</v>
      </c>
      <c r="Q2033" s="481">
        <f t="shared" si="77"/>
        <v>-227.66175025999996</v>
      </c>
    </row>
    <row r="2034" spans="1:17" outlineLevel="2" x14ac:dyDescent="0.3">
      <c r="A2034" s="366" t="str">
        <f>IFERROR(VLOOKUP(RIGHT(E2034,3)+0,[1]SchLocTable!$A$2:$B$47,2,FALSE)," ")</f>
        <v>Classical Studies Academy</v>
      </c>
      <c r="B2034" s="366" t="str">
        <f>VLOOKUP(VALUE(D2034),$D$3:F$106,3,FALSE)</f>
        <v>Physical Education</v>
      </c>
      <c r="C2034" t="s">
        <v>314</v>
      </c>
      <c r="D2034">
        <v>819</v>
      </c>
      <c r="E2034" t="s">
        <v>767</v>
      </c>
      <c r="F2034" t="s">
        <v>316</v>
      </c>
      <c r="G2034">
        <v>1</v>
      </c>
      <c r="H2034" s="502">
        <v>51000</v>
      </c>
      <c r="I2034" s="415">
        <v>110428.49642999998</v>
      </c>
      <c r="J2034" s="415">
        <v>105070</v>
      </c>
      <c r="K2034" s="415">
        <v>102758.04</v>
      </c>
      <c r="L2034" s="415">
        <v>88210.99</v>
      </c>
      <c r="M2034" s="415">
        <v>88896.99</v>
      </c>
      <c r="N2034" s="415">
        <v>78974.490000000005</v>
      </c>
      <c r="O2034" s="415">
        <v>46880.08</v>
      </c>
      <c r="P2034" s="415">
        <v>45645.79</v>
      </c>
      <c r="Q2034" s="481">
        <f t="shared" si="77"/>
        <v>-5358.4964299999847</v>
      </c>
    </row>
    <row r="2035" spans="1:17" outlineLevel="2" x14ac:dyDescent="0.3">
      <c r="A2035" s="366" t="str">
        <f>IFERROR(VLOOKUP(RIGHT(E2035,3)+0,[1]SchLocTable!$A$2:$B$47,2,FALSE)," ")</f>
        <v>Classical Studies Academy</v>
      </c>
      <c r="B2035" s="366" t="str">
        <f>VLOOKUP(VALUE(D2035),$D$3:F$106,3,FALSE)</f>
        <v>Physical Education</v>
      </c>
      <c r="C2035" t="s">
        <v>314</v>
      </c>
      <c r="D2035">
        <v>819</v>
      </c>
      <c r="E2035" t="s">
        <v>767</v>
      </c>
      <c r="F2035" t="s">
        <v>321</v>
      </c>
      <c r="G2035" t="s">
        <v>319</v>
      </c>
      <c r="H2035" s="502">
        <v>52917</v>
      </c>
      <c r="I2035" s="415">
        <v>15644.663999999999</v>
      </c>
      <c r="J2035" s="415">
        <v>12979</v>
      </c>
      <c r="K2035" s="415">
        <v>11844</v>
      </c>
      <c r="L2035" s="415">
        <v>11629.17</v>
      </c>
      <c r="M2035" s="415">
        <v>10952.55</v>
      </c>
      <c r="N2035" s="415">
        <v>9700.5499999999993</v>
      </c>
      <c r="O2035" s="415">
        <v>9817.68</v>
      </c>
      <c r="P2035" s="415">
        <v>9292.7099999999991</v>
      </c>
      <c r="Q2035" s="481">
        <f t="shared" si="77"/>
        <v>-2665.6639999999989</v>
      </c>
    </row>
    <row r="2036" spans="1:17" outlineLevel="2" x14ac:dyDescent="0.3">
      <c r="A2036" s="366" t="str">
        <f>IFERROR(VLOOKUP(RIGHT(E2036,3)+0,[1]SchLocTable!$A$2:$B$47,2,FALSE)," ")</f>
        <v>Classical Studies Academy</v>
      </c>
      <c r="B2036" s="366" t="str">
        <f>VLOOKUP(VALUE(D2036),$D$3:F$106,3,FALSE)</f>
        <v>Physical Education</v>
      </c>
      <c r="C2036" t="s">
        <v>314</v>
      </c>
      <c r="D2036">
        <v>819</v>
      </c>
      <c r="E2036" t="s">
        <v>767</v>
      </c>
      <c r="F2036" t="s">
        <v>320</v>
      </c>
      <c r="G2036" t="s">
        <v>319</v>
      </c>
      <c r="H2036" s="502">
        <v>52360</v>
      </c>
      <c r="I2036" s="415">
        <v>1601.2131982349999</v>
      </c>
      <c r="J2036" s="415">
        <v>1466</v>
      </c>
      <c r="K2036" s="415">
        <v>1439.43</v>
      </c>
      <c r="L2036" s="415">
        <v>1230.8</v>
      </c>
      <c r="M2036" s="415">
        <v>1244.8599999999999</v>
      </c>
      <c r="N2036" s="415">
        <v>1107.19</v>
      </c>
      <c r="O2036" s="415">
        <v>642.47</v>
      </c>
      <c r="P2036" s="415">
        <v>627.16</v>
      </c>
      <c r="Q2036" s="481">
        <f t="shared" si="77"/>
        <v>-135.21319823499994</v>
      </c>
    </row>
    <row r="2037" spans="1:17" outlineLevel="2" x14ac:dyDescent="0.3">
      <c r="A2037" s="366" t="str">
        <f>IFERROR(VLOOKUP(RIGHT(E2037,3)+0,[1]SchLocTable!$A$2:$B$47,2,FALSE)," ")</f>
        <v>Tisdale</v>
      </c>
      <c r="B2037" s="366" t="str">
        <f>VLOOKUP(VALUE(D2037),$D$3:F$106,3,FALSE)</f>
        <v>Physical Education</v>
      </c>
      <c r="C2037" t="s">
        <v>314</v>
      </c>
      <c r="D2037">
        <v>819</v>
      </c>
      <c r="E2037" t="s">
        <v>768</v>
      </c>
      <c r="F2037" t="s">
        <v>316</v>
      </c>
      <c r="G2037">
        <v>2</v>
      </c>
      <c r="H2037" s="502">
        <v>51000</v>
      </c>
      <c r="I2037" s="415">
        <v>199215.01105999999</v>
      </c>
      <c r="J2037" s="415">
        <v>189548</v>
      </c>
      <c r="K2037" s="415">
        <v>183080.04</v>
      </c>
      <c r="L2037" s="415">
        <v>174347.94</v>
      </c>
      <c r="M2037" s="415">
        <v>166924.94</v>
      </c>
      <c r="N2037" s="415">
        <v>161317</v>
      </c>
      <c r="O2037" s="415">
        <v>155728.04</v>
      </c>
      <c r="P2037" s="415">
        <v>153276.24</v>
      </c>
      <c r="Q2037" s="481">
        <f t="shared" si="77"/>
        <v>-9667.0110599999898</v>
      </c>
    </row>
    <row r="2038" spans="1:17" outlineLevel="2" x14ac:dyDescent="0.3">
      <c r="A2038" s="366" t="str">
        <f>IFERROR(VLOOKUP(RIGHT(E2038,3)+0,[1]SchLocTable!$A$2:$B$47,2,FALSE)," ")</f>
        <v>Tisdale</v>
      </c>
      <c r="B2038" s="366" t="str">
        <f>VLOOKUP(VALUE(D2038),$D$3:F$106,3,FALSE)</f>
        <v>Physical Education</v>
      </c>
      <c r="C2038" t="s">
        <v>314</v>
      </c>
      <c r="D2038">
        <v>819</v>
      </c>
      <c r="E2038" t="s">
        <v>768</v>
      </c>
      <c r="F2038" t="s">
        <v>321</v>
      </c>
      <c r="G2038" t="s">
        <v>319</v>
      </c>
      <c r="H2038" s="502">
        <v>52917</v>
      </c>
      <c r="I2038" s="415">
        <v>46330.955999999998</v>
      </c>
      <c r="J2038" s="415">
        <v>38609.129999999997</v>
      </c>
      <c r="K2038" s="415">
        <v>70151.759999999995</v>
      </c>
      <c r="L2038" s="415">
        <v>69213.899999999994</v>
      </c>
      <c r="M2038" s="415">
        <v>64898.400000000001</v>
      </c>
      <c r="N2038" s="415">
        <v>60617.34</v>
      </c>
      <c r="O2038" s="415">
        <v>58155</v>
      </c>
      <c r="P2038" s="415">
        <v>54770.1</v>
      </c>
      <c r="Q2038" s="481">
        <f t="shared" si="77"/>
        <v>-7721.8260000000009</v>
      </c>
    </row>
    <row r="2039" spans="1:17" outlineLevel="2" x14ac:dyDescent="0.3">
      <c r="A2039" s="366" t="str">
        <f>IFERROR(VLOOKUP(RIGHT(E2039,3)+0,[1]SchLocTable!$A$2:$B$47,2,FALSE)," ")</f>
        <v>Tisdale</v>
      </c>
      <c r="B2039" s="366" t="str">
        <f>VLOOKUP(VALUE(D2039),$D$3:F$106,3,FALSE)</f>
        <v>Physical Education</v>
      </c>
      <c r="C2039" t="s">
        <v>314</v>
      </c>
      <c r="D2039">
        <v>819</v>
      </c>
      <c r="E2039" t="s">
        <v>768</v>
      </c>
      <c r="F2039" t="s">
        <v>318</v>
      </c>
      <c r="G2039" t="s">
        <v>319</v>
      </c>
      <c r="H2039" s="502">
        <v>51140</v>
      </c>
      <c r="I2039" s="415">
        <v>1100</v>
      </c>
      <c r="J2039" s="415">
        <v>0</v>
      </c>
      <c r="K2039" s="415">
        <v>1100</v>
      </c>
      <c r="L2039" s="415">
        <v>1100</v>
      </c>
      <c r="M2039" s="415">
        <v>1100</v>
      </c>
      <c r="N2039" s="415">
        <v>1100</v>
      </c>
      <c r="O2039" s="415">
        <v>900</v>
      </c>
      <c r="P2039" s="415">
        <v>900</v>
      </c>
      <c r="Q2039" s="481">
        <f t="shared" si="77"/>
        <v>-1100</v>
      </c>
    </row>
    <row r="2040" spans="1:17" outlineLevel="2" x14ac:dyDescent="0.3">
      <c r="A2040" s="366" t="str">
        <f>IFERROR(VLOOKUP(RIGHT(E2040,3)+0,[1]SchLocTable!$A$2:$B$47,2,FALSE)," ")</f>
        <v>Tisdale</v>
      </c>
      <c r="B2040" s="366" t="str">
        <f>VLOOKUP(VALUE(D2040),$D$3:F$106,3,FALSE)</f>
        <v>Physical Education</v>
      </c>
      <c r="C2040" t="s">
        <v>314</v>
      </c>
      <c r="D2040">
        <v>819</v>
      </c>
      <c r="E2040" t="s">
        <v>768</v>
      </c>
      <c r="F2040" t="s">
        <v>320</v>
      </c>
      <c r="G2040" t="s">
        <v>319</v>
      </c>
      <c r="H2040" s="502">
        <v>52360</v>
      </c>
      <c r="I2040" s="415">
        <v>2888.6176603700001</v>
      </c>
      <c r="J2040" s="415">
        <v>2346</v>
      </c>
      <c r="K2040" s="415">
        <v>2371.16</v>
      </c>
      <c r="L2040" s="415">
        <v>2257.39</v>
      </c>
      <c r="M2040" s="415">
        <v>2174.88</v>
      </c>
      <c r="N2040" s="415">
        <v>2118.39</v>
      </c>
      <c r="O2040" s="415">
        <v>2050.25</v>
      </c>
      <c r="P2040" s="415">
        <v>2030.47</v>
      </c>
      <c r="Q2040" s="481">
        <f t="shared" si="77"/>
        <v>-542.61766037000007</v>
      </c>
    </row>
    <row r="2041" spans="1:17" outlineLevel="2" x14ac:dyDescent="0.3">
      <c r="A2041" s="366" t="str">
        <f>IFERROR(VLOOKUP(RIGHT(E2041,3)+0,[1]SchLocTable!$A$2:$B$47,2,FALSE)," ")</f>
        <v>Read</v>
      </c>
      <c r="B2041" s="366" t="str">
        <f>VLOOKUP(VALUE(D2041),$D$3:F$106,3,FALSE)</f>
        <v>Physical Education</v>
      </c>
      <c r="C2041" t="s">
        <v>314</v>
      </c>
      <c r="D2041">
        <v>819</v>
      </c>
      <c r="E2041" t="s">
        <v>769</v>
      </c>
      <c r="F2041" t="s">
        <v>316</v>
      </c>
      <c r="G2041">
        <v>2</v>
      </c>
      <c r="H2041" s="502">
        <v>51000</v>
      </c>
      <c r="I2041" s="415">
        <v>220856.92980000001</v>
      </c>
      <c r="J2041" s="415">
        <v>210140</v>
      </c>
      <c r="K2041" s="415">
        <v>205515.96</v>
      </c>
      <c r="L2041" s="415">
        <v>200994.04</v>
      </c>
      <c r="M2041" s="415">
        <v>192234.9</v>
      </c>
      <c r="N2041" s="415">
        <v>186446</v>
      </c>
      <c r="O2041" s="415">
        <v>179213.84</v>
      </c>
      <c r="P2041" s="415">
        <v>176392.06</v>
      </c>
      <c r="Q2041" s="481">
        <f t="shared" si="77"/>
        <v>-10716.929800000013</v>
      </c>
    </row>
    <row r="2042" spans="1:17" outlineLevel="2" x14ac:dyDescent="0.3">
      <c r="A2042" s="366" t="str">
        <f>IFERROR(VLOOKUP(RIGHT(E2042,3)+0,[1]SchLocTable!$A$2:$B$47,2,FALSE)," ")</f>
        <v>Read</v>
      </c>
      <c r="B2042" s="366" t="str">
        <f>VLOOKUP(VALUE(D2042),$D$3:F$106,3,FALSE)</f>
        <v>Physical Education</v>
      </c>
      <c r="C2042" t="s">
        <v>314</v>
      </c>
      <c r="D2042">
        <v>819</v>
      </c>
      <c r="E2042" t="s">
        <v>769</v>
      </c>
      <c r="F2042" t="s">
        <v>321</v>
      </c>
      <c r="G2042" t="s">
        <v>319</v>
      </c>
      <c r="H2042" s="502">
        <v>52917</v>
      </c>
      <c r="I2042" s="415">
        <v>46330.955999999998</v>
      </c>
      <c r="J2042" s="415">
        <v>38609.129999999997</v>
      </c>
      <c r="K2042" s="415">
        <v>35075.879999999997</v>
      </c>
      <c r="L2042" s="415">
        <v>34606.949999999997</v>
      </c>
      <c r="M2042" s="415">
        <v>32449.200000000001</v>
      </c>
      <c r="N2042" s="415">
        <v>30308.67</v>
      </c>
      <c r="O2042" s="415">
        <v>29077.5</v>
      </c>
      <c r="P2042" s="415">
        <v>27385.05</v>
      </c>
      <c r="Q2042" s="481">
        <f t="shared" si="77"/>
        <v>-7721.8260000000009</v>
      </c>
    </row>
    <row r="2043" spans="1:17" outlineLevel="2" x14ac:dyDescent="0.3">
      <c r="A2043" s="366" t="str">
        <f>IFERROR(VLOOKUP(RIGHT(E2043,3)+0,[1]SchLocTable!$A$2:$B$47,2,FALSE)," ")</f>
        <v>Read</v>
      </c>
      <c r="B2043" s="366" t="str">
        <f>VLOOKUP(VALUE(D2043),$D$3:F$106,3,FALSE)</f>
        <v>Physical Education</v>
      </c>
      <c r="C2043" t="s">
        <v>314</v>
      </c>
      <c r="D2043">
        <v>819</v>
      </c>
      <c r="E2043" t="s">
        <v>769</v>
      </c>
      <c r="F2043" t="s">
        <v>318</v>
      </c>
      <c r="G2043" t="s">
        <v>319</v>
      </c>
      <c r="H2043" s="502">
        <v>51140</v>
      </c>
      <c r="I2043" s="415">
        <v>2300</v>
      </c>
      <c r="J2043" s="415">
        <v>0</v>
      </c>
      <c r="K2043" s="415">
        <v>2100</v>
      </c>
      <c r="L2043" s="415">
        <v>2100</v>
      </c>
      <c r="M2043" s="415">
        <v>2100</v>
      </c>
      <c r="N2043" s="415">
        <v>2100</v>
      </c>
      <c r="O2043" s="415">
        <v>2000</v>
      </c>
      <c r="P2043" s="415">
        <v>2000</v>
      </c>
      <c r="Q2043" s="481">
        <f t="shared" si="77"/>
        <v>-2300</v>
      </c>
    </row>
    <row r="2044" spans="1:17" outlineLevel="2" x14ac:dyDescent="0.3">
      <c r="A2044" s="366" t="str">
        <f>IFERROR(VLOOKUP(RIGHT(E2044,3)+0,[1]SchLocTable!$A$2:$B$47,2,FALSE)," ")</f>
        <v>Read</v>
      </c>
      <c r="B2044" s="366" t="str">
        <f>VLOOKUP(VALUE(D2044),$D$3:F$106,3,FALSE)</f>
        <v>Physical Education</v>
      </c>
      <c r="C2044" t="s">
        <v>314</v>
      </c>
      <c r="D2044">
        <v>819</v>
      </c>
      <c r="E2044" t="s">
        <v>769</v>
      </c>
      <c r="F2044" t="s">
        <v>320</v>
      </c>
      <c r="G2044" t="s">
        <v>319</v>
      </c>
      <c r="H2044" s="502">
        <v>52360</v>
      </c>
      <c r="I2044" s="415">
        <v>3202.4254821000004</v>
      </c>
      <c r="J2044" s="415">
        <v>2871</v>
      </c>
      <c r="K2044" s="415">
        <v>2860.71</v>
      </c>
      <c r="L2044" s="415">
        <v>2801.55</v>
      </c>
      <c r="M2044" s="415">
        <v>2687.12</v>
      </c>
      <c r="N2044" s="415">
        <v>2615.5700000000002</v>
      </c>
      <c r="O2044" s="415">
        <v>2517.17</v>
      </c>
      <c r="P2044" s="415">
        <v>2484.16</v>
      </c>
      <c r="Q2044" s="481">
        <f t="shared" si="77"/>
        <v>-331.42548210000041</v>
      </c>
    </row>
    <row r="2045" spans="1:17" outlineLevel="2" x14ac:dyDescent="0.3">
      <c r="A2045" s="366" t="str">
        <f>IFERROR(VLOOKUP(RIGHT(E2045,3)+0,[1]SchLocTable!$A$2:$B$47,2,FALSE)," ")</f>
        <v>Roosevelt</v>
      </c>
      <c r="B2045" s="366" t="str">
        <f>VLOOKUP(VALUE(D2045),$D$3:F$106,3,FALSE)</f>
        <v>Physical Education</v>
      </c>
      <c r="C2045" t="s">
        <v>314</v>
      </c>
      <c r="D2045">
        <v>819</v>
      </c>
      <c r="E2045" t="s">
        <v>770</v>
      </c>
      <c r="F2045" t="s">
        <v>316</v>
      </c>
      <c r="G2045">
        <v>1</v>
      </c>
      <c r="H2045" s="502">
        <v>51000</v>
      </c>
      <c r="I2045" s="415">
        <v>73593.016900000002</v>
      </c>
      <c r="J2045" s="415">
        <v>70022</v>
      </c>
      <c r="K2045" s="415">
        <v>66996.02</v>
      </c>
      <c r="L2045" s="415">
        <v>63339.12</v>
      </c>
      <c r="M2045" s="415">
        <v>60342.879999999997</v>
      </c>
      <c r="N2045" s="415">
        <v>57345.96</v>
      </c>
      <c r="O2045" s="415">
        <v>54993.120000000003</v>
      </c>
      <c r="P2045" s="415">
        <v>54127.06</v>
      </c>
      <c r="Q2045" s="481">
        <f t="shared" si="77"/>
        <v>-3571.0169000000024</v>
      </c>
    </row>
    <row r="2046" spans="1:17" outlineLevel="2" x14ac:dyDescent="0.3">
      <c r="A2046" s="366" t="str">
        <f>IFERROR(VLOOKUP(RIGHT(E2046,3)+0,[1]SchLocTable!$A$2:$B$47,2,FALSE)," ")</f>
        <v>Roosevelt</v>
      </c>
      <c r="B2046" s="366" t="str">
        <f>VLOOKUP(VALUE(D2046),$D$3:F$106,3,FALSE)</f>
        <v>Physical Education</v>
      </c>
      <c r="C2046" t="s">
        <v>314</v>
      </c>
      <c r="D2046">
        <v>819</v>
      </c>
      <c r="E2046" t="s">
        <v>770</v>
      </c>
      <c r="F2046" t="s">
        <v>321</v>
      </c>
      <c r="G2046" t="s">
        <v>319</v>
      </c>
      <c r="H2046" s="502">
        <v>52917</v>
      </c>
      <c r="I2046" s="415">
        <v>15644.663999999999</v>
      </c>
      <c r="J2046" s="415">
        <v>13037.22</v>
      </c>
      <c r="K2046" s="415">
        <v>11844</v>
      </c>
      <c r="L2046" s="415">
        <v>11684.82</v>
      </c>
      <c r="M2046" s="415">
        <v>10956.75</v>
      </c>
      <c r="N2046" s="415">
        <v>10232.879999999999</v>
      </c>
      <c r="O2046" s="415">
        <v>9817.68</v>
      </c>
      <c r="P2046" s="415">
        <v>9245.67</v>
      </c>
      <c r="Q2046" s="481">
        <f t="shared" si="77"/>
        <v>-2607.4439999999995</v>
      </c>
    </row>
    <row r="2047" spans="1:17" outlineLevel="2" x14ac:dyDescent="0.3">
      <c r="A2047" s="366" t="str">
        <f>IFERROR(VLOOKUP(RIGHT(E2047,3)+0,[1]SchLocTable!$A$2:$B$47,2,FALSE)," ")</f>
        <v>Roosevelt</v>
      </c>
      <c r="B2047" s="366" t="str">
        <f>VLOOKUP(VALUE(D2047),$D$3:F$106,3,FALSE)</f>
        <v>Physical Education</v>
      </c>
      <c r="C2047" t="s">
        <v>314</v>
      </c>
      <c r="D2047">
        <v>819</v>
      </c>
      <c r="E2047" t="s">
        <v>770</v>
      </c>
      <c r="F2047" t="s">
        <v>320</v>
      </c>
      <c r="G2047" t="s">
        <v>319</v>
      </c>
      <c r="H2047" s="502">
        <v>52360</v>
      </c>
      <c r="I2047" s="415">
        <v>1067.0987450500002</v>
      </c>
      <c r="J2047" s="415">
        <v>945</v>
      </c>
      <c r="K2047" s="415">
        <v>920.9</v>
      </c>
      <c r="L2047" s="415">
        <v>870.02</v>
      </c>
      <c r="M2047" s="415">
        <v>830.82</v>
      </c>
      <c r="N2047" s="415">
        <v>791.56</v>
      </c>
      <c r="O2047" s="415">
        <v>760.11</v>
      </c>
      <c r="P2047" s="415">
        <v>750.21</v>
      </c>
      <c r="Q2047" s="481">
        <f t="shared" ref="Q2047:Q2110" si="78">J2047-I2047</f>
        <v>-122.09874505000016</v>
      </c>
    </row>
    <row r="2048" spans="1:17" outlineLevel="2" x14ac:dyDescent="0.3">
      <c r="A2048" s="366" t="str">
        <f>IFERROR(VLOOKUP(RIGHT(E2048,3)+0,[1]SchLocTable!$A$2:$B$47,2,FALSE)," ")</f>
        <v>Waltersville</v>
      </c>
      <c r="B2048" s="366" t="str">
        <f>VLOOKUP(VALUE(D2048),$D$3:F$106,3,FALSE)</f>
        <v>Physical Education</v>
      </c>
      <c r="C2048" t="s">
        <v>314</v>
      </c>
      <c r="D2048">
        <v>819</v>
      </c>
      <c r="E2048" t="s">
        <v>771</v>
      </c>
      <c r="F2048" t="s">
        <v>316</v>
      </c>
      <c r="G2048">
        <v>1</v>
      </c>
      <c r="H2048" s="502">
        <v>51000</v>
      </c>
      <c r="I2048" s="415">
        <v>70412.817020000002</v>
      </c>
      <c r="J2048" s="415">
        <v>66996</v>
      </c>
      <c r="K2048" s="415">
        <v>63971.96</v>
      </c>
      <c r="L2048" s="415">
        <v>60342.879999999997</v>
      </c>
      <c r="M2048" s="415">
        <v>57346.12</v>
      </c>
      <c r="N2048" s="415">
        <v>54992.91</v>
      </c>
      <c r="O2048" s="415">
        <v>52902.98</v>
      </c>
      <c r="P2048" s="415">
        <v>52069.94</v>
      </c>
      <c r="Q2048" s="481">
        <f t="shared" si="78"/>
        <v>-3416.8170200000022</v>
      </c>
    </row>
    <row r="2049" spans="1:17" outlineLevel="2" x14ac:dyDescent="0.3">
      <c r="A2049" s="366" t="str">
        <f>IFERROR(VLOOKUP(RIGHT(E2049,3)+0,[1]SchLocTable!$A$2:$B$47,2,FALSE)," ")</f>
        <v>Waltersville</v>
      </c>
      <c r="B2049" s="366" t="str">
        <f>VLOOKUP(VALUE(D2049),$D$3:F$106,3,FALSE)</f>
        <v>Physical Education</v>
      </c>
      <c r="C2049" t="s">
        <v>314</v>
      </c>
      <c r="D2049">
        <v>819</v>
      </c>
      <c r="E2049" t="s">
        <v>771</v>
      </c>
      <c r="F2049" t="s">
        <v>321</v>
      </c>
      <c r="G2049" t="s">
        <v>319</v>
      </c>
      <c r="H2049" s="502">
        <v>52917</v>
      </c>
      <c r="I2049" s="415">
        <v>46330.955999999998</v>
      </c>
      <c r="J2049" s="415">
        <v>38609.129999999997</v>
      </c>
      <c r="K2049" s="415">
        <v>33190.800000000003</v>
      </c>
      <c r="L2049" s="415">
        <v>28076.37</v>
      </c>
      <c r="M2049" s="415">
        <v>26335.47</v>
      </c>
      <c r="N2049" s="415">
        <v>24562.23</v>
      </c>
      <c r="O2049" s="415">
        <v>9817.68</v>
      </c>
      <c r="P2049" s="415">
        <v>9245.67</v>
      </c>
      <c r="Q2049" s="481">
        <f t="shared" si="78"/>
        <v>-7721.8260000000009</v>
      </c>
    </row>
    <row r="2050" spans="1:17" outlineLevel="2" x14ac:dyDescent="0.3">
      <c r="A2050" s="366" t="str">
        <f>IFERROR(VLOOKUP(RIGHT(E2050,3)+0,[1]SchLocTable!$A$2:$B$47,2,FALSE)," ")</f>
        <v>Waltersville</v>
      </c>
      <c r="B2050" s="366" t="str">
        <f>VLOOKUP(VALUE(D2050),$D$3:F$106,3,FALSE)</f>
        <v>Physical Education</v>
      </c>
      <c r="C2050" t="s">
        <v>314</v>
      </c>
      <c r="D2050">
        <v>819</v>
      </c>
      <c r="E2050" t="s">
        <v>771</v>
      </c>
      <c r="F2050" t="s">
        <v>320</v>
      </c>
      <c r="G2050" t="s">
        <v>319</v>
      </c>
      <c r="H2050" s="502">
        <v>52360</v>
      </c>
      <c r="I2050" s="415">
        <v>1020.9858467900001</v>
      </c>
      <c r="J2050" s="415">
        <v>762</v>
      </c>
      <c r="K2050" s="415">
        <v>785.83</v>
      </c>
      <c r="L2050" s="415">
        <v>758.36</v>
      </c>
      <c r="M2050" s="415">
        <v>725.13</v>
      </c>
      <c r="N2050" s="415">
        <v>701.21</v>
      </c>
      <c r="O2050" s="415">
        <v>729.8</v>
      </c>
      <c r="P2050" s="415">
        <v>720.38</v>
      </c>
      <c r="Q2050" s="481">
        <f t="shared" si="78"/>
        <v>-258.9858467900001</v>
      </c>
    </row>
    <row r="2051" spans="1:17" outlineLevel="2" x14ac:dyDescent="0.3">
      <c r="A2051" s="366" t="str">
        <f>IFERROR(VLOOKUP(RIGHT(E2051,3)+0,[1]SchLocTable!$A$2:$B$47,2,FALSE)," ")</f>
        <v>Claytor</v>
      </c>
      <c r="B2051" s="366" t="str">
        <f>VLOOKUP(VALUE(D2051),$D$3:F$106,3,FALSE)</f>
        <v>Physical Education</v>
      </c>
      <c r="C2051" t="s">
        <v>314</v>
      </c>
      <c r="D2051">
        <v>819</v>
      </c>
      <c r="E2051" t="s">
        <v>772</v>
      </c>
      <c r="F2051" t="s">
        <v>316</v>
      </c>
      <c r="G2051">
        <v>1</v>
      </c>
      <c r="H2051" s="502">
        <v>51000</v>
      </c>
      <c r="I2051" s="415">
        <v>100258.00096</v>
      </c>
      <c r="J2051" s="415">
        <v>95393</v>
      </c>
      <c r="K2051" s="415">
        <v>93293.98</v>
      </c>
      <c r="L2051" s="415">
        <v>84561.1</v>
      </c>
      <c r="M2051" s="415">
        <v>51972</v>
      </c>
      <c r="N2051" s="415">
        <v>72752.94</v>
      </c>
      <c r="O2051" s="415">
        <v>68473.08</v>
      </c>
      <c r="P2051" s="415">
        <v>67395.12</v>
      </c>
      <c r="Q2051" s="481">
        <f t="shared" si="78"/>
        <v>-4865.0009600000049</v>
      </c>
    </row>
    <row r="2052" spans="1:17" outlineLevel="2" x14ac:dyDescent="0.3">
      <c r="A2052" s="366" t="str">
        <f>IFERROR(VLOOKUP(RIGHT(E2052,3)+0,[1]SchLocTable!$A$2:$B$47,2,FALSE)," ")</f>
        <v>Claytor</v>
      </c>
      <c r="B2052" s="366" t="str">
        <f>VLOOKUP(VALUE(D2052),$D$3:F$106,3,FALSE)</f>
        <v>Physical Education</v>
      </c>
      <c r="C2052" t="s">
        <v>314</v>
      </c>
      <c r="D2052">
        <v>819</v>
      </c>
      <c r="E2052" t="s">
        <v>772</v>
      </c>
      <c r="F2052" t="s">
        <v>321</v>
      </c>
      <c r="G2052" t="s">
        <v>319</v>
      </c>
      <c r="H2052" s="502">
        <v>52917</v>
      </c>
      <c r="I2052" s="415">
        <v>15644.663999999999</v>
      </c>
      <c r="J2052" s="415">
        <v>13037.22</v>
      </c>
      <c r="K2052" s="415">
        <v>11844</v>
      </c>
      <c r="L2052" s="415">
        <v>11684.82</v>
      </c>
      <c r="M2052" s="415">
        <v>5739.25</v>
      </c>
      <c r="N2052" s="415">
        <v>30308.67</v>
      </c>
      <c r="O2052" s="415">
        <v>29077.5</v>
      </c>
      <c r="P2052" s="415">
        <v>27385.05</v>
      </c>
      <c r="Q2052" s="481">
        <f t="shared" si="78"/>
        <v>-2607.4439999999995</v>
      </c>
    </row>
    <row r="2053" spans="1:17" outlineLevel="2" x14ac:dyDescent="0.3">
      <c r="A2053" s="366" t="str">
        <f>IFERROR(VLOOKUP(RIGHT(E2053,3)+0,[1]SchLocTable!$A$2:$B$47,2,FALSE)," ")</f>
        <v>Claytor</v>
      </c>
      <c r="B2053" s="366" t="str">
        <f>VLOOKUP(VALUE(D2053),$D$3:F$106,3,FALSE)</f>
        <v>Physical Education</v>
      </c>
      <c r="C2053" t="s">
        <v>314</v>
      </c>
      <c r="D2053">
        <v>819</v>
      </c>
      <c r="E2053" t="s">
        <v>772</v>
      </c>
      <c r="F2053" t="s">
        <v>320</v>
      </c>
      <c r="G2053" t="s">
        <v>319</v>
      </c>
      <c r="H2053" s="502">
        <v>52360</v>
      </c>
      <c r="I2053" s="415">
        <v>1453.7410139200001</v>
      </c>
      <c r="J2053" s="415">
        <v>1313</v>
      </c>
      <c r="K2053" s="415">
        <v>1302.19</v>
      </c>
      <c r="L2053" s="415">
        <v>1177.74</v>
      </c>
      <c r="M2053" s="415">
        <v>674.84</v>
      </c>
      <c r="N2053" s="415">
        <v>936.59</v>
      </c>
      <c r="O2053" s="415">
        <v>882.44</v>
      </c>
      <c r="P2053" s="415">
        <v>874.69</v>
      </c>
      <c r="Q2053" s="481">
        <f t="shared" si="78"/>
        <v>-140.74101392000011</v>
      </c>
    </row>
    <row r="2054" spans="1:17" outlineLevel="2" x14ac:dyDescent="0.3">
      <c r="A2054" s="366" t="str">
        <f>IFERROR(VLOOKUP(RIGHT(E2054,3)+0,[1]SchLocTable!$A$2:$B$47,2,FALSE)," ")</f>
        <v>Johnson</v>
      </c>
      <c r="B2054" s="366" t="str">
        <f>VLOOKUP(VALUE(D2054),$D$3:F$106,3,FALSE)</f>
        <v>Physical Education</v>
      </c>
      <c r="C2054" t="s">
        <v>314</v>
      </c>
      <c r="D2054">
        <v>819</v>
      </c>
      <c r="E2054" t="s">
        <v>773</v>
      </c>
      <c r="F2054" t="s">
        <v>316</v>
      </c>
      <c r="G2054">
        <v>1.8</v>
      </c>
      <c r="H2054" s="502">
        <v>51000</v>
      </c>
      <c r="I2054" s="415">
        <v>80000</v>
      </c>
      <c r="J2054" s="415">
        <v>0</v>
      </c>
      <c r="K2054" s="415">
        <v>27626.48</v>
      </c>
      <c r="L2054" s="415">
        <v>183603.94</v>
      </c>
      <c r="M2054" s="415">
        <v>176043.92</v>
      </c>
      <c r="N2054" s="415">
        <v>163880.85999999999</v>
      </c>
      <c r="O2054" s="415">
        <v>153310.04</v>
      </c>
      <c r="P2054" s="415">
        <v>150895.94</v>
      </c>
      <c r="Q2054" s="481">
        <f t="shared" si="78"/>
        <v>-80000</v>
      </c>
    </row>
    <row r="2055" spans="1:17" outlineLevel="1" x14ac:dyDescent="0.3">
      <c r="A2055" s="366" t="str">
        <f>IFERROR(VLOOKUP(RIGHT(E2055,3)+0,[1]SchLocTable!$A$2:$B$47,2,FALSE)," ")</f>
        <v>Johnson</v>
      </c>
      <c r="B2055" s="366" t="str">
        <f>VLOOKUP(VALUE(D2055),$D$3:F$106,3,FALSE)</f>
        <v>Physical Education</v>
      </c>
      <c r="C2055" t="s">
        <v>314</v>
      </c>
      <c r="D2055">
        <v>819</v>
      </c>
      <c r="E2055" t="s">
        <v>773</v>
      </c>
      <c r="F2055" t="s">
        <v>321</v>
      </c>
      <c r="G2055" t="s">
        <v>319</v>
      </c>
      <c r="H2055" s="502">
        <v>52917</v>
      </c>
      <c r="I2055" s="415">
        <v>32400</v>
      </c>
      <c r="J2055" s="415">
        <v>0</v>
      </c>
      <c r="K2055" s="415">
        <v>4512</v>
      </c>
      <c r="L2055" s="415">
        <v>11684.82</v>
      </c>
      <c r="M2055" s="415">
        <v>10956.75</v>
      </c>
      <c r="N2055" s="415">
        <v>10232.879999999999</v>
      </c>
      <c r="O2055" s="415">
        <v>9817.68</v>
      </c>
      <c r="P2055" s="415">
        <v>9245.67</v>
      </c>
      <c r="Q2055" s="481">
        <f t="shared" si="78"/>
        <v>-32400</v>
      </c>
    </row>
    <row r="2056" spans="1:17" outlineLevel="2" x14ac:dyDescent="0.3">
      <c r="A2056" s="366" t="str">
        <f>IFERROR(VLOOKUP(RIGHT(E2056,3)+0,[1]SchLocTable!$A$2:$B$47,2,FALSE)," ")</f>
        <v>Johnson</v>
      </c>
      <c r="B2056" s="366" t="str">
        <f>VLOOKUP(VALUE(D2056),$D$3:F$106,3,FALSE)</f>
        <v>Physical Education</v>
      </c>
      <c r="C2056" t="s">
        <v>314</v>
      </c>
      <c r="D2056">
        <v>819</v>
      </c>
      <c r="E2056" t="s">
        <v>773</v>
      </c>
      <c r="F2056" t="s">
        <v>318</v>
      </c>
      <c r="G2056" t="s">
        <v>319</v>
      </c>
      <c r="H2056" s="502">
        <v>51140</v>
      </c>
      <c r="I2056" s="415">
        <v>0</v>
      </c>
      <c r="J2056" s="415">
        <v>0</v>
      </c>
      <c r="K2056" s="415">
        <v>900</v>
      </c>
      <c r="L2056" s="415">
        <v>2700</v>
      </c>
      <c r="M2056" s="415">
        <v>1800</v>
      </c>
      <c r="N2056" s="415">
        <v>900</v>
      </c>
      <c r="O2056" s="415">
        <v>900</v>
      </c>
      <c r="P2056" s="415">
        <v>900</v>
      </c>
      <c r="Q2056" s="481">
        <f t="shared" si="78"/>
        <v>0</v>
      </c>
    </row>
    <row r="2057" spans="1:17" outlineLevel="2" x14ac:dyDescent="0.3">
      <c r="A2057" s="366" t="str">
        <f>IFERROR(VLOOKUP(RIGHT(E2057,3)+0,[1]SchLocTable!$A$2:$B$47,2,FALSE)," ")</f>
        <v>Johnson</v>
      </c>
      <c r="B2057" s="366" t="str">
        <f>VLOOKUP(VALUE(D2057),$D$3:F$106,3,FALSE)</f>
        <v>Physical Education</v>
      </c>
      <c r="C2057" t="s">
        <v>314</v>
      </c>
      <c r="D2057">
        <v>819</v>
      </c>
      <c r="E2057" t="s">
        <v>773</v>
      </c>
      <c r="F2057" t="s">
        <v>320</v>
      </c>
      <c r="G2057" t="s">
        <v>319</v>
      </c>
      <c r="H2057" s="502">
        <v>52360</v>
      </c>
      <c r="I2057" s="415">
        <v>1160</v>
      </c>
      <c r="J2057" s="415">
        <v>0</v>
      </c>
      <c r="K2057" s="415">
        <v>394.37</v>
      </c>
      <c r="L2057" s="415">
        <v>2728.42</v>
      </c>
      <c r="M2057" s="415">
        <v>2534.5700000000002</v>
      </c>
      <c r="N2057" s="415">
        <v>2349.35</v>
      </c>
      <c r="O2057" s="415">
        <v>2198.7600000000002</v>
      </c>
      <c r="P2057" s="415">
        <v>2166.41</v>
      </c>
      <c r="Q2057" s="481">
        <f t="shared" si="78"/>
        <v>-1160</v>
      </c>
    </row>
    <row r="2058" spans="1:17" outlineLevel="2" x14ac:dyDescent="0.3">
      <c r="A2058" s="366" t="str">
        <f>IFERROR(VLOOKUP(RIGHT(E2058,3)+0,[1]SchLocTable!$A$2:$B$47,2,FALSE)," ")</f>
        <v>Johnson</v>
      </c>
      <c r="B2058" s="366" t="str">
        <f>VLOOKUP(VALUE(D2058),$D$3:F$106,3,FALSE)</f>
        <v>Physical Education</v>
      </c>
      <c r="C2058" t="s">
        <v>314</v>
      </c>
      <c r="D2058">
        <v>819</v>
      </c>
      <c r="E2058" t="s">
        <v>773</v>
      </c>
      <c r="F2058" t="s">
        <v>329</v>
      </c>
      <c r="G2058" t="s">
        <v>319</v>
      </c>
      <c r="H2058" s="502">
        <v>51154</v>
      </c>
      <c r="I2058" s="415">
        <v>0</v>
      </c>
      <c r="J2058" s="415">
        <v>0</v>
      </c>
      <c r="K2058" s="415">
        <v>0</v>
      </c>
      <c r="L2058" s="415">
        <v>5200</v>
      </c>
      <c r="M2058" s="415">
        <v>0</v>
      </c>
      <c r="N2058" s="415">
        <v>0</v>
      </c>
      <c r="O2058" s="415">
        <v>0</v>
      </c>
      <c r="P2058" s="415">
        <v>0</v>
      </c>
      <c r="Q2058" s="481">
        <f t="shared" si="78"/>
        <v>0</v>
      </c>
    </row>
    <row r="2059" spans="1:17" outlineLevel="2" x14ac:dyDescent="0.3">
      <c r="A2059" s="366" t="str">
        <f>IFERROR(VLOOKUP(RIGHT(E2059,3)+0,[1]SchLocTable!$A$2:$B$47,2,FALSE)," ")</f>
        <v>Winthrop</v>
      </c>
      <c r="B2059" s="366" t="str">
        <f>VLOOKUP(VALUE(D2059),$D$3:F$106,3,FALSE)</f>
        <v>Physical Education</v>
      </c>
      <c r="C2059" t="s">
        <v>314</v>
      </c>
      <c r="D2059">
        <v>819</v>
      </c>
      <c r="E2059" t="s">
        <v>774</v>
      </c>
      <c r="F2059" t="s">
        <v>316</v>
      </c>
      <c r="G2059">
        <v>1</v>
      </c>
      <c r="H2059" s="502">
        <v>51000</v>
      </c>
      <c r="I2059" s="415">
        <v>121841.98858</v>
      </c>
      <c r="J2059" s="415">
        <v>115930</v>
      </c>
      <c r="K2059" s="415">
        <v>113270.3</v>
      </c>
      <c r="L2059" s="415">
        <v>110561.14</v>
      </c>
      <c r="M2059" s="415">
        <v>99011.9</v>
      </c>
      <c r="N2059" s="415">
        <v>97548.99</v>
      </c>
      <c r="O2059" s="415">
        <v>96106.92</v>
      </c>
      <c r="P2059" s="415">
        <v>94593.98</v>
      </c>
      <c r="Q2059" s="481">
        <f t="shared" si="78"/>
        <v>-5911.9885800000047</v>
      </c>
    </row>
    <row r="2060" spans="1:17" outlineLevel="2" x14ac:dyDescent="0.3">
      <c r="A2060" s="366" t="str">
        <f>IFERROR(VLOOKUP(RIGHT(E2060,3)+0,[1]SchLocTable!$A$2:$B$47,2,FALSE)," ")</f>
        <v>Winthrop</v>
      </c>
      <c r="B2060" s="366" t="str">
        <f>VLOOKUP(VALUE(D2060),$D$3:F$106,3,FALSE)</f>
        <v>Physical Education</v>
      </c>
      <c r="C2060" t="s">
        <v>314</v>
      </c>
      <c r="D2060">
        <v>819</v>
      </c>
      <c r="E2060" t="s">
        <v>774</v>
      </c>
      <c r="F2060" t="s">
        <v>321</v>
      </c>
      <c r="G2060" t="s">
        <v>319</v>
      </c>
      <c r="H2060" s="502">
        <v>52917</v>
      </c>
      <c r="I2060" s="415">
        <v>23173.415999999997</v>
      </c>
      <c r="J2060" s="415">
        <v>15644.58</v>
      </c>
      <c r="K2060" s="415">
        <v>14212.59</v>
      </c>
      <c r="L2060" s="415">
        <v>11684.82</v>
      </c>
      <c r="M2060" s="415">
        <v>10956.75</v>
      </c>
      <c r="N2060" s="415">
        <v>10232.879999999999</v>
      </c>
      <c r="O2060" s="415">
        <v>9817.68</v>
      </c>
      <c r="P2060" s="415">
        <v>9245.67</v>
      </c>
      <c r="Q2060" s="481">
        <f t="shared" si="78"/>
        <v>-7528.8359999999975</v>
      </c>
    </row>
    <row r="2061" spans="1:17" outlineLevel="2" x14ac:dyDescent="0.3">
      <c r="A2061" s="366" t="str">
        <f>IFERROR(VLOOKUP(RIGHT(E2061,3)+0,[1]SchLocTable!$A$2:$B$47,2,FALSE)," ")</f>
        <v>Winthrop</v>
      </c>
      <c r="B2061" s="366" t="str">
        <f>VLOOKUP(VALUE(D2061),$D$3:F$106,3,FALSE)</f>
        <v>Physical Education</v>
      </c>
      <c r="C2061" t="s">
        <v>314</v>
      </c>
      <c r="D2061">
        <v>819</v>
      </c>
      <c r="E2061" t="s">
        <v>774</v>
      </c>
      <c r="F2061" t="s">
        <v>318</v>
      </c>
      <c r="G2061" t="s">
        <v>319</v>
      </c>
      <c r="H2061" s="502">
        <v>51140</v>
      </c>
      <c r="I2061" s="415">
        <v>1100</v>
      </c>
      <c r="J2061" s="415">
        <v>0</v>
      </c>
      <c r="K2061" s="415">
        <v>1100</v>
      </c>
      <c r="L2061" s="415">
        <v>1100</v>
      </c>
      <c r="M2061" s="415">
        <v>1100</v>
      </c>
      <c r="N2061" s="415">
        <v>1100</v>
      </c>
      <c r="O2061" s="415">
        <v>900</v>
      </c>
      <c r="P2061" s="415">
        <v>900</v>
      </c>
      <c r="Q2061" s="481">
        <f t="shared" si="78"/>
        <v>-1100</v>
      </c>
    </row>
    <row r="2062" spans="1:17" outlineLevel="2" x14ac:dyDescent="0.3">
      <c r="A2062" s="366" t="str">
        <f>IFERROR(VLOOKUP(RIGHT(E2062,3)+0,[1]SchLocTable!$A$2:$B$47,2,FALSE)," ")</f>
        <v>Winthrop</v>
      </c>
      <c r="B2062" s="366" t="str">
        <f>VLOOKUP(VALUE(D2062),$D$3:F$106,3,FALSE)</f>
        <v>Physical Education</v>
      </c>
      <c r="C2062" t="s">
        <v>314</v>
      </c>
      <c r="D2062">
        <v>819</v>
      </c>
      <c r="E2062" t="s">
        <v>774</v>
      </c>
      <c r="F2062" t="s">
        <v>320</v>
      </c>
      <c r="G2062" t="s">
        <v>319</v>
      </c>
      <c r="H2062" s="502">
        <v>52360</v>
      </c>
      <c r="I2062" s="415">
        <v>1766.7088344100002</v>
      </c>
      <c r="J2062" s="415">
        <v>1612</v>
      </c>
      <c r="K2062" s="415">
        <v>1597.66</v>
      </c>
      <c r="L2062" s="415">
        <v>1570.67</v>
      </c>
      <c r="M2062" s="415">
        <v>1407.53</v>
      </c>
      <c r="N2062" s="415">
        <v>1390.45</v>
      </c>
      <c r="O2062" s="415">
        <v>1369.31</v>
      </c>
      <c r="P2062" s="415">
        <v>1350.03</v>
      </c>
      <c r="Q2062" s="481">
        <f t="shared" si="78"/>
        <v>-154.70883441000024</v>
      </c>
    </row>
    <row r="2063" spans="1:17" outlineLevel="1" x14ac:dyDescent="0.3">
      <c r="A2063" s="366" t="str">
        <f>IFERROR(VLOOKUP(RIGHT(E2063,3)+0,[1]SchLocTable!$A$2:$B$47,2,FALSE)," ")</f>
        <v>Winthrop</v>
      </c>
      <c r="B2063" s="366" t="str">
        <f>VLOOKUP(VALUE(D2063),$D$3:F$106,3,FALSE)</f>
        <v>Physical Education</v>
      </c>
      <c r="C2063" t="s">
        <v>314</v>
      </c>
      <c r="D2063">
        <v>819</v>
      </c>
      <c r="E2063" t="s">
        <v>774</v>
      </c>
      <c r="F2063" t="s">
        <v>324</v>
      </c>
      <c r="G2063" t="s">
        <v>319</v>
      </c>
      <c r="H2063" s="502">
        <v>52385</v>
      </c>
      <c r="I2063" s="415">
        <v>0</v>
      </c>
      <c r="J2063" s="415">
        <v>0</v>
      </c>
      <c r="K2063" s="415">
        <v>0</v>
      </c>
      <c r="L2063" s="415">
        <v>86.8</v>
      </c>
      <c r="M2063" s="415">
        <v>0</v>
      </c>
      <c r="N2063" s="415">
        <v>0</v>
      </c>
      <c r="O2063" s="415">
        <v>0</v>
      </c>
      <c r="P2063" s="415">
        <v>0</v>
      </c>
      <c r="Q2063" s="481">
        <f t="shared" si="78"/>
        <v>0</v>
      </c>
    </row>
    <row r="2064" spans="1:17" outlineLevel="2" x14ac:dyDescent="0.3">
      <c r="A2064" s="366" t="str">
        <f>IFERROR(VLOOKUP(RIGHT(E2064,3)+0,[1]SchLocTable!$A$2:$B$47,2,FALSE)," ")</f>
        <v>Discovery</v>
      </c>
      <c r="B2064" s="366" t="str">
        <f>VLOOKUP(VALUE(D2064),$D$3:F$106,3,FALSE)</f>
        <v>Physical Education</v>
      </c>
      <c r="C2064" t="s">
        <v>314</v>
      </c>
      <c r="D2064">
        <v>819</v>
      </c>
      <c r="E2064" t="s">
        <v>775</v>
      </c>
      <c r="F2064" t="s">
        <v>316</v>
      </c>
      <c r="G2064">
        <v>1</v>
      </c>
      <c r="H2064" s="502">
        <v>51000</v>
      </c>
      <c r="I2064" s="415">
        <v>98957.010099999985</v>
      </c>
      <c r="J2064" s="415">
        <v>94155</v>
      </c>
      <c r="K2064" s="415">
        <v>82548.539999999994</v>
      </c>
      <c r="L2064" s="415">
        <v>83106.92</v>
      </c>
      <c r="M2064" s="415">
        <v>77032.02</v>
      </c>
      <c r="N2064" s="415">
        <v>46331.98</v>
      </c>
      <c r="O2064" s="415">
        <v>63339.12</v>
      </c>
      <c r="P2064" s="415">
        <v>62340.98</v>
      </c>
      <c r="Q2064" s="481">
        <f t="shared" si="78"/>
        <v>-4802.010099999985</v>
      </c>
    </row>
    <row r="2065" spans="1:17" outlineLevel="2" x14ac:dyDescent="0.3">
      <c r="A2065" s="366" t="str">
        <f>IFERROR(VLOOKUP(RIGHT(E2065,3)+0,[1]SchLocTable!$A$2:$B$47,2,FALSE)," ")</f>
        <v>Discovery</v>
      </c>
      <c r="B2065" s="366" t="str">
        <f>VLOOKUP(VALUE(D2065),$D$3:F$106,3,FALSE)</f>
        <v>Physical Education</v>
      </c>
      <c r="C2065" t="s">
        <v>314</v>
      </c>
      <c r="D2065">
        <v>819</v>
      </c>
      <c r="E2065" t="s">
        <v>775</v>
      </c>
      <c r="F2065" t="s">
        <v>321</v>
      </c>
      <c r="G2065" t="s">
        <v>319</v>
      </c>
      <c r="H2065" s="502">
        <v>52917</v>
      </c>
      <c r="I2065" s="415">
        <v>46330.955999999998</v>
      </c>
      <c r="J2065" s="415">
        <v>38609.129999999997</v>
      </c>
      <c r="K2065" s="415">
        <v>35075.879999999997</v>
      </c>
      <c r="L2065" s="415">
        <v>34606.949999999997</v>
      </c>
      <c r="M2065" s="415">
        <v>32449.200000000001</v>
      </c>
      <c r="N2065" s="415">
        <v>30308.67</v>
      </c>
      <c r="O2065" s="415">
        <v>29077.5</v>
      </c>
      <c r="P2065" s="415">
        <v>27385.05</v>
      </c>
      <c r="Q2065" s="481">
        <f t="shared" si="78"/>
        <v>-7721.8260000000009</v>
      </c>
    </row>
    <row r="2066" spans="1:17" outlineLevel="2" x14ac:dyDescent="0.3">
      <c r="A2066" s="366" t="str">
        <f>IFERROR(VLOOKUP(RIGHT(E2066,3)+0,[1]SchLocTable!$A$2:$B$47,2,FALSE)," ")</f>
        <v>Discovery</v>
      </c>
      <c r="B2066" s="366" t="str">
        <f>VLOOKUP(VALUE(D2066),$D$3:F$106,3,FALSE)</f>
        <v>Physical Education</v>
      </c>
      <c r="C2066" t="s">
        <v>314</v>
      </c>
      <c r="D2066">
        <v>819</v>
      </c>
      <c r="E2066" t="s">
        <v>775</v>
      </c>
      <c r="F2066" t="s">
        <v>318</v>
      </c>
      <c r="G2066" t="s">
        <v>319</v>
      </c>
      <c r="H2066" s="502">
        <v>51140</v>
      </c>
      <c r="I2066" s="415">
        <v>900</v>
      </c>
      <c r="J2066" s="415">
        <v>0</v>
      </c>
      <c r="K2066" s="415">
        <v>900</v>
      </c>
      <c r="L2066" s="415">
        <v>900</v>
      </c>
      <c r="M2066" s="415">
        <v>0</v>
      </c>
      <c r="N2066" s="415">
        <v>0</v>
      </c>
      <c r="O2066" s="415">
        <v>0</v>
      </c>
      <c r="P2066" s="415">
        <v>0</v>
      </c>
      <c r="Q2066" s="481">
        <f t="shared" si="78"/>
        <v>-900</v>
      </c>
    </row>
    <row r="2067" spans="1:17" outlineLevel="2" x14ac:dyDescent="0.3">
      <c r="A2067" s="366" t="str">
        <f>IFERROR(VLOOKUP(RIGHT(E2067,3)+0,[1]SchLocTable!$A$2:$B$47,2,FALSE)," ")</f>
        <v>Discovery</v>
      </c>
      <c r="B2067" s="366" t="str">
        <f>VLOOKUP(VALUE(D2067),$D$3:F$106,3,FALSE)</f>
        <v>Physical Education</v>
      </c>
      <c r="C2067" t="s">
        <v>314</v>
      </c>
      <c r="D2067">
        <v>819</v>
      </c>
      <c r="E2067" t="s">
        <v>775</v>
      </c>
      <c r="F2067" t="s">
        <v>320</v>
      </c>
      <c r="G2067" t="s">
        <v>319</v>
      </c>
      <c r="H2067" s="502">
        <v>52360</v>
      </c>
      <c r="I2067" s="415">
        <v>1434.87664645</v>
      </c>
      <c r="J2067" s="415">
        <v>1169</v>
      </c>
      <c r="K2067" s="415">
        <v>1165.23</v>
      </c>
      <c r="L2067" s="415">
        <v>1074.8</v>
      </c>
      <c r="M2067" s="415">
        <v>986.2</v>
      </c>
      <c r="N2067" s="415">
        <v>843.49</v>
      </c>
      <c r="O2067" s="415">
        <v>807.98</v>
      </c>
      <c r="P2067" s="415">
        <v>801.41</v>
      </c>
      <c r="Q2067" s="481">
        <f t="shared" si="78"/>
        <v>-265.87664644999995</v>
      </c>
    </row>
    <row r="2068" spans="1:17" outlineLevel="2" x14ac:dyDescent="0.3">
      <c r="A2068" s="366" t="str">
        <f>IFERROR(VLOOKUP(RIGHT(E2068,3)+0,[1]SchLocTable!$A$2:$B$47,2,FALSE)," ")</f>
        <v>Cross</v>
      </c>
      <c r="B2068" s="366" t="str">
        <f>VLOOKUP(VALUE(D2068),$D$3:F$106,3,FALSE)</f>
        <v>Physical Education</v>
      </c>
      <c r="C2068" t="s">
        <v>314</v>
      </c>
      <c r="D2068">
        <v>819</v>
      </c>
      <c r="E2068" t="s">
        <v>776</v>
      </c>
      <c r="F2068" t="s">
        <v>316</v>
      </c>
      <c r="G2068">
        <v>1</v>
      </c>
      <c r="H2068" s="502">
        <v>51000</v>
      </c>
      <c r="I2068" s="415">
        <v>57068.164919999996</v>
      </c>
      <c r="J2068" s="415">
        <v>54299</v>
      </c>
      <c r="K2068" s="415">
        <v>52562.12</v>
      </c>
      <c r="L2068" s="415">
        <v>47660.22</v>
      </c>
      <c r="M2068" s="415">
        <v>45000</v>
      </c>
      <c r="N2068" s="415">
        <v>45998.06</v>
      </c>
      <c r="O2068" s="415">
        <v>45591</v>
      </c>
      <c r="P2068" s="415">
        <v>40288.76</v>
      </c>
      <c r="Q2068" s="481">
        <f t="shared" si="78"/>
        <v>-2769.1649199999956</v>
      </c>
    </row>
    <row r="2069" spans="1:17" outlineLevel="2" x14ac:dyDescent="0.3">
      <c r="A2069" s="366" t="str">
        <f>IFERROR(VLOOKUP(RIGHT(E2069,3)+0,[1]SchLocTable!$A$2:$B$47,2,FALSE)," ")</f>
        <v>Cross</v>
      </c>
      <c r="B2069" s="366" t="str">
        <f>VLOOKUP(VALUE(D2069),$D$3:F$106,3,FALSE)</f>
        <v>Physical Education</v>
      </c>
      <c r="C2069" t="s">
        <v>314</v>
      </c>
      <c r="D2069">
        <v>819</v>
      </c>
      <c r="E2069" t="s">
        <v>776</v>
      </c>
      <c r="F2069" t="s">
        <v>321</v>
      </c>
      <c r="G2069" t="s">
        <v>319</v>
      </c>
      <c r="H2069" s="502">
        <v>52917</v>
      </c>
      <c r="I2069" s="415">
        <v>15644.663999999999</v>
      </c>
      <c r="J2069" s="415">
        <v>13037.22</v>
      </c>
      <c r="K2069" s="415">
        <v>11844</v>
      </c>
      <c r="L2069" s="415">
        <v>10849.86</v>
      </c>
      <c r="M2069" s="415">
        <v>10952.55</v>
      </c>
      <c r="N2069" s="415">
        <v>20013.02</v>
      </c>
      <c r="O2069" s="415">
        <v>9817.68</v>
      </c>
      <c r="P2069" s="415">
        <v>0</v>
      </c>
      <c r="Q2069" s="481">
        <f t="shared" si="78"/>
        <v>-2607.4439999999995</v>
      </c>
    </row>
    <row r="2070" spans="1:17" outlineLevel="2" x14ac:dyDescent="0.3">
      <c r="A2070" s="366" t="str">
        <f>IFERROR(VLOOKUP(RIGHT(E2070,3)+0,[1]SchLocTable!$A$2:$B$47,2,FALSE)," ")</f>
        <v>Cross</v>
      </c>
      <c r="B2070" s="366" t="str">
        <f>VLOOKUP(VALUE(D2070),$D$3:F$106,3,FALSE)</f>
        <v>Physical Education</v>
      </c>
      <c r="C2070" t="s">
        <v>314</v>
      </c>
      <c r="D2070">
        <v>819</v>
      </c>
      <c r="E2070" t="s">
        <v>776</v>
      </c>
      <c r="F2070" t="s">
        <v>320</v>
      </c>
      <c r="G2070" t="s">
        <v>319</v>
      </c>
      <c r="H2070" s="502">
        <v>52360</v>
      </c>
      <c r="I2070" s="415">
        <v>827.48839134000002</v>
      </c>
      <c r="J2070" s="415">
        <v>717</v>
      </c>
      <c r="K2070" s="415">
        <v>711.59</v>
      </c>
      <c r="L2070" s="415">
        <v>646.48</v>
      </c>
      <c r="M2070" s="415">
        <v>608.36</v>
      </c>
      <c r="N2070" s="415">
        <v>588.5</v>
      </c>
      <c r="O2070" s="415">
        <v>623.78</v>
      </c>
      <c r="P2070" s="415">
        <v>584.17999999999995</v>
      </c>
      <c r="Q2070" s="481">
        <f t="shared" si="78"/>
        <v>-110.48839134000002</v>
      </c>
    </row>
    <row r="2071" spans="1:17" outlineLevel="2" x14ac:dyDescent="0.3">
      <c r="A2071" s="366" t="str">
        <f>IFERROR(VLOOKUP(RIGHT(E2071,3)+0,[1]SchLocTable!$A$2:$B$47,2,FALSE)," ")</f>
        <v>Cross</v>
      </c>
      <c r="B2071" s="366" t="str">
        <f>VLOOKUP(VALUE(D2071),$D$3:F$106,3,FALSE)</f>
        <v>Physical Education</v>
      </c>
      <c r="C2071" t="s">
        <v>314</v>
      </c>
      <c r="D2071">
        <v>819</v>
      </c>
      <c r="E2071" t="s">
        <v>776</v>
      </c>
      <c r="F2071" t="s">
        <v>324</v>
      </c>
      <c r="G2071" t="s">
        <v>319</v>
      </c>
      <c r="H2071" s="502">
        <v>52385</v>
      </c>
      <c r="I2071" s="415">
        <v>0</v>
      </c>
      <c r="J2071" s="415">
        <v>0</v>
      </c>
      <c r="K2071" s="415">
        <v>0</v>
      </c>
      <c r="L2071" s="415">
        <v>1437.96</v>
      </c>
      <c r="M2071" s="415">
        <v>2601.23</v>
      </c>
      <c r="N2071" s="415">
        <v>1058.54</v>
      </c>
      <c r="O2071" s="415">
        <v>0</v>
      </c>
      <c r="P2071" s="415">
        <v>0</v>
      </c>
      <c r="Q2071" s="481">
        <f t="shared" si="78"/>
        <v>0</v>
      </c>
    </row>
    <row r="2072" spans="1:17" outlineLevel="2" x14ac:dyDescent="0.3">
      <c r="A2072" s="366" t="str">
        <f>IFERROR(VLOOKUP(RIGHT(E2072,3)+0,[1]SchLocTable!$A$2:$B$47,2,FALSE)," ")</f>
        <v>Blackham</v>
      </c>
      <c r="B2072" s="366" t="str">
        <f>VLOOKUP(VALUE(D2072),$D$3:F$106,3,FALSE)</f>
        <v>Physical Education</v>
      </c>
      <c r="C2072" t="s">
        <v>314</v>
      </c>
      <c r="D2072">
        <v>819</v>
      </c>
      <c r="E2072" t="s">
        <v>777</v>
      </c>
      <c r="F2072" t="s">
        <v>316</v>
      </c>
      <c r="G2072">
        <v>3</v>
      </c>
      <c r="H2072" s="502">
        <v>51000</v>
      </c>
      <c r="I2072" s="415">
        <v>247167.7689</v>
      </c>
      <c r="J2072" s="415">
        <v>235174</v>
      </c>
      <c r="K2072" s="415">
        <v>225512.82</v>
      </c>
      <c r="L2072" s="415">
        <v>208130</v>
      </c>
      <c r="M2072" s="415">
        <v>198718</v>
      </c>
      <c r="N2072" s="415">
        <v>200809.59</v>
      </c>
      <c r="O2072" s="415">
        <v>209945.03</v>
      </c>
      <c r="P2072" s="415">
        <v>207357.28</v>
      </c>
      <c r="Q2072" s="481">
        <f t="shared" si="78"/>
        <v>-11993.768899999995</v>
      </c>
    </row>
    <row r="2073" spans="1:17" outlineLevel="2" x14ac:dyDescent="0.3">
      <c r="A2073" s="366" t="str">
        <f>IFERROR(VLOOKUP(RIGHT(E2073,3)+0,[1]SchLocTable!$A$2:$B$47,2,FALSE)," ")</f>
        <v>Blackham</v>
      </c>
      <c r="B2073" s="366" t="str">
        <f>VLOOKUP(VALUE(D2073),$D$3:F$106,3,FALSE)</f>
        <v>Physical Education</v>
      </c>
      <c r="C2073" t="s">
        <v>314</v>
      </c>
      <c r="D2073">
        <v>819</v>
      </c>
      <c r="E2073" t="s">
        <v>777</v>
      </c>
      <c r="F2073" t="s">
        <v>321</v>
      </c>
      <c r="G2073" t="s">
        <v>319</v>
      </c>
      <c r="H2073" s="502">
        <v>52917</v>
      </c>
      <c r="I2073" s="415">
        <v>108306.576</v>
      </c>
      <c r="J2073" s="415">
        <v>90255.48</v>
      </c>
      <c r="K2073" s="415">
        <v>81995.759999999995</v>
      </c>
      <c r="L2073" s="415">
        <v>80898.720000000001</v>
      </c>
      <c r="M2073" s="415">
        <v>75855.149999999994</v>
      </c>
      <c r="N2073" s="415">
        <v>71806.210000000006</v>
      </c>
      <c r="O2073" s="415">
        <v>67548.69</v>
      </c>
      <c r="P2073" s="415">
        <v>63567.42</v>
      </c>
      <c r="Q2073" s="481">
        <f t="shared" si="78"/>
        <v>-18051.096000000005</v>
      </c>
    </row>
    <row r="2074" spans="1:17" outlineLevel="2" x14ac:dyDescent="0.3">
      <c r="A2074" s="366" t="str">
        <f>IFERROR(VLOOKUP(RIGHT(E2074,3)+0,[1]SchLocTable!$A$2:$B$47,2,FALSE)," ")</f>
        <v>Blackham</v>
      </c>
      <c r="B2074" s="366" t="str">
        <f>VLOOKUP(VALUE(D2074),$D$3:F$106,3,FALSE)</f>
        <v>Physical Education</v>
      </c>
      <c r="C2074" t="s">
        <v>314</v>
      </c>
      <c r="D2074">
        <v>819</v>
      </c>
      <c r="E2074" t="s">
        <v>777</v>
      </c>
      <c r="F2074" t="s">
        <v>320</v>
      </c>
      <c r="G2074" t="s">
        <v>319</v>
      </c>
      <c r="H2074" s="502">
        <v>52360</v>
      </c>
      <c r="I2074" s="415">
        <v>3583.9326490499998</v>
      </c>
      <c r="J2074" s="415">
        <v>2921</v>
      </c>
      <c r="K2074" s="415">
        <v>2919.92</v>
      </c>
      <c r="L2074" s="415">
        <v>2682.88</v>
      </c>
      <c r="M2074" s="415">
        <v>2575.8000000000002</v>
      </c>
      <c r="N2074" s="415">
        <v>2988.27</v>
      </c>
      <c r="O2074" s="415">
        <v>2787.14</v>
      </c>
      <c r="P2074" s="415">
        <v>2767.68</v>
      </c>
      <c r="Q2074" s="481">
        <f t="shared" si="78"/>
        <v>-662.93264904999978</v>
      </c>
    </row>
    <row r="2075" spans="1:17" outlineLevel="2" x14ac:dyDescent="0.3">
      <c r="A2075" s="366" t="str">
        <f>IFERROR(VLOOKUP(RIGHT(E2075,3)+0,[1]SchLocTable!$A$2:$B$47,2,FALSE)," ")</f>
        <v>Dunbar</v>
      </c>
      <c r="B2075" s="366" t="str">
        <f>VLOOKUP(VALUE(D2075),$D$3:F$106,3,FALSE)</f>
        <v>Physical Education</v>
      </c>
      <c r="C2075" t="s">
        <v>314</v>
      </c>
      <c r="D2075">
        <v>819</v>
      </c>
      <c r="E2075" t="s">
        <v>778</v>
      </c>
      <c r="F2075" t="s">
        <v>316</v>
      </c>
      <c r="G2075">
        <v>2</v>
      </c>
      <c r="H2075" s="502">
        <v>51000</v>
      </c>
      <c r="I2075" s="415">
        <v>155500.61040999999</v>
      </c>
      <c r="J2075" s="415">
        <v>95393</v>
      </c>
      <c r="K2075" s="415">
        <v>130688.13</v>
      </c>
      <c r="L2075" s="415">
        <v>86388.63</v>
      </c>
      <c r="M2075" s="415">
        <v>54622.1</v>
      </c>
      <c r="N2075" s="415">
        <v>118145.04</v>
      </c>
      <c r="O2075" s="415">
        <v>113212.06</v>
      </c>
      <c r="P2075" s="415">
        <v>111430.02</v>
      </c>
      <c r="Q2075" s="481">
        <f t="shared" si="78"/>
        <v>-60107.610409999994</v>
      </c>
    </row>
    <row r="2076" spans="1:17" outlineLevel="1" x14ac:dyDescent="0.3">
      <c r="A2076" s="366" t="str">
        <f>IFERROR(VLOOKUP(RIGHT(E2076,3)+0,[1]SchLocTable!$A$2:$B$47,2,FALSE)," ")</f>
        <v>Dunbar</v>
      </c>
      <c r="B2076" s="366" t="str">
        <f>VLOOKUP(VALUE(D2076),$D$3:F$106,3,FALSE)</f>
        <v>Physical Education</v>
      </c>
      <c r="C2076" t="s">
        <v>314</v>
      </c>
      <c r="D2076">
        <v>819</v>
      </c>
      <c r="E2076" t="s">
        <v>778</v>
      </c>
      <c r="F2076" t="s">
        <v>321</v>
      </c>
      <c r="G2076" t="s">
        <v>319</v>
      </c>
      <c r="H2076" s="502">
        <v>52917</v>
      </c>
      <c r="I2076" s="415">
        <v>53288.927999999993</v>
      </c>
      <c r="J2076" s="415">
        <v>31306</v>
      </c>
      <c r="K2076" s="415">
        <v>39649.24</v>
      </c>
      <c r="L2076" s="415">
        <v>11080.1</v>
      </c>
      <c r="M2076" s="415">
        <v>0</v>
      </c>
      <c r="N2076" s="415">
        <v>40541.550000000003</v>
      </c>
      <c r="O2076" s="415">
        <v>38471.19</v>
      </c>
      <c r="P2076" s="415">
        <v>36182.370000000003</v>
      </c>
      <c r="Q2076" s="481">
        <f t="shared" si="78"/>
        <v>-21982.927999999993</v>
      </c>
    </row>
    <row r="2077" spans="1:17" outlineLevel="1" x14ac:dyDescent="0.3">
      <c r="A2077" s="366" t="str">
        <f>IFERROR(VLOOKUP(RIGHT(E2077,3)+0,[1]SchLocTable!$A$2:$B$47,2,FALSE)," ")</f>
        <v>Dunbar</v>
      </c>
      <c r="B2077" s="366" t="str">
        <f>VLOOKUP(VALUE(D2077),$D$3:F$106,3,FALSE)</f>
        <v>Physical Education</v>
      </c>
      <c r="C2077" t="s">
        <v>314</v>
      </c>
      <c r="D2077">
        <v>819</v>
      </c>
      <c r="E2077" t="s">
        <v>778</v>
      </c>
      <c r="F2077" t="s">
        <v>320</v>
      </c>
      <c r="G2077" t="s">
        <v>319</v>
      </c>
      <c r="H2077" s="502">
        <v>52360</v>
      </c>
      <c r="I2077" s="415">
        <v>2254.7588509450002</v>
      </c>
      <c r="J2077" s="415">
        <v>1246</v>
      </c>
      <c r="K2077" s="415">
        <v>1725.76</v>
      </c>
      <c r="L2077" s="415">
        <v>1206.78</v>
      </c>
      <c r="M2077" s="415">
        <v>792.02</v>
      </c>
      <c r="N2077" s="415">
        <v>1554.83</v>
      </c>
      <c r="O2077" s="415">
        <v>1494.94</v>
      </c>
      <c r="P2077" s="415">
        <v>1479.29</v>
      </c>
      <c r="Q2077" s="481">
        <f t="shared" si="78"/>
        <v>-1008.7588509450002</v>
      </c>
    </row>
    <row r="2078" spans="1:17" outlineLevel="1" x14ac:dyDescent="0.3">
      <c r="A2078" s="366" t="str">
        <f>IFERROR(VLOOKUP(RIGHT(E2078,3)+0,[1]SchLocTable!$A$2:$B$47,2,FALSE)," ")</f>
        <v>Dunbar</v>
      </c>
      <c r="B2078" s="366" t="str">
        <f>VLOOKUP(VALUE(D2078),$D$3:F$106,3,FALSE)</f>
        <v>Physical Education</v>
      </c>
      <c r="C2078" t="s">
        <v>314</v>
      </c>
      <c r="D2078">
        <v>819</v>
      </c>
      <c r="E2078" t="s">
        <v>778</v>
      </c>
      <c r="F2078" t="s">
        <v>324</v>
      </c>
      <c r="G2078" t="s">
        <v>319</v>
      </c>
      <c r="H2078" s="502">
        <v>52385</v>
      </c>
      <c r="I2078" s="415">
        <v>0</v>
      </c>
      <c r="J2078" s="415">
        <v>0</v>
      </c>
      <c r="K2078" s="415">
        <v>2577.15</v>
      </c>
      <c r="L2078" s="415">
        <v>2276.19</v>
      </c>
      <c r="M2078" s="415">
        <v>0</v>
      </c>
      <c r="N2078" s="415">
        <v>0</v>
      </c>
      <c r="O2078" s="415">
        <v>0</v>
      </c>
      <c r="P2078" s="415">
        <v>0</v>
      </c>
      <c r="Q2078" s="481">
        <f t="shared" si="78"/>
        <v>0</v>
      </c>
    </row>
    <row r="2079" spans="1:17" outlineLevel="1" x14ac:dyDescent="0.3">
      <c r="A2079" s="366" t="str">
        <f>IFERROR(VLOOKUP(RIGHT(E2079,3)+0,[1]SchLocTable!$A$2:$B$47,2,FALSE)," ")</f>
        <v>Curiale</v>
      </c>
      <c r="B2079" s="366" t="str">
        <f>VLOOKUP(VALUE(D2079),$D$3:F$106,3,FALSE)</f>
        <v>Physical Education</v>
      </c>
      <c r="C2079" t="s">
        <v>314</v>
      </c>
      <c r="D2079">
        <v>819</v>
      </c>
      <c r="E2079" t="s">
        <v>779</v>
      </c>
      <c r="F2079" t="s">
        <v>316</v>
      </c>
      <c r="G2079">
        <v>2</v>
      </c>
      <c r="H2079" s="502">
        <v>51000</v>
      </c>
      <c r="I2079" s="415">
        <v>188718.82119999998</v>
      </c>
      <c r="J2079" s="415">
        <v>170812</v>
      </c>
      <c r="K2079" s="415">
        <v>162726.20000000001</v>
      </c>
      <c r="L2079" s="415">
        <v>150298.20000000001</v>
      </c>
      <c r="M2079" s="415">
        <v>138655.92000000001</v>
      </c>
      <c r="N2079" s="415">
        <v>132664.04999999999</v>
      </c>
      <c r="O2079" s="415">
        <v>126678.24</v>
      </c>
      <c r="P2079" s="415">
        <v>124681.96</v>
      </c>
      <c r="Q2079" s="481">
        <f t="shared" si="78"/>
        <v>-17906.821199999977</v>
      </c>
    </row>
    <row r="2080" spans="1:17" outlineLevel="1" x14ac:dyDescent="0.3">
      <c r="A2080" s="366" t="str">
        <f>IFERROR(VLOOKUP(RIGHT(E2080,3)+0,[1]SchLocTable!$A$2:$B$47,2,FALSE)," ")</f>
        <v>Curiale</v>
      </c>
      <c r="B2080" s="366" t="str">
        <f>VLOOKUP(VALUE(D2080),$D$3:F$106,3,FALSE)</f>
        <v>Physical Education</v>
      </c>
      <c r="C2080" t="s">
        <v>314</v>
      </c>
      <c r="D2080">
        <v>819</v>
      </c>
      <c r="E2080" t="s">
        <v>779</v>
      </c>
      <c r="F2080" t="s">
        <v>321</v>
      </c>
      <c r="G2080" t="s">
        <v>319</v>
      </c>
      <c r="H2080" s="502">
        <v>52917</v>
      </c>
      <c r="I2080" s="415">
        <v>92661.911999999997</v>
      </c>
      <c r="J2080" s="415">
        <v>77218.259999999995</v>
      </c>
      <c r="K2080" s="415">
        <v>70151.759999999995</v>
      </c>
      <c r="L2080" s="415">
        <v>62317.88</v>
      </c>
      <c r="M2080" s="415">
        <v>58356.480000000003</v>
      </c>
      <c r="N2080" s="415">
        <v>54391.26</v>
      </c>
      <c r="O2080" s="415">
        <v>34375.15</v>
      </c>
      <c r="P2080" s="415">
        <v>31431.96</v>
      </c>
      <c r="Q2080" s="481">
        <f t="shared" si="78"/>
        <v>-15443.652000000002</v>
      </c>
    </row>
    <row r="2081" spans="1:17" outlineLevel="2" x14ac:dyDescent="0.3">
      <c r="A2081" s="366" t="str">
        <f>IFERROR(VLOOKUP(RIGHT(E2081,3)+0,[1]SchLocTable!$A$2:$B$47,2,FALSE)," ")</f>
        <v>Curiale</v>
      </c>
      <c r="B2081" s="366" t="str">
        <f>VLOOKUP(VALUE(D2081),$D$3:F$106,3,FALSE)</f>
        <v>Physical Education</v>
      </c>
      <c r="C2081" t="s">
        <v>314</v>
      </c>
      <c r="D2081">
        <v>819</v>
      </c>
      <c r="E2081" t="s">
        <v>779</v>
      </c>
      <c r="F2081" t="s">
        <v>318</v>
      </c>
      <c r="G2081" t="s">
        <v>319</v>
      </c>
      <c r="H2081" s="502">
        <v>51140</v>
      </c>
      <c r="I2081" s="415">
        <v>900</v>
      </c>
      <c r="J2081" s="415">
        <v>0</v>
      </c>
      <c r="K2081" s="415">
        <v>900</v>
      </c>
      <c r="L2081" s="415">
        <v>900</v>
      </c>
      <c r="M2081" s="415">
        <v>0</v>
      </c>
      <c r="N2081" s="415">
        <v>0</v>
      </c>
      <c r="O2081" s="415">
        <v>0</v>
      </c>
      <c r="P2081" s="415">
        <v>0</v>
      </c>
      <c r="Q2081" s="481">
        <f t="shared" si="78"/>
        <v>-900</v>
      </c>
    </row>
    <row r="2082" spans="1:17" outlineLevel="2" x14ac:dyDescent="0.3">
      <c r="A2082" s="366" t="str">
        <f>IFERROR(VLOOKUP(RIGHT(E2082,3)+0,[1]SchLocTable!$A$2:$B$47,2,FALSE)," ")</f>
        <v>Curiale</v>
      </c>
      <c r="B2082" s="366" t="str">
        <f>VLOOKUP(VALUE(D2082),$D$3:F$106,3,FALSE)</f>
        <v>Physical Education</v>
      </c>
      <c r="C2082" t="s">
        <v>314</v>
      </c>
      <c r="D2082">
        <v>819</v>
      </c>
      <c r="E2082" t="s">
        <v>779</v>
      </c>
      <c r="F2082" t="s">
        <v>320</v>
      </c>
      <c r="G2082" t="s">
        <v>319</v>
      </c>
      <c r="H2082" s="502">
        <v>52360</v>
      </c>
      <c r="I2082" s="415">
        <v>2736.4229074</v>
      </c>
      <c r="J2082" s="415">
        <v>2071</v>
      </c>
      <c r="K2082" s="415">
        <v>2073.14</v>
      </c>
      <c r="L2082" s="415">
        <v>1933.4</v>
      </c>
      <c r="M2082" s="415">
        <v>1774.47</v>
      </c>
      <c r="N2082" s="415">
        <v>1710.34</v>
      </c>
      <c r="O2082" s="415">
        <v>1705.99</v>
      </c>
      <c r="P2082" s="415">
        <v>1689.74</v>
      </c>
      <c r="Q2082" s="481">
        <f t="shared" si="78"/>
        <v>-665.42290739999999</v>
      </c>
    </row>
    <row r="2083" spans="1:17" outlineLevel="2" x14ac:dyDescent="0.3">
      <c r="A2083" s="366" t="str">
        <f>IFERROR(VLOOKUP(RIGHT(E2083,3)+0,[1]SchLocTable!$A$2:$B$47,2,FALSE)," ")</f>
        <v>Bassick HS</v>
      </c>
      <c r="B2083" s="366" t="str">
        <f>VLOOKUP(VALUE(D2083),$D$3:F$106,3,FALSE)</f>
        <v>Physical Education</v>
      </c>
      <c r="C2083" t="s">
        <v>314</v>
      </c>
      <c r="D2083">
        <v>819</v>
      </c>
      <c r="E2083" t="s">
        <v>780</v>
      </c>
      <c r="F2083" t="s">
        <v>316</v>
      </c>
      <c r="G2083">
        <v>3</v>
      </c>
      <c r="H2083" s="502">
        <v>51000</v>
      </c>
      <c r="I2083" s="415">
        <v>298085.39774000004</v>
      </c>
      <c r="J2083" s="415">
        <v>283621</v>
      </c>
      <c r="K2083" s="415">
        <v>274673.88</v>
      </c>
      <c r="L2083" s="415">
        <v>265188.03999999998</v>
      </c>
      <c r="M2083" s="415">
        <v>250649.86</v>
      </c>
      <c r="N2083" s="415">
        <v>247689.86</v>
      </c>
      <c r="O2083" s="415">
        <v>237907.03</v>
      </c>
      <c r="P2083" s="415">
        <v>182091</v>
      </c>
      <c r="Q2083" s="481">
        <f t="shared" si="78"/>
        <v>-14464.397740000044</v>
      </c>
    </row>
    <row r="2084" spans="1:17" outlineLevel="2" x14ac:dyDescent="0.3">
      <c r="A2084" s="366" t="str">
        <f>IFERROR(VLOOKUP(RIGHT(E2084,3)+0,[1]SchLocTable!$A$2:$B$47,2,FALSE)," ")</f>
        <v>Bassick HS</v>
      </c>
      <c r="B2084" s="366" t="str">
        <f>VLOOKUP(VALUE(D2084),$D$3:F$106,3,FALSE)</f>
        <v>Physical Education</v>
      </c>
      <c r="C2084" t="s">
        <v>314</v>
      </c>
      <c r="D2084">
        <v>819</v>
      </c>
      <c r="E2084" t="s">
        <v>780</v>
      </c>
      <c r="F2084" t="s">
        <v>321</v>
      </c>
      <c r="G2084" t="s">
        <v>319</v>
      </c>
      <c r="H2084" s="502">
        <v>52917</v>
      </c>
      <c r="I2084" s="415">
        <v>138992.86799999999</v>
      </c>
      <c r="J2084" s="415">
        <v>115827.39</v>
      </c>
      <c r="K2084" s="415">
        <v>105227.64</v>
      </c>
      <c r="L2084" s="415">
        <v>103820.85</v>
      </c>
      <c r="M2084" s="415">
        <v>97347.6</v>
      </c>
      <c r="N2084" s="415">
        <v>72214.92</v>
      </c>
      <c r="O2084" s="415">
        <v>67972.679999999993</v>
      </c>
      <c r="P2084" s="415">
        <v>54232.32</v>
      </c>
      <c r="Q2084" s="481">
        <f t="shared" si="78"/>
        <v>-23165.477999999988</v>
      </c>
    </row>
    <row r="2085" spans="1:17" outlineLevel="2" x14ac:dyDescent="0.3">
      <c r="A2085" s="366" t="str">
        <f>IFERROR(VLOOKUP(RIGHT(E2085,3)+0,[1]SchLocTable!$A$2:$B$47,2,FALSE)," ")</f>
        <v>Bassick HS</v>
      </c>
      <c r="B2085" s="366" t="str">
        <f>VLOOKUP(VALUE(D2085),$D$3:F$106,3,FALSE)</f>
        <v>Physical Education</v>
      </c>
      <c r="C2085" t="s">
        <v>314</v>
      </c>
      <c r="D2085">
        <v>819</v>
      </c>
      <c r="E2085" t="s">
        <v>780</v>
      </c>
      <c r="F2085" t="s">
        <v>318</v>
      </c>
      <c r="G2085" t="s">
        <v>319</v>
      </c>
      <c r="H2085" s="502">
        <v>51140</v>
      </c>
      <c r="I2085" s="415">
        <v>2300</v>
      </c>
      <c r="J2085" s="415">
        <v>0</v>
      </c>
      <c r="K2085" s="415">
        <v>2200</v>
      </c>
      <c r="L2085" s="415">
        <v>2200</v>
      </c>
      <c r="M2085" s="415">
        <v>2000</v>
      </c>
      <c r="N2085" s="415">
        <v>2000</v>
      </c>
      <c r="O2085" s="415">
        <v>2000</v>
      </c>
      <c r="P2085" s="415">
        <v>1800</v>
      </c>
      <c r="Q2085" s="481">
        <f t="shared" si="78"/>
        <v>-2300</v>
      </c>
    </row>
    <row r="2086" spans="1:17" outlineLevel="1" x14ac:dyDescent="0.3">
      <c r="A2086" s="366" t="str">
        <f>IFERROR(VLOOKUP(RIGHT(E2086,3)+0,[1]SchLocTable!$A$2:$B$47,2,FALSE)," ")</f>
        <v>Bassick HS</v>
      </c>
      <c r="B2086" s="366" t="str">
        <f>VLOOKUP(VALUE(D2086),$D$3:F$106,3,FALSE)</f>
        <v>Physical Education</v>
      </c>
      <c r="C2086" t="s">
        <v>314</v>
      </c>
      <c r="D2086">
        <v>819</v>
      </c>
      <c r="E2086" t="s">
        <v>780</v>
      </c>
      <c r="F2086" t="s">
        <v>320</v>
      </c>
      <c r="G2086" t="s">
        <v>319</v>
      </c>
      <c r="H2086" s="502">
        <v>52360</v>
      </c>
      <c r="I2086" s="415">
        <v>4322.2382672300009</v>
      </c>
      <c r="J2086" s="415">
        <v>3518</v>
      </c>
      <c r="K2086" s="415">
        <v>3565.55</v>
      </c>
      <c r="L2086" s="415">
        <v>3447.19</v>
      </c>
      <c r="M2086" s="415">
        <v>3376.86</v>
      </c>
      <c r="N2086" s="415">
        <v>3338.52</v>
      </c>
      <c r="O2086" s="415">
        <v>3220.47</v>
      </c>
      <c r="P2086" s="415">
        <v>2463.21</v>
      </c>
      <c r="Q2086" s="481">
        <f t="shared" si="78"/>
        <v>-804.23826723000093</v>
      </c>
    </row>
    <row r="2087" spans="1:17" outlineLevel="2" x14ac:dyDescent="0.3">
      <c r="A2087" s="366" t="str">
        <f>IFERROR(VLOOKUP(RIGHT(E2087,3)+0,[1]SchLocTable!$A$2:$B$47,2,FALSE)," ")</f>
        <v>Central HS</v>
      </c>
      <c r="B2087" s="366" t="str">
        <f>VLOOKUP(VALUE(D2087),$D$3:F$106,3,FALSE)</f>
        <v>Physical Education</v>
      </c>
      <c r="C2087" t="s">
        <v>314</v>
      </c>
      <c r="D2087">
        <v>819</v>
      </c>
      <c r="E2087" t="s">
        <v>781</v>
      </c>
      <c r="F2087" t="s">
        <v>316</v>
      </c>
      <c r="G2087">
        <v>4</v>
      </c>
      <c r="H2087" s="502">
        <v>51000</v>
      </c>
      <c r="I2087" s="415">
        <v>322144.20658999996</v>
      </c>
      <c r="J2087" s="415">
        <v>306512</v>
      </c>
      <c r="K2087" s="415">
        <v>289569.12</v>
      </c>
      <c r="L2087" s="415">
        <v>250380.97</v>
      </c>
      <c r="M2087" s="415">
        <v>224271.06</v>
      </c>
      <c r="N2087" s="415">
        <v>212307.16</v>
      </c>
      <c r="O2087" s="415">
        <v>201933.17</v>
      </c>
      <c r="P2087" s="415">
        <v>198854.12</v>
      </c>
      <c r="Q2087" s="481">
        <f t="shared" si="78"/>
        <v>-15632.206589999958</v>
      </c>
    </row>
    <row r="2088" spans="1:17" outlineLevel="2" x14ac:dyDescent="0.3">
      <c r="A2088" s="366" t="str">
        <f>IFERROR(VLOOKUP(RIGHT(E2088,3)+0,[1]SchLocTable!$A$2:$B$47,2,FALSE)," ")</f>
        <v>Central HS</v>
      </c>
      <c r="B2088" s="366" t="str">
        <f>VLOOKUP(VALUE(D2088),$D$3:F$106,3,FALSE)</f>
        <v>Physical Education</v>
      </c>
      <c r="C2088" t="s">
        <v>314</v>
      </c>
      <c r="D2088">
        <v>819</v>
      </c>
      <c r="E2088" t="s">
        <v>781</v>
      </c>
      <c r="F2088" t="s">
        <v>321</v>
      </c>
      <c r="G2088" t="s">
        <v>319</v>
      </c>
      <c r="H2088" s="502">
        <v>52917</v>
      </c>
      <c r="I2088" s="415">
        <v>93264.948000000004</v>
      </c>
      <c r="J2088" s="415">
        <v>77720.789999999994</v>
      </c>
      <c r="K2088" s="415">
        <v>66703.320000000007</v>
      </c>
      <c r="L2088" s="415">
        <v>34498.04</v>
      </c>
      <c r="M2088" s="415">
        <v>21913.5</v>
      </c>
      <c r="N2088" s="415">
        <v>20465.759999999998</v>
      </c>
      <c r="O2088" s="415">
        <v>19635.36</v>
      </c>
      <c r="P2088" s="415">
        <v>18491.34</v>
      </c>
      <c r="Q2088" s="481">
        <f t="shared" si="78"/>
        <v>-15544.15800000001</v>
      </c>
    </row>
    <row r="2089" spans="1:17" outlineLevel="2" x14ac:dyDescent="0.3">
      <c r="A2089" s="366" t="str">
        <f>IFERROR(VLOOKUP(RIGHT(E2089,3)+0,[1]SchLocTable!$A$2:$B$47,2,FALSE)," ")</f>
        <v>Central HS</v>
      </c>
      <c r="B2089" s="366" t="str">
        <f>VLOOKUP(VALUE(D2089),$D$3:F$106,3,FALSE)</f>
        <v>Physical Education</v>
      </c>
      <c r="C2089" t="s">
        <v>314</v>
      </c>
      <c r="D2089">
        <v>819</v>
      </c>
      <c r="E2089" t="s">
        <v>781</v>
      </c>
      <c r="F2089" t="s">
        <v>318</v>
      </c>
      <c r="G2089" t="s">
        <v>319</v>
      </c>
      <c r="H2089" s="502">
        <v>51140</v>
      </c>
      <c r="I2089" s="415">
        <v>0</v>
      </c>
      <c r="J2089" s="415">
        <v>0</v>
      </c>
      <c r="K2089" s="415">
        <v>0</v>
      </c>
      <c r="L2089" s="415">
        <v>1800</v>
      </c>
      <c r="M2089" s="415">
        <v>0</v>
      </c>
      <c r="N2089" s="415">
        <v>0</v>
      </c>
      <c r="O2089" s="415">
        <v>0</v>
      </c>
      <c r="P2089" s="415">
        <v>0</v>
      </c>
      <c r="Q2089" s="481">
        <f t="shared" si="78"/>
        <v>0</v>
      </c>
    </row>
    <row r="2090" spans="1:17" outlineLevel="2" x14ac:dyDescent="0.3">
      <c r="A2090" s="366" t="str">
        <f>IFERROR(VLOOKUP(RIGHT(E2090,3)+0,[1]SchLocTable!$A$2:$B$47,2,FALSE)," ")</f>
        <v>Central HS</v>
      </c>
      <c r="B2090" s="366" t="str">
        <f>VLOOKUP(VALUE(D2090),$D$3:F$106,3,FALSE)</f>
        <v>Physical Education</v>
      </c>
      <c r="C2090" t="s">
        <v>314</v>
      </c>
      <c r="D2090">
        <v>819</v>
      </c>
      <c r="E2090" t="s">
        <v>781</v>
      </c>
      <c r="F2090" t="s">
        <v>320</v>
      </c>
      <c r="G2090" t="s">
        <v>319</v>
      </c>
      <c r="H2090" s="502">
        <v>52360</v>
      </c>
      <c r="I2090" s="415">
        <v>4671.0909955549996</v>
      </c>
      <c r="J2090" s="415">
        <v>4077</v>
      </c>
      <c r="K2090" s="415">
        <v>3907.89</v>
      </c>
      <c r="L2090" s="415">
        <v>3586.76</v>
      </c>
      <c r="M2090" s="415">
        <v>3147</v>
      </c>
      <c r="N2090" s="415">
        <v>2998.57</v>
      </c>
      <c r="O2090" s="415">
        <v>2857.43</v>
      </c>
      <c r="P2090" s="415">
        <v>2816.3</v>
      </c>
      <c r="Q2090" s="481">
        <f t="shared" si="78"/>
        <v>-594.09099555499961</v>
      </c>
    </row>
    <row r="2091" spans="1:17" outlineLevel="2" x14ac:dyDescent="0.3">
      <c r="A2091" s="366" t="str">
        <f>IFERROR(VLOOKUP(RIGHT(E2091,3)+0,[1]SchLocTable!$A$2:$B$47,2,FALSE)," ")</f>
        <v>Central HS</v>
      </c>
      <c r="B2091" s="366" t="str">
        <f>VLOOKUP(VALUE(D2091),$D$3:F$106,3,FALSE)</f>
        <v>Physical Education</v>
      </c>
      <c r="C2091" t="s">
        <v>314</v>
      </c>
      <c r="D2091">
        <v>819</v>
      </c>
      <c r="E2091" t="s">
        <v>781</v>
      </c>
      <c r="F2091" t="s">
        <v>324</v>
      </c>
      <c r="G2091" t="s">
        <v>319</v>
      </c>
      <c r="H2091" s="502">
        <v>52385</v>
      </c>
      <c r="I2091" s="415">
        <v>0</v>
      </c>
      <c r="J2091" s="415">
        <v>0</v>
      </c>
      <c r="K2091" s="415">
        <v>237.02</v>
      </c>
      <c r="L2091" s="415">
        <v>0</v>
      </c>
      <c r="M2091" s="415">
        <v>0</v>
      </c>
      <c r="N2091" s="415">
        <v>0</v>
      </c>
      <c r="O2091" s="415">
        <v>0</v>
      </c>
      <c r="P2091" s="415">
        <v>0</v>
      </c>
      <c r="Q2091" s="481">
        <f t="shared" si="78"/>
        <v>0</v>
      </c>
    </row>
    <row r="2092" spans="1:17" outlineLevel="2" x14ac:dyDescent="0.3">
      <c r="A2092" s="366" t="str">
        <f>IFERROR(VLOOKUP(RIGHT(E2092,3)+0,[1]SchLocTable!$A$2:$B$47,2,FALSE)," ")</f>
        <v>Central HS</v>
      </c>
      <c r="B2092" s="366" t="str">
        <f>VLOOKUP(VALUE(D2092),$D$3:F$106,3,FALSE)</f>
        <v>Physical Education</v>
      </c>
      <c r="C2092" t="s">
        <v>314</v>
      </c>
      <c r="D2092">
        <v>819</v>
      </c>
      <c r="E2092" t="s">
        <v>781</v>
      </c>
      <c r="F2092" t="s">
        <v>329</v>
      </c>
      <c r="G2092" t="s">
        <v>319</v>
      </c>
      <c r="H2092" s="502">
        <v>51154</v>
      </c>
      <c r="I2092" s="415">
        <v>0</v>
      </c>
      <c r="J2092" s="415">
        <v>0</v>
      </c>
      <c r="K2092" s="415">
        <v>0</v>
      </c>
      <c r="L2092" s="415">
        <v>6175</v>
      </c>
      <c r="M2092" s="415">
        <v>0</v>
      </c>
      <c r="N2092" s="415">
        <v>0</v>
      </c>
      <c r="O2092" s="415">
        <v>0</v>
      </c>
      <c r="P2092" s="415">
        <v>0</v>
      </c>
      <c r="Q2092" s="481">
        <f t="shared" si="78"/>
        <v>0</v>
      </c>
    </row>
    <row r="2093" spans="1:17" outlineLevel="2" x14ac:dyDescent="0.3">
      <c r="A2093" s="366" t="str">
        <f>IFERROR(VLOOKUP(RIGHT(E2093,3)+0,[1]SchLocTable!$A$2:$B$47,2,FALSE)," ")</f>
        <v>Harding HS</v>
      </c>
      <c r="B2093" s="366" t="str">
        <f>VLOOKUP(VALUE(D2093),$D$3:F$106,3,FALSE)</f>
        <v>Physical Education</v>
      </c>
      <c r="C2093" t="s">
        <v>314</v>
      </c>
      <c r="D2093">
        <v>819</v>
      </c>
      <c r="E2093" t="s">
        <v>782</v>
      </c>
      <c r="F2093" t="s">
        <v>316</v>
      </c>
      <c r="G2093">
        <v>4</v>
      </c>
      <c r="H2093" s="502">
        <v>51000</v>
      </c>
      <c r="I2093" s="415">
        <v>377218.21462000004</v>
      </c>
      <c r="J2093" s="415">
        <v>355024</v>
      </c>
      <c r="K2093" s="415">
        <v>332633.76</v>
      </c>
      <c r="L2093" s="415">
        <v>246533.04</v>
      </c>
      <c r="M2093" s="415">
        <v>232519.3</v>
      </c>
      <c r="N2093" s="415">
        <v>216628.88</v>
      </c>
      <c r="O2093" s="415">
        <v>203277.88</v>
      </c>
      <c r="P2093" s="415">
        <v>190715.18</v>
      </c>
      <c r="Q2093" s="481">
        <f t="shared" si="78"/>
        <v>-22194.214620000042</v>
      </c>
    </row>
    <row r="2094" spans="1:17" outlineLevel="2" x14ac:dyDescent="0.3">
      <c r="A2094" s="366" t="str">
        <f>IFERROR(VLOOKUP(RIGHT(E2094,3)+0,[1]SchLocTable!$A$2:$B$47,2,FALSE)," ")</f>
        <v>Harding HS</v>
      </c>
      <c r="B2094" s="366" t="str">
        <f>VLOOKUP(VALUE(D2094),$D$3:F$106,3,FALSE)</f>
        <v>Physical Education</v>
      </c>
      <c r="C2094" t="s">
        <v>314</v>
      </c>
      <c r="D2094">
        <v>819</v>
      </c>
      <c r="E2094" t="s">
        <v>782</v>
      </c>
      <c r="F2094" t="s">
        <v>321</v>
      </c>
      <c r="G2094" t="s">
        <v>319</v>
      </c>
      <c r="H2094" s="502">
        <v>52917</v>
      </c>
      <c r="I2094" s="415">
        <v>124464.81600000001</v>
      </c>
      <c r="J2094" s="415">
        <v>103720.68</v>
      </c>
      <c r="K2094" s="415">
        <v>94279.08</v>
      </c>
      <c r="L2094" s="415">
        <v>81378.570000000007</v>
      </c>
      <c r="M2094" s="415">
        <v>76283.13</v>
      </c>
      <c r="N2094" s="415">
        <v>71330.070000000007</v>
      </c>
      <c r="O2094" s="415">
        <v>68396.67</v>
      </c>
      <c r="P2094" s="415">
        <v>64463.7</v>
      </c>
      <c r="Q2094" s="481">
        <f t="shared" si="78"/>
        <v>-20744.136000000013</v>
      </c>
    </row>
    <row r="2095" spans="1:17" outlineLevel="2" x14ac:dyDescent="0.3">
      <c r="A2095" s="366" t="str">
        <f>IFERROR(VLOOKUP(RIGHT(E2095,3)+0,[1]SchLocTable!$A$2:$B$47,2,FALSE)," ")</f>
        <v>Harding HS</v>
      </c>
      <c r="B2095" s="366" t="str">
        <f>VLOOKUP(VALUE(D2095),$D$3:F$106,3,FALSE)</f>
        <v>Physical Education</v>
      </c>
      <c r="C2095" t="s">
        <v>314</v>
      </c>
      <c r="D2095">
        <v>819</v>
      </c>
      <c r="E2095" t="s">
        <v>782</v>
      </c>
      <c r="F2095" t="s">
        <v>318</v>
      </c>
      <c r="G2095" t="s">
        <v>319</v>
      </c>
      <c r="H2095" s="502">
        <v>51140</v>
      </c>
      <c r="I2095" s="415">
        <v>1800</v>
      </c>
      <c r="J2095" s="415">
        <v>0</v>
      </c>
      <c r="K2095" s="415">
        <v>1800</v>
      </c>
      <c r="L2095" s="415">
        <v>1800</v>
      </c>
      <c r="M2095" s="415">
        <v>900</v>
      </c>
      <c r="N2095" s="415">
        <v>0</v>
      </c>
      <c r="O2095" s="415">
        <v>0</v>
      </c>
      <c r="P2095" s="415">
        <v>0</v>
      </c>
      <c r="Q2095" s="481">
        <f t="shared" si="78"/>
        <v>-1800</v>
      </c>
    </row>
    <row r="2096" spans="1:17" outlineLevel="2" x14ac:dyDescent="0.3">
      <c r="A2096" s="366" t="str">
        <f>IFERROR(VLOOKUP(RIGHT(E2096,3)+0,[1]SchLocTable!$A$2:$B$47,2,FALSE)," ")</f>
        <v>Harding HS</v>
      </c>
      <c r="B2096" s="366" t="str">
        <f>VLOOKUP(VALUE(D2096),$D$3:F$106,3,FALSE)</f>
        <v>Physical Education</v>
      </c>
      <c r="C2096" t="s">
        <v>314</v>
      </c>
      <c r="D2096">
        <v>819</v>
      </c>
      <c r="E2096" t="s">
        <v>782</v>
      </c>
      <c r="F2096" t="s">
        <v>320</v>
      </c>
      <c r="G2096" t="s">
        <v>319</v>
      </c>
      <c r="H2096" s="502">
        <v>52360</v>
      </c>
      <c r="I2096" s="415">
        <v>5469.6641119900005</v>
      </c>
      <c r="J2096" s="415">
        <v>4614</v>
      </c>
      <c r="K2096" s="415">
        <v>4447.55</v>
      </c>
      <c r="L2096" s="415">
        <v>3264.6</v>
      </c>
      <c r="M2096" s="415">
        <v>3077.83</v>
      </c>
      <c r="N2096" s="415">
        <v>2863.24</v>
      </c>
      <c r="O2096" s="415">
        <v>2688.29</v>
      </c>
      <c r="P2096" s="415">
        <v>2554.91</v>
      </c>
      <c r="Q2096" s="481">
        <f t="shared" si="78"/>
        <v>-855.66411199000049</v>
      </c>
    </row>
    <row r="2097" spans="1:17" outlineLevel="2" x14ac:dyDescent="0.3">
      <c r="A2097" s="366" t="str">
        <f>IFERROR(VLOOKUP(RIGHT(E2097,3)+0,[1]SchLocTable!$A$2:$B$47,2,FALSE)," ")</f>
        <v>Physical Science HS</v>
      </c>
      <c r="B2097" s="366" t="str">
        <f>VLOOKUP(VALUE(D2097),$D$3:F$106,3,FALSE)</f>
        <v>Health</v>
      </c>
      <c r="C2097" t="s">
        <v>314</v>
      </c>
      <c r="D2097">
        <v>820</v>
      </c>
      <c r="E2097" t="s">
        <v>783</v>
      </c>
      <c r="F2097" t="s">
        <v>316</v>
      </c>
      <c r="G2097">
        <v>1</v>
      </c>
      <c r="H2097" s="502">
        <v>51000</v>
      </c>
      <c r="I2097" s="415">
        <v>94365.149059999996</v>
      </c>
      <c r="J2097" s="415">
        <v>89786</v>
      </c>
      <c r="K2097" s="415">
        <v>83937.88</v>
      </c>
      <c r="L2097" s="415">
        <v>77032.02</v>
      </c>
      <c r="M2097" s="415">
        <v>69752.94</v>
      </c>
      <c r="N2097" s="415">
        <v>65473.08</v>
      </c>
      <c r="O2097" s="415">
        <v>53268.09</v>
      </c>
      <c r="P2097" s="415">
        <v>59392.06</v>
      </c>
      <c r="Q2097" s="481">
        <f t="shared" si="78"/>
        <v>-4579.1490599999961</v>
      </c>
    </row>
    <row r="2098" spans="1:17" outlineLevel="2" x14ac:dyDescent="0.3">
      <c r="A2098" s="366" t="str">
        <f>IFERROR(VLOOKUP(RIGHT(E2098,3)+0,[1]SchLocTable!$A$2:$B$47,2,FALSE)," ")</f>
        <v>Physical Science HS</v>
      </c>
      <c r="B2098" s="366" t="str">
        <f>VLOOKUP(VALUE(D2098),$D$3:F$106,3,FALSE)</f>
        <v>Health</v>
      </c>
      <c r="C2098" t="s">
        <v>314</v>
      </c>
      <c r="D2098">
        <v>820</v>
      </c>
      <c r="E2098" t="s">
        <v>783</v>
      </c>
      <c r="F2098" t="s">
        <v>321</v>
      </c>
      <c r="G2098" t="s">
        <v>319</v>
      </c>
      <c r="H2098" s="502">
        <v>52917</v>
      </c>
      <c r="I2098" s="415">
        <v>46330.955999999998</v>
      </c>
      <c r="J2098" s="415">
        <v>38609.129999999997</v>
      </c>
      <c r="K2098" s="415">
        <v>35075.879999999997</v>
      </c>
      <c r="L2098" s="415">
        <v>34606.949999999997</v>
      </c>
      <c r="M2098" s="415">
        <v>32449.200000000001</v>
      </c>
      <c r="N2098" s="415">
        <v>30308.67</v>
      </c>
      <c r="O2098" s="415">
        <v>28074</v>
      </c>
      <c r="P2098" s="415">
        <v>22186.29</v>
      </c>
      <c r="Q2098" s="481">
        <f t="shared" si="78"/>
        <v>-7721.8260000000009</v>
      </c>
    </row>
    <row r="2099" spans="1:17" outlineLevel="2" x14ac:dyDescent="0.3">
      <c r="A2099" s="366" t="str">
        <f>IFERROR(VLOOKUP(RIGHT(E2099,3)+0,[1]SchLocTable!$A$2:$B$47,2,FALSE)," ")</f>
        <v>Physical Science HS</v>
      </c>
      <c r="B2099" s="366" t="str">
        <f>VLOOKUP(VALUE(D2099),$D$3:F$106,3,FALSE)</f>
        <v>Health</v>
      </c>
      <c r="C2099" t="s">
        <v>314</v>
      </c>
      <c r="D2099">
        <v>820</v>
      </c>
      <c r="E2099" t="s">
        <v>783</v>
      </c>
      <c r="F2099" t="s">
        <v>318</v>
      </c>
      <c r="G2099" t="s">
        <v>319</v>
      </c>
      <c r="H2099" s="502">
        <v>51140</v>
      </c>
      <c r="I2099" s="415">
        <v>900</v>
      </c>
      <c r="J2099" s="415">
        <v>0</v>
      </c>
      <c r="K2099" s="415">
        <v>900</v>
      </c>
      <c r="L2099" s="415">
        <v>0</v>
      </c>
      <c r="M2099" s="415">
        <v>0</v>
      </c>
      <c r="N2099" s="415">
        <v>0</v>
      </c>
      <c r="O2099" s="415">
        <v>0</v>
      </c>
      <c r="P2099" s="415">
        <v>0</v>
      </c>
      <c r="Q2099" s="481">
        <f t="shared" si="78"/>
        <v>-900</v>
      </c>
    </row>
    <row r="2100" spans="1:17" outlineLevel="2" x14ac:dyDescent="0.3">
      <c r="A2100" s="366" t="str">
        <f>IFERROR(VLOOKUP(RIGHT(E2100,3)+0,[1]SchLocTable!$A$2:$B$47,2,FALSE)," ")</f>
        <v>Physical Science HS</v>
      </c>
      <c r="B2100" s="366" t="str">
        <f>VLOOKUP(VALUE(D2100),$D$3:F$106,3,FALSE)</f>
        <v>Health</v>
      </c>
      <c r="C2100" t="s">
        <v>314</v>
      </c>
      <c r="D2100">
        <v>820</v>
      </c>
      <c r="E2100" t="s">
        <v>783</v>
      </c>
      <c r="F2100" t="s">
        <v>320</v>
      </c>
      <c r="G2100" t="s">
        <v>319</v>
      </c>
      <c r="H2100" s="502">
        <v>52360</v>
      </c>
      <c r="I2100" s="415">
        <v>1368.2946613700001</v>
      </c>
      <c r="J2100" s="415">
        <v>1106</v>
      </c>
      <c r="K2100" s="415">
        <v>1080.43</v>
      </c>
      <c r="L2100" s="415">
        <v>973.67</v>
      </c>
      <c r="M2100" s="415">
        <v>924.18</v>
      </c>
      <c r="N2100" s="415">
        <v>874.53</v>
      </c>
      <c r="O2100" s="415">
        <v>796.22</v>
      </c>
      <c r="P2100" s="415">
        <v>777.68</v>
      </c>
      <c r="Q2100" s="481">
        <f t="shared" si="78"/>
        <v>-262.29466137000009</v>
      </c>
    </row>
    <row r="2101" spans="1:17" outlineLevel="2" x14ac:dyDescent="0.3">
      <c r="A2101" s="366" t="str">
        <f>IFERROR(VLOOKUP(RIGHT(E2101,3)+0,[1]SchLocTable!$A$2:$B$47,2,FALSE)," ")</f>
        <v>Roosevelt</v>
      </c>
      <c r="B2101" s="366" t="str">
        <f>VLOOKUP(VALUE(D2101),$D$3:F$106,3,FALSE)</f>
        <v>Health</v>
      </c>
      <c r="C2101" t="s">
        <v>314</v>
      </c>
      <c r="D2101">
        <v>820</v>
      </c>
      <c r="E2101" t="s">
        <v>784</v>
      </c>
      <c r="F2101" t="s">
        <v>316</v>
      </c>
      <c r="G2101">
        <v>1</v>
      </c>
      <c r="H2101" s="502">
        <v>51000</v>
      </c>
      <c r="I2101" s="415">
        <v>110428.46490000001</v>
      </c>
      <c r="J2101" s="415">
        <v>105070</v>
      </c>
      <c r="K2101" s="415">
        <v>102757.98</v>
      </c>
      <c r="L2101" s="415">
        <v>100497.02</v>
      </c>
      <c r="M2101" s="415">
        <v>99011.9</v>
      </c>
      <c r="N2101" s="415">
        <v>0</v>
      </c>
      <c r="O2101" s="415">
        <v>0</v>
      </c>
      <c r="P2101" s="415">
        <v>0</v>
      </c>
      <c r="Q2101" s="481">
        <f t="shared" si="78"/>
        <v>-5358.4649000000063</v>
      </c>
    </row>
    <row r="2102" spans="1:17" outlineLevel="2" x14ac:dyDescent="0.3">
      <c r="A2102" s="366" t="str">
        <f>IFERROR(VLOOKUP(RIGHT(E2102,3)+0,[1]SchLocTable!$A$2:$B$47,2,FALSE)," ")</f>
        <v>Roosevelt</v>
      </c>
      <c r="B2102" s="366" t="str">
        <f>VLOOKUP(VALUE(D2102),$D$3:F$106,3,FALSE)</f>
        <v>Health</v>
      </c>
      <c r="C2102" t="s">
        <v>314</v>
      </c>
      <c r="D2102">
        <v>820</v>
      </c>
      <c r="E2102" t="s">
        <v>784</v>
      </c>
      <c r="F2102" t="s">
        <v>321</v>
      </c>
      <c r="G2102" t="s">
        <v>319</v>
      </c>
      <c r="H2102" s="502">
        <v>52917</v>
      </c>
      <c r="I2102" s="415">
        <v>46330.955999999998</v>
      </c>
      <c r="J2102" s="415">
        <v>38609.129999999997</v>
      </c>
      <c r="K2102" s="415">
        <v>35075.879999999997</v>
      </c>
      <c r="L2102" s="415">
        <v>34606.949999999997</v>
      </c>
      <c r="M2102" s="415">
        <v>32449.200000000001</v>
      </c>
      <c r="N2102" s="415">
        <v>0</v>
      </c>
      <c r="O2102" s="415">
        <v>0</v>
      </c>
      <c r="P2102" s="415">
        <v>0</v>
      </c>
      <c r="Q2102" s="481">
        <f t="shared" si="78"/>
        <v>-7721.8260000000009</v>
      </c>
    </row>
    <row r="2103" spans="1:17" outlineLevel="2" x14ac:dyDescent="0.3">
      <c r="A2103" s="366" t="str">
        <f>IFERROR(VLOOKUP(RIGHT(E2103,3)+0,[1]SchLocTable!$A$2:$B$47,2,FALSE)," ")</f>
        <v>Roosevelt</v>
      </c>
      <c r="B2103" s="366" t="str">
        <f>VLOOKUP(VALUE(D2103),$D$3:F$106,3,FALSE)</f>
        <v>Health</v>
      </c>
      <c r="C2103" t="s">
        <v>314</v>
      </c>
      <c r="D2103">
        <v>820</v>
      </c>
      <c r="E2103" t="s">
        <v>784</v>
      </c>
      <c r="F2103" t="s">
        <v>318</v>
      </c>
      <c r="G2103" t="s">
        <v>319</v>
      </c>
      <c r="H2103" s="502">
        <v>51140</v>
      </c>
      <c r="I2103" s="415">
        <v>1300</v>
      </c>
      <c r="J2103" s="415">
        <v>0</v>
      </c>
      <c r="K2103" s="415">
        <v>1200</v>
      </c>
      <c r="L2103" s="415">
        <v>1200</v>
      </c>
      <c r="M2103" s="415">
        <v>1200</v>
      </c>
      <c r="N2103" s="415">
        <v>0</v>
      </c>
      <c r="O2103" s="415">
        <v>0</v>
      </c>
      <c r="P2103" s="415">
        <v>0</v>
      </c>
      <c r="Q2103" s="481">
        <f t="shared" si="78"/>
        <v>-1300</v>
      </c>
    </row>
    <row r="2104" spans="1:17" outlineLevel="2" x14ac:dyDescent="0.3">
      <c r="A2104" s="366" t="str">
        <f>IFERROR(VLOOKUP(RIGHT(E2104,3)+0,[1]SchLocTable!$A$2:$B$47,2,FALSE)," ")</f>
        <v>Roosevelt</v>
      </c>
      <c r="B2104" s="366" t="str">
        <f>VLOOKUP(VALUE(D2104),$D$3:F$106,3,FALSE)</f>
        <v>Health</v>
      </c>
      <c r="C2104" t="s">
        <v>314</v>
      </c>
      <c r="D2104">
        <v>820</v>
      </c>
      <c r="E2104" t="s">
        <v>784</v>
      </c>
      <c r="F2104" t="s">
        <v>320</v>
      </c>
      <c r="G2104" t="s">
        <v>319</v>
      </c>
      <c r="H2104" s="502">
        <v>52360</v>
      </c>
      <c r="I2104" s="415">
        <v>1601.2127410500002</v>
      </c>
      <c r="J2104" s="415">
        <v>1333</v>
      </c>
      <c r="K2104" s="415">
        <v>1357.67</v>
      </c>
      <c r="L2104" s="415">
        <v>1331.36</v>
      </c>
      <c r="M2104" s="415">
        <v>1322.33</v>
      </c>
      <c r="N2104" s="415">
        <v>0</v>
      </c>
      <c r="O2104" s="415">
        <v>0</v>
      </c>
      <c r="P2104" s="415">
        <v>0</v>
      </c>
      <c r="Q2104" s="481">
        <f t="shared" si="78"/>
        <v>-268.2127410500002</v>
      </c>
    </row>
    <row r="2105" spans="1:17" outlineLevel="2" x14ac:dyDescent="0.3">
      <c r="A2105" s="366" t="str">
        <f>IFERROR(VLOOKUP(RIGHT(E2105,3)+0,[1]SchLocTable!$A$2:$B$47,2,FALSE)," ")</f>
        <v>Bassick HS</v>
      </c>
      <c r="B2105" s="366" t="str">
        <f>VLOOKUP(VALUE(D2105),$D$3:F$106,3,FALSE)</f>
        <v>Health</v>
      </c>
      <c r="C2105" t="s">
        <v>314</v>
      </c>
      <c r="D2105">
        <v>820</v>
      </c>
      <c r="E2105" t="s">
        <v>785</v>
      </c>
      <c r="F2105" t="s">
        <v>316</v>
      </c>
      <c r="G2105">
        <v>2</v>
      </c>
      <c r="H2105" s="502">
        <v>51000</v>
      </c>
      <c r="I2105" s="415">
        <v>183113.43881999998</v>
      </c>
      <c r="J2105" s="415">
        <v>174228</v>
      </c>
      <c r="K2105" s="415">
        <v>167593.92000000001</v>
      </c>
      <c r="L2105" s="415">
        <v>160410.9</v>
      </c>
      <c r="M2105" s="415">
        <v>155776.79</v>
      </c>
      <c r="N2105" s="415">
        <v>152170.98000000001</v>
      </c>
      <c r="O2105" s="415">
        <v>145220.88</v>
      </c>
      <c r="P2105" s="415">
        <v>145393.04</v>
      </c>
      <c r="Q2105" s="481">
        <f t="shared" si="78"/>
        <v>-8885.4388199999812</v>
      </c>
    </row>
    <row r="2106" spans="1:17" outlineLevel="2" x14ac:dyDescent="0.3">
      <c r="A2106" s="366" t="str">
        <f>IFERROR(VLOOKUP(RIGHT(E2106,3)+0,[1]SchLocTable!$A$2:$B$47,2,FALSE)," ")</f>
        <v>Bassick HS</v>
      </c>
      <c r="B2106" s="366" t="str">
        <f>VLOOKUP(VALUE(D2106),$D$3:F$106,3,FALSE)</f>
        <v>Health</v>
      </c>
      <c r="C2106" t="s">
        <v>314</v>
      </c>
      <c r="D2106">
        <v>820</v>
      </c>
      <c r="E2106" t="s">
        <v>785</v>
      </c>
      <c r="F2106" t="s">
        <v>321</v>
      </c>
      <c r="G2106" t="s">
        <v>319</v>
      </c>
      <c r="H2106" s="502">
        <v>52917</v>
      </c>
      <c r="I2106" s="415">
        <v>62489.195999999996</v>
      </c>
      <c r="J2106" s="415">
        <v>52074.33</v>
      </c>
      <c r="K2106" s="415">
        <v>47024.480000000003</v>
      </c>
      <c r="L2106" s="415">
        <v>46291.98</v>
      </c>
      <c r="M2106" s="415">
        <v>43405.74</v>
      </c>
      <c r="N2106" s="415">
        <v>40541.760000000002</v>
      </c>
      <c r="O2106" s="415">
        <v>37516.720000000001</v>
      </c>
      <c r="P2106" s="415">
        <v>36630.300000000003</v>
      </c>
      <c r="Q2106" s="481">
        <f t="shared" si="78"/>
        <v>-10414.865999999995</v>
      </c>
    </row>
    <row r="2107" spans="1:17" outlineLevel="2" x14ac:dyDescent="0.3">
      <c r="A2107" s="366" t="str">
        <f>IFERROR(VLOOKUP(RIGHT(E2107,3)+0,[1]SchLocTable!$A$2:$B$47,2,FALSE)," ")</f>
        <v>Bassick HS</v>
      </c>
      <c r="B2107" s="366" t="str">
        <f>VLOOKUP(VALUE(D2107),$D$3:F$106,3,FALSE)</f>
        <v>Health</v>
      </c>
      <c r="C2107" t="s">
        <v>314</v>
      </c>
      <c r="D2107">
        <v>820</v>
      </c>
      <c r="E2107" t="s">
        <v>785</v>
      </c>
      <c r="F2107" t="s">
        <v>318</v>
      </c>
      <c r="G2107" t="s">
        <v>319</v>
      </c>
      <c r="H2107" s="502">
        <v>51140</v>
      </c>
      <c r="I2107" s="415">
        <v>1200</v>
      </c>
      <c r="J2107" s="415">
        <v>0</v>
      </c>
      <c r="K2107" s="415">
        <v>1200</v>
      </c>
      <c r="L2107" s="415">
        <v>1200</v>
      </c>
      <c r="M2107" s="415">
        <v>1200</v>
      </c>
      <c r="N2107" s="415">
        <v>1200</v>
      </c>
      <c r="O2107" s="415">
        <v>1100</v>
      </c>
      <c r="P2107" s="415">
        <v>1100</v>
      </c>
      <c r="Q2107" s="481">
        <f t="shared" si="78"/>
        <v>-1200</v>
      </c>
    </row>
    <row r="2108" spans="1:17" outlineLevel="2" x14ac:dyDescent="0.3">
      <c r="A2108" s="366" t="str">
        <f>IFERROR(VLOOKUP(RIGHT(E2108,3)+0,[1]SchLocTable!$A$2:$B$47,2,FALSE)," ")</f>
        <v>Bassick HS</v>
      </c>
      <c r="B2108" s="366" t="str">
        <f>VLOOKUP(VALUE(D2108),$D$3:F$106,3,FALSE)</f>
        <v>Health</v>
      </c>
      <c r="C2108" t="s">
        <v>314</v>
      </c>
      <c r="D2108">
        <v>820</v>
      </c>
      <c r="E2108" t="s">
        <v>785</v>
      </c>
      <c r="F2108" t="s">
        <v>320</v>
      </c>
      <c r="G2108" t="s">
        <v>319</v>
      </c>
      <c r="H2108" s="502">
        <v>52360</v>
      </c>
      <c r="I2108" s="415">
        <v>2655.1448628899998</v>
      </c>
      <c r="J2108" s="415">
        <v>2264</v>
      </c>
      <c r="K2108" s="415">
        <v>2229.5500000000002</v>
      </c>
      <c r="L2108" s="415">
        <v>2134.25</v>
      </c>
      <c r="M2108" s="415">
        <v>2083.86</v>
      </c>
      <c r="N2108" s="415">
        <v>2065.59</v>
      </c>
      <c r="O2108" s="415">
        <v>1979.2</v>
      </c>
      <c r="P2108" s="415">
        <v>1986.98</v>
      </c>
      <c r="Q2108" s="481">
        <f t="shared" si="78"/>
        <v>-391.14486288999979</v>
      </c>
    </row>
    <row r="2109" spans="1:17" outlineLevel="2" x14ac:dyDescent="0.3">
      <c r="A2109" s="366" t="str">
        <f>IFERROR(VLOOKUP(RIGHT(E2109,3)+0,[1]SchLocTable!$A$2:$B$47,2,FALSE)," ")</f>
        <v>Central HS</v>
      </c>
      <c r="B2109" s="366" t="str">
        <f>VLOOKUP(VALUE(D2109),$D$3:F$106,3,FALSE)</f>
        <v>Health</v>
      </c>
      <c r="C2109" t="s">
        <v>314</v>
      </c>
      <c r="D2109">
        <v>820</v>
      </c>
      <c r="E2109" t="s">
        <v>786</v>
      </c>
      <c r="F2109" t="s">
        <v>316</v>
      </c>
      <c r="G2109">
        <v>1</v>
      </c>
      <c r="H2109" s="502">
        <v>51000</v>
      </c>
      <c r="I2109" s="415">
        <v>110428.46490000001</v>
      </c>
      <c r="J2109" s="415">
        <v>105070</v>
      </c>
      <c r="K2109" s="415">
        <v>98614.97</v>
      </c>
      <c r="L2109" s="415">
        <v>99764.27</v>
      </c>
      <c r="M2109" s="415">
        <v>111762.22</v>
      </c>
      <c r="N2109" s="415">
        <v>88564.06</v>
      </c>
      <c r="O2109" s="415">
        <v>87254.96</v>
      </c>
      <c r="P2109" s="415">
        <v>85881.12</v>
      </c>
      <c r="Q2109" s="481">
        <f t="shared" si="78"/>
        <v>-5358.4649000000063</v>
      </c>
    </row>
    <row r="2110" spans="1:17" outlineLevel="2" x14ac:dyDescent="0.3">
      <c r="A2110" s="366" t="str">
        <f>IFERROR(VLOOKUP(RIGHT(E2110,3)+0,[1]SchLocTable!$A$2:$B$47,2,FALSE)," ")</f>
        <v>Central HS</v>
      </c>
      <c r="B2110" s="366" t="str">
        <f>VLOOKUP(VALUE(D2110),$D$3:F$106,3,FALSE)</f>
        <v>Health</v>
      </c>
      <c r="C2110" t="s">
        <v>314</v>
      </c>
      <c r="D2110">
        <v>820</v>
      </c>
      <c r="E2110" t="s">
        <v>786</v>
      </c>
      <c r="F2110" t="s">
        <v>321</v>
      </c>
      <c r="G2110" t="s">
        <v>319</v>
      </c>
      <c r="H2110" s="502">
        <v>52917</v>
      </c>
      <c r="I2110" s="415">
        <v>46330.955999999998</v>
      </c>
      <c r="J2110" s="415">
        <v>38609.129999999997</v>
      </c>
      <c r="K2110" s="415">
        <v>35075.879999999997</v>
      </c>
      <c r="L2110" s="415">
        <v>34606.949999999997</v>
      </c>
      <c r="M2110" s="415">
        <v>32449.200000000001</v>
      </c>
      <c r="N2110" s="415">
        <v>30308.67</v>
      </c>
      <c r="O2110" s="415">
        <v>29077.5</v>
      </c>
      <c r="P2110" s="415">
        <v>27385.05</v>
      </c>
      <c r="Q2110" s="481">
        <f t="shared" si="78"/>
        <v>-7721.8260000000009</v>
      </c>
    </row>
    <row r="2111" spans="1:17" outlineLevel="2" x14ac:dyDescent="0.3">
      <c r="A2111" s="366" t="str">
        <f>IFERROR(VLOOKUP(RIGHT(E2111,3)+0,[1]SchLocTable!$A$2:$B$47,2,FALSE)," ")</f>
        <v>Central HS</v>
      </c>
      <c r="B2111" s="366" t="str">
        <f>VLOOKUP(VALUE(D2111),$D$3:F$106,3,FALSE)</f>
        <v>Health</v>
      </c>
      <c r="C2111" t="s">
        <v>314</v>
      </c>
      <c r="D2111">
        <v>820</v>
      </c>
      <c r="E2111" t="s">
        <v>786</v>
      </c>
      <c r="F2111" t="s">
        <v>318</v>
      </c>
      <c r="G2111" t="s">
        <v>319</v>
      </c>
      <c r="H2111" s="502">
        <v>51140</v>
      </c>
      <c r="I2111" s="415">
        <v>1100</v>
      </c>
      <c r="J2111" s="415">
        <v>0</v>
      </c>
      <c r="K2111" s="415">
        <v>900</v>
      </c>
      <c r="L2111" s="415">
        <v>900</v>
      </c>
      <c r="M2111" s="415">
        <v>900</v>
      </c>
      <c r="N2111" s="415">
        <v>900</v>
      </c>
      <c r="O2111" s="415">
        <v>900</v>
      </c>
      <c r="P2111" s="415">
        <v>900</v>
      </c>
      <c r="Q2111" s="481">
        <f t="shared" ref="Q2111:Q2174" si="79">J2111-I2111</f>
        <v>-1100</v>
      </c>
    </row>
    <row r="2112" spans="1:17" outlineLevel="2" x14ac:dyDescent="0.3">
      <c r="A2112" s="366" t="str">
        <f>IFERROR(VLOOKUP(RIGHT(E2112,3)+0,[1]SchLocTable!$A$2:$B$47,2,FALSE)," ")</f>
        <v>Central HS</v>
      </c>
      <c r="B2112" s="366" t="str">
        <f>VLOOKUP(VALUE(D2112),$D$3:F$106,3,FALSE)</f>
        <v>Health</v>
      </c>
      <c r="C2112" t="s">
        <v>314</v>
      </c>
      <c r="D2112">
        <v>820</v>
      </c>
      <c r="E2112" t="s">
        <v>786</v>
      </c>
      <c r="F2112" t="s">
        <v>320</v>
      </c>
      <c r="G2112" t="s">
        <v>319</v>
      </c>
      <c r="H2112" s="502">
        <v>52360</v>
      </c>
      <c r="I2112" s="415">
        <v>1601.2127410500002</v>
      </c>
      <c r="J2112" s="415">
        <v>1330</v>
      </c>
      <c r="K2112" s="415">
        <v>1353.33</v>
      </c>
      <c r="L2112" s="415">
        <v>1326.94</v>
      </c>
      <c r="M2112" s="415">
        <v>1485.46</v>
      </c>
      <c r="N2112" s="415">
        <v>1178.92</v>
      </c>
      <c r="O2112" s="415">
        <v>1167.82</v>
      </c>
      <c r="P2112" s="415">
        <v>1155.8</v>
      </c>
      <c r="Q2112" s="481">
        <f t="shared" si="79"/>
        <v>-271.2127410500002</v>
      </c>
    </row>
    <row r="2113" spans="1:17" outlineLevel="2" x14ac:dyDescent="0.3">
      <c r="A2113" s="366" t="str">
        <f>IFERROR(VLOOKUP(RIGHT(E2113,3)+0,[1]SchLocTable!$A$2:$B$47,2,FALSE)," ")</f>
        <v>Harding HS</v>
      </c>
      <c r="B2113" s="366" t="str">
        <f>VLOOKUP(VALUE(D2113),$D$3:F$106,3,FALSE)</f>
        <v>Health</v>
      </c>
      <c r="C2113" t="s">
        <v>314</v>
      </c>
      <c r="D2113">
        <v>820</v>
      </c>
      <c r="E2113" t="s">
        <v>787</v>
      </c>
      <c r="F2113" t="s">
        <v>316</v>
      </c>
      <c r="G2113">
        <v>2</v>
      </c>
      <c r="H2113" s="502">
        <v>51000</v>
      </c>
      <c r="I2113" s="415">
        <v>153239.31688</v>
      </c>
      <c r="J2113" s="415">
        <v>81793</v>
      </c>
      <c r="K2113" s="415">
        <v>125867.9</v>
      </c>
      <c r="L2113" s="415">
        <v>123481.92</v>
      </c>
      <c r="M2113" s="415">
        <v>150362.06</v>
      </c>
      <c r="N2113" s="415">
        <v>170772.37</v>
      </c>
      <c r="O2113" s="415">
        <v>107365.63</v>
      </c>
      <c r="P2113" s="415">
        <v>180474.95</v>
      </c>
      <c r="Q2113" s="481">
        <f t="shared" si="79"/>
        <v>-71446.316879999998</v>
      </c>
    </row>
    <row r="2114" spans="1:17" outlineLevel="2" x14ac:dyDescent="0.3">
      <c r="A2114" s="366" t="str">
        <f>IFERROR(VLOOKUP(RIGHT(E2114,3)+0,[1]SchLocTable!$A$2:$B$47,2,FALSE)," ")</f>
        <v>Harding HS</v>
      </c>
      <c r="B2114" s="366" t="str">
        <f>VLOOKUP(VALUE(D2114),$D$3:F$106,3,FALSE)</f>
        <v>Health</v>
      </c>
      <c r="C2114" t="s">
        <v>314</v>
      </c>
      <c r="D2114">
        <v>820</v>
      </c>
      <c r="E2114" t="s">
        <v>787</v>
      </c>
      <c r="F2114" t="s">
        <v>321</v>
      </c>
      <c r="G2114" t="s">
        <v>319</v>
      </c>
      <c r="H2114" s="502">
        <v>52917</v>
      </c>
      <c r="I2114" s="415">
        <v>46330.955999999998</v>
      </c>
      <c r="J2114" s="415">
        <v>38609.129999999997</v>
      </c>
      <c r="K2114" s="415">
        <v>35075.879999999997</v>
      </c>
      <c r="L2114" s="415">
        <v>34439.79</v>
      </c>
      <c r="M2114" s="415">
        <v>38140.86</v>
      </c>
      <c r="N2114" s="415">
        <v>37537.17</v>
      </c>
      <c r="O2114" s="415">
        <v>2165.34</v>
      </c>
      <c r="P2114" s="415">
        <v>10141.74</v>
      </c>
      <c r="Q2114" s="481">
        <f t="shared" si="79"/>
        <v>-7721.8260000000009</v>
      </c>
    </row>
    <row r="2115" spans="1:17" outlineLevel="2" x14ac:dyDescent="0.3">
      <c r="A2115" s="366" t="str">
        <f>IFERROR(VLOOKUP(RIGHT(E2115,3)+0,[1]SchLocTable!$A$2:$B$47,2,FALSE)," ")</f>
        <v>Harding HS</v>
      </c>
      <c r="B2115" s="366" t="str">
        <f>VLOOKUP(VALUE(D2115),$D$3:F$106,3,FALSE)</f>
        <v>Health</v>
      </c>
      <c r="C2115" t="s">
        <v>314</v>
      </c>
      <c r="D2115">
        <v>820</v>
      </c>
      <c r="E2115" t="s">
        <v>787</v>
      </c>
      <c r="F2115" t="s">
        <v>320</v>
      </c>
      <c r="G2115" t="s">
        <v>319</v>
      </c>
      <c r="H2115" s="502">
        <v>52360</v>
      </c>
      <c r="I2115" s="415">
        <v>2221.9700947599999</v>
      </c>
      <c r="J2115" s="415">
        <v>977</v>
      </c>
      <c r="K2115" s="415">
        <v>1675.37</v>
      </c>
      <c r="L2115" s="415">
        <v>1647.63</v>
      </c>
      <c r="M2115" s="415">
        <v>2026.49</v>
      </c>
      <c r="N2115" s="415">
        <v>2329.5500000000002</v>
      </c>
      <c r="O2115" s="415">
        <v>1754.58</v>
      </c>
      <c r="P2115" s="415">
        <v>2615.62</v>
      </c>
      <c r="Q2115" s="481">
        <f t="shared" si="79"/>
        <v>-1244.9700947599999</v>
      </c>
    </row>
    <row r="2116" spans="1:17" outlineLevel="2" x14ac:dyDescent="0.3">
      <c r="A2116" s="366" t="str">
        <f>IFERROR(VLOOKUP(RIGHT(E2116,3)+0,[1]SchLocTable!$A$2:$B$47,2,FALSE)," ")</f>
        <v>Harding HS</v>
      </c>
      <c r="B2116" s="366" t="str">
        <f>VLOOKUP(VALUE(D2116),$D$3:F$106,3,FALSE)</f>
        <v>Health</v>
      </c>
      <c r="C2116" t="s">
        <v>314</v>
      </c>
      <c r="D2116">
        <v>820</v>
      </c>
      <c r="E2116" t="s">
        <v>787</v>
      </c>
      <c r="F2116" t="s">
        <v>324</v>
      </c>
      <c r="G2116" t="s">
        <v>319</v>
      </c>
      <c r="H2116" s="502">
        <v>52385</v>
      </c>
      <c r="I2116" s="415">
        <v>8201.0499999999993</v>
      </c>
      <c r="J2116" s="415">
        <v>3286</v>
      </c>
      <c r="K2116" s="415">
        <v>2844.25</v>
      </c>
      <c r="L2116" s="415">
        <v>2805.5</v>
      </c>
      <c r="M2116" s="415">
        <v>2797.75</v>
      </c>
      <c r="N2116" s="415">
        <v>2590.0500000000002</v>
      </c>
      <c r="O2116" s="415">
        <v>0</v>
      </c>
      <c r="P2116" s="415">
        <v>0</v>
      </c>
      <c r="Q2116" s="481">
        <f t="shared" si="79"/>
        <v>-4915.0499999999993</v>
      </c>
    </row>
    <row r="2117" spans="1:17" outlineLevel="2" x14ac:dyDescent="0.3">
      <c r="A2117" s="366" t="str">
        <f>IFERROR(VLOOKUP(RIGHT(E2117,3)+0,[1]SchLocTable!$A$2:$B$47,2,FALSE)," ")</f>
        <v xml:space="preserve"> </v>
      </c>
      <c r="B2117" s="366" t="str">
        <f>VLOOKUP(VALUE(D2117),$D$3:F$106,3,FALSE)</f>
        <v>Technology Education</v>
      </c>
      <c r="C2117" t="s">
        <v>314</v>
      </c>
      <c r="D2117">
        <v>822</v>
      </c>
      <c r="E2117" t="s">
        <v>788</v>
      </c>
      <c r="F2117" t="s">
        <v>791</v>
      </c>
      <c r="G2117" t="s">
        <v>319</v>
      </c>
      <c r="H2117" s="502">
        <v>55035</v>
      </c>
      <c r="I2117" s="415">
        <v>5259.18</v>
      </c>
      <c r="J2117" s="415">
        <v>5106</v>
      </c>
      <c r="K2117" s="415">
        <v>4795.5</v>
      </c>
      <c r="L2117" s="415">
        <v>4301.38</v>
      </c>
      <c r="M2117" s="415">
        <v>4692.51</v>
      </c>
      <c r="N2117" s="415">
        <v>7452.3</v>
      </c>
      <c r="O2117" s="415">
        <v>5308.09</v>
      </c>
      <c r="P2117" s="415">
        <v>5105.3100000000004</v>
      </c>
      <c r="Q2117" s="481">
        <f t="shared" si="79"/>
        <v>-153.18000000000029</v>
      </c>
    </row>
    <row r="2118" spans="1:17" outlineLevel="2" x14ac:dyDescent="0.3">
      <c r="A2118" s="366" t="str">
        <f>IFERROR(VLOOKUP(RIGHT(E2118,3)+0,[1]SchLocTable!$A$2:$B$47,2,FALSE)," ")</f>
        <v xml:space="preserve"> </v>
      </c>
      <c r="B2118" s="366" t="str">
        <f>VLOOKUP(VALUE(D2118),$D$3:F$106,3,FALSE)</f>
        <v>Technology Education</v>
      </c>
      <c r="C2118" t="s">
        <v>314</v>
      </c>
      <c r="D2118">
        <v>822</v>
      </c>
      <c r="E2118" t="s">
        <v>788</v>
      </c>
      <c r="F2118" t="s">
        <v>789</v>
      </c>
      <c r="G2118" t="s">
        <v>319</v>
      </c>
      <c r="H2118" s="502">
        <v>54540</v>
      </c>
      <c r="I2118" s="415">
        <v>4799.8</v>
      </c>
      <c r="J2118" s="415">
        <v>4660</v>
      </c>
      <c r="K2118" s="415">
        <v>4693.1400000000003</v>
      </c>
      <c r="L2118" s="415">
        <v>2168.7600000000002</v>
      </c>
      <c r="M2118" s="415">
        <v>3042.21</v>
      </c>
      <c r="N2118" s="415">
        <v>2407.96</v>
      </c>
      <c r="O2118" s="415">
        <v>4662.57</v>
      </c>
      <c r="P2118" s="415">
        <v>4291.7700000000004</v>
      </c>
      <c r="Q2118" s="481">
        <f t="shared" si="79"/>
        <v>-139.80000000000018</v>
      </c>
    </row>
    <row r="2119" spans="1:17" outlineLevel="2" x14ac:dyDescent="0.3">
      <c r="A2119" s="366" t="str">
        <f>IFERROR(VLOOKUP(RIGHT(E2119,3)+0,[1]SchLocTable!$A$2:$B$47,2,FALSE)," ")</f>
        <v xml:space="preserve"> </v>
      </c>
      <c r="B2119" s="366" t="str">
        <f>VLOOKUP(VALUE(D2119),$D$3:F$106,3,FALSE)</f>
        <v>Technology Education</v>
      </c>
      <c r="C2119" t="s">
        <v>314</v>
      </c>
      <c r="D2119">
        <v>822</v>
      </c>
      <c r="E2119" t="s">
        <v>788</v>
      </c>
      <c r="F2119" t="s">
        <v>790</v>
      </c>
      <c r="G2119" t="s">
        <v>319</v>
      </c>
      <c r="H2119" s="502">
        <v>54640</v>
      </c>
      <c r="I2119" s="415">
        <v>2199.0500000000002</v>
      </c>
      <c r="J2119" s="415">
        <v>2135</v>
      </c>
      <c r="K2119" s="415">
        <v>1906.93</v>
      </c>
      <c r="L2119" s="415">
        <v>3920.88</v>
      </c>
      <c r="M2119" s="415">
        <v>1870.93</v>
      </c>
      <c r="N2119" s="415">
        <v>0</v>
      </c>
      <c r="O2119" s="415">
        <v>859.8</v>
      </c>
      <c r="P2119" s="415">
        <v>1690.42</v>
      </c>
      <c r="Q2119" s="481">
        <f t="shared" si="79"/>
        <v>-64.050000000000182</v>
      </c>
    </row>
    <row r="2120" spans="1:17" outlineLevel="2" x14ac:dyDescent="0.3">
      <c r="A2120" s="366" t="str">
        <f>IFERROR(VLOOKUP(RIGHT(E2120,3)+0,[1]SchLocTable!$A$2:$B$47,2,FALSE)," ")</f>
        <v xml:space="preserve"> </v>
      </c>
      <c r="B2120" s="366" t="str">
        <f>VLOOKUP(VALUE(D2120),$D$3:F$106,3,FALSE)</f>
        <v>Technology Education</v>
      </c>
      <c r="C2120" t="s">
        <v>314</v>
      </c>
      <c r="D2120">
        <v>822</v>
      </c>
      <c r="E2120" t="s">
        <v>788</v>
      </c>
      <c r="F2120" t="s">
        <v>458</v>
      </c>
      <c r="G2120" t="s">
        <v>319</v>
      </c>
      <c r="H2120" s="502">
        <v>54675</v>
      </c>
      <c r="I2120" s="415">
        <v>77.25</v>
      </c>
      <c r="J2120" s="415">
        <v>75</v>
      </c>
      <c r="K2120" s="415">
        <v>0</v>
      </c>
      <c r="L2120" s="415">
        <v>72.56</v>
      </c>
      <c r="M2120" s="415">
        <v>67.87</v>
      </c>
      <c r="N2120" s="415">
        <v>0</v>
      </c>
      <c r="O2120" s="415">
        <v>74.23</v>
      </c>
      <c r="P2120" s="415">
        <v>0</v>
      </c>
      <c r="Q2120" s="481">
        <f t="shared" si="79"/>
        <v>-2.25</v>
      </c>
    </row>
    <row r="2121" spans="1:17" outlineLevel="2" x14ac:dyDescent="0.3">
      <c r="A2121" s="366" t="str">
        <f>IFERROR(VLOOKUP(RIGHT(E2121,3)+0,[1]SchLocTable!$A$2:$B$47,2,FALSE)," ")</f>
        <v xml:space="preserve"> </v>
      </c>
      <c r="B2121" s="366" t="str">
        <f>VLOOKUP(VALUE(D2121),$D$3:F$106,3,FALSE)</f>
        <v>Technology Education</v>
      </c>
      <c r="C2121" t="s">
        <v>314</v>
      </c>
      <c r="D2121">
        <v>822</v>
      </c>
      <c r="E2121" t="s">
        <v>788</v>
      </c>
      <c r="F2121" t="s">
        <v>464</v>
      </c>
      <c r="G2121" t="s">
        <v>319</v>
      </c>
      <c r="H2121" s="502">
        <v>56180</v>
      </c>
      <c r="I2121" s="415">
        <v>0</v>
      </c>
      <c r="J2121" s="415">
        <v>0</v>
      </c>
      <c r="K2121" s="415">
        <v>305</v>
      </c>
      <c r="L2121" s="415">
        <v>275</v>
      </c>
      <c r="M2121" s="415">
        <v>0</v>
      </c>
      <c r="N2121" s="415">
        <v>0</v>
      </c>
      <c r="O2121" s="415">
        <v>0</v>
      </c>
      <c r="P2121" s="415">
        <v>0</v>
      </c>
      <c r="Q2121" s="481">
        <f t="shared" si="79"/>
        <v>0</v>
      </c>
    </row>
    <row r="2122" spans="1:17" outlineLevel="2" x14ac:dyDescent="0.3">
      <c r="A2122" s="366" t="str">
        <f>IFERROR(VLOOKUP(RIGHT(E2122,3)+0,[1]SchLocTable!$A$2:$B$47,2,FALSE)," ")</f>
        <v xml:space="preserve"> </v>
      </c>
      <c r="B2122" s="366" t="str">
        <f>VLOOKUP(VALUE(D2122),$D$3:F$106,3,FALSE)</f>
        <v>Technology Education</v>
      </c>
      <c r="C2122" t="s">
        <v>314</v>
      </c>
      <c r="D2122">
        <v>822</v>
      </c>
      <c r="E2122" t="s">
        <v>788</v>
      </c>
      <c r="F2122" t="s">
        <v>457</v>
      </c>
      <c r="G2122" t="s">
        <v>319</v>
      </c>
      <c r="H2122" s="502">
        <v>54580</v>
      </c>
      <c r="I2122" s="415">
        <v>6365.4000000000005</v>
      </c>
      <c r="J2122" s="415">
        <v>6180</v>
      </c>
      <c r="K2122" s="415">
        <v>5827.34</v>
      </c>
      <c r="L2122" s="415">
        <v>6451.98</v>
      </c>
      <c r="M2122" s="415">
        <v>3274.49</v>
      </c>
      <c r="N2122" s="415">
        <v>7448.37</v>
      </c>
      <c r="O2122" s="415">
        <v>6077.23</v>
      </c>
      <c r="P2122" s="415">
        <v>6906.15</v>
      </c>
      <c r="Q2122" s="481">
        <f t="shared" si="79"/>
        <v>-185.40000000000055</v>
      </c>
    </row>
    <row r="2123" spans="1:17" outlineLevel="2" x14ac:dyDescent="0.3">
      <c r="A2123" s="366" t="str">
        <f>IFERROR(VLOOKUP(RIGHT(E2123,3)+0,[1]SchLocTable!$A$2:$B$47,2,FALSE)," ")</f>
        <v>Physical Science HS</v>
      </c>
      <c r="B2123" s="366" t="str">
        <f>VLOOKUP(VALUE(D2123),$D$3:F$106,3,FALSE)</f>
        <v>Technology Education</v>
      </c>
      <c r="C2123" t="s">
        <v>314</v>
      </c>
      <c r="D2123">
        <v>822</v>
      </c>
      <c r="E2123" t="s">
        <v>792</v>
      </c>
      <c r="F2123" t="s">
        <v>316</v>
      </c>
      <c r="G2123">
        <v>1</v>
      </c>
      <c r="H2123" s="502">
        <v>51000</v>
      </c>
      <c r="I2123" s="415">
        <v>68142.572939999998</v>
      </c>
      <c r="J2123" s="415">
        <v>64836</v>
      </c>
      <c r="K2123" s="415">
        <v>60512.92</v>
      </c>
      <c r="L2123" s="415">
        <v>56917.9</v>
      </c>
      <c r="M2123" s="415">
        <v>54622.62</v>
      </c>
      <c r="N2123" s="415">
        <v>0</v>
      </c>
      <c r="O2123" s="415">
        <v>0</v>
      </c>
      <c r="P2123" s="415">
        <v>0</v>
      </c>
      <c r="Q2123" s="481">
        <f t="shared" si="79"/>
        <v>-3306.5729399999982</v>
      </c>
    </row>
    <row r="2124" spans="1:17" outlineLevel="2" x14ac:dyDescent="0.3">
      <c r="A2124" s="366" t="str">
        <f>IFERROR(VLOOKUP(RIGHT(E2124,3)+0,[1]SchLocTable!$A$2:$B$47,2,FALSE)," ")</f>
        <v>Physical Science HS</v>
      </c>
      <c r="B2124" s="366" t="str">
        <f>VLOOKUP(VALUE(D2124),$D$3:F$106,3,FALSE)</f>
        <v>Technology Education</v>
      </c>
      <c r="C2124" t="s">
        <v>314</v>
      </c>
      <c r="D2124">
        <v>822</v>
      </c>
      <c r="E2124" t="s">
        <v>792</v>
      </c>
      <c r="F2124" t="s">
        <v>321</v>
      </c>
      <c r="G2124" t="s">
        <v>319</v>
      </c>
      <c r="H2124" s="502">
        <v>52917</v>
      </c>
      <c r="I2124" s="415">
        <v>46330.955999999998</v>
      </c>
      <c r="J2124" s="415">
        <v>38609.129999999997</v>
      </c>
      <c r="K2124" s="415">
        <v>35075.879999999997</v>
      </c>
      <c r="L2124" s="415">
        <v>34606.949999999997</v>
      </c>
      <c r="M2124" s="415">
        <v>24723.200000000001</v>
      </c>
      <c r="N2124" s="415">
        <v>0</v>
      </c>
      <c r="O2124" s="415">
        <v>0</v>
      </c>
      <c r="P2124" s="415">
        <v>0</v>
      </c>
      <c r="Q2124" s="481">
        <f t="shared" si="79"/>
        <v>-7721.8260000000009</v>
      </c>
    </row>
    <row r="2125" spans="1:17" outlineLevel="2" x14ac:dyDescent="0.3">
      <c r="A2125" s="366" t="str">
        <f>IFERROR(VLOOKUP(RIGHT(E2125,3)+0,[1]SchLocTable!$A$2:$B$47,2,FALSE)," ")</f>
        <v>Physical Science HS</v>
      </c>
      <c r="B2125" s="366" t="str">
        <f>VLOOKUP(VALUE(D2125),$D$3:F$106,3,FALSE)</f>
        <v>Technology Education</v>
      </c>
      <c r="C2125" t="s">
        <v>314</v>
      </c>
      <c r="D2125">
        <v>822</v>
      </c>
      <c r="E2125" t="s">
        <v>792</v>
      </c>
      <c r="F2125" t="s">
        <v>320</v>
      </c>
      <c r="G2125" t="s">
        <v>319</v>
      </c>
      <c r="H2125" s="502">
        <v>52360</v>
      </c>
      <c r="I2125" s="415">
        <v>988.06730763000007</v>
      </c>
      <c r="J2125" s="415">
        <v>731</v>
      </c>
      <c r="K2125" s="415">
        <v>727.72</v>
      </c>
      <c r="L2125" s="415">
        <v>682.01</v>
      </c>
      <c r="M2125" s="415">
        <v>692.42</v>
      </c>
      <c r="N2125" s="415">
        <v>0</v>
      </c>
      <c r="O2125" s="415">
        <v>0</v>
      </c>
      <c r="P2125" s="415">
        <v>0</v>
      </c>
      <c r="Q2125" s="481">
        <f t="shared" si="79"/>
        <v>-257.06730763000007</v>
      </c>
    </row>
    <row r="2126" spans="1:17" outlineLevel="2" x14ac:dyDescent="0.3">
      <c r="A2126" s="366" t="str">
        <f>IFERROR(VLOOKUP(RIGHT(E2126,3)+0,[1]SchLocTable!$A$2:$B$47,2,FALSE)," ")</f>
        <v>Physical Science HS</v>
      </c>
      <c r="B2126" s="366" t="str">
        <f>VLOOKUP(VALUE(D2126),$D$3:F$106,3,FALSE)</f>
        <v>Technology Education</v>
      </c>
      <c r="C2126" t="s">
        <v>314</v>
      </c>
      <c r="D2126">
        <v>822</v>
      </c>
      <c r="E2126" t="s">
        <v>792</v>
      </c>
      <c r="F2126" t="s">
        <v>324</v>
      </c>
      <c r="G2126" t="s">
        <v>319</v>
      </c>
      <c r="H2126" s="502">
        <v>52385</v>
      </c>
      <c r="I2126" s="415">
        <v>0</v>
      </c>
      <c r="J2126" s="415">
        <v>0</v>
      </c>
      <c r="K2126" s="415">
        <v>0</v>
      </c>
      <c r="L2126" s="415">
        <v>0</v>
      </c>
      <c r="M2126" s="415">
        <v>434</v>
      </c>
      <c r="N2126" s="415">
        <v>0</v>
      </c>
      <c r="O2126" s="415">
        <v>0</v>
      </c>
      <c r="P2126" s="415">
        <v>0</v>
      </c>
      <c r="Q2126" s="481">
        <f t="shared" si="79"/>
        <v>0</v>
      </c>
    </row>
    <row r="2127" spans="1:17" outlineLevel="2" x14ac:dyDescent="0.3">
      <c r="A2127" s="366" t="str">
        <f>IFERROR(VLOOKUP(RIGHT(E2127,3)+0,[1]SchLocTable!$A$2:$B$47,2,FALSE)," ")</f>
        <v>Info Tech HS</v>
      </c>
      <c r="B2127" s="366" t="str">
        <f>VLOOKUP(VALUE(D2127),$D$3:F$106,3,FALSE)</f>
        <v>Technology Education</v>
      </c>
      <c r="C2127" t="s">
        <v>314</v>
      </c>
      <c r="D2127">
        <v>822</v>
      </c>
      <c r="E2127" t="s">
        <v>793</v>
      </c>
      <c r="F2127" t="s">
        <v>316</v>
      </c>
      <c r="G2127">
        <v>1</v>
      </c>
      <c r="H2127" s="502">
        <v>51000</v>
      </c>
      <c r="I2127" s="415">
        <v>110428.46490000001</v>
      </c>
      <c r="J2127" s="415">
        <v>105070</v>
      </c>
      <c r="K2127" s="415">
        <v>102757.98</v>
      </c>
      <c r="L2127" s="415">
        <v>93223</v>
      </c>
      <c r="M2127" s="415">
        <v>70897.119999999995</v>
      </c>
      <c r="N2127" s="415">
        <v>0</v>
      </c>
      <c r="O2127" s="415">
        <v>0</v>
      </c>
      <c r="P2127" s="415">
        <v>0</v>
      </c>
      <c r="Q2127" s="481">
        <f t="shared" si="79"/>
        <v>-5358.4649000000063</v>
      </c>
    </row>
    <row r="2128" spans="1:17" outlineLevel="2" x14ac:dyDescent="0.3">
      <c r="A2128" s="366" t="str">
        <f>IFERROR(VLOOKUP(RIGHT(E2128,3)+0,[1]SchLocTable!$A$2:$B$47,2,FALSE)," ")</f>
        <v>Info Tech HS</v>
      </c>
      <c r="B2128" s="366" t="str">
        <f>VLOOKUP(VALUE(D2128),$D$3:F$106,3,FALSE)</f>
        <v>Technology Education</v>
      </c>
      <c r="C2128" t="s">
        <v>314</v>
      </c>
      <c r="D2128">
        <v>822</v>
      </c>
      <c r="E2128" t="s">
        <v>793</v>
      </c>
      <c r="F2128" t="s">
        <v>320</v>
      </c>
      <c r="G2128" t="s">
        <v>319</v>
      </c>
      <c r="H2128" s="502">
        <v>52360</v>
      </c>
      <c r="I2128" s="415">
        <v>1601.2127410500002</v>
      </c>
      <c r="J2128" s="415">
        <v>1524</v>
      </c>
      <c r="K2128" s="415">
        <v>1489.98</v>
      </c>
      <c r="L2128" s="415">
        <v>1351.74</v>
      </c>
      <c r="M2128" s="415">
        <v>1289.01</v>
      </c>
      <c r="N2128" s="415">
        <v>0</v>
      </c>
      <c r="O2128" s="415">
        <v>0</v>
      </c>
      <c r="P2128" s="415">
        <v>0</v>
      </c>
      <c r="Q2128" s="481">
        <f t="shared" si="79"/>
        <v>-77.212741050000204</v>
      </c>
    </row>
    <row r="2129" spans="1:17" outlineLevel="2" x14ac:dyDescent="0.3">
      <c r="A2129" s="366" t="str">
        <f>IFERROR(VLOOKUP(RIGHT(E2129,3)+0,[1]SchLocTable!$A$2:$B$47,2,FALSE)," ")</f>
        <v>Bassick HS</v>
      </c>
      <c r="B2129" s="366" t="str">
        <f>VLOOKUP(VALUE(D2129),$D$3:F$106,3,FALSE)</f>
        <v>Technology Education</v>
      </c>
      <c r="C2129" t="s">
        <v>314</v>
      </c>
      <c r="D2129">
        <v>822</v>
      </c>
      <c r="E2129" t="s">
        <v>794</v>
      </c>
      <c r="F2129" t="s">
        <v>316</v>
      </c>
      <c r="G2129">
        <v>1.4</v>
      </c>
      <c r="H2129" s="502">
        <v>51000</v>
      </c>
      <c r="I2129" s="415">
        <v>238750.43601999996</v>
      </c>
      <c r="J2129" s="415">
        <v>226035.23</v>
      </c>
      <c r="K2129" s="415">
        <v>217877.46</v>
      </c>
      <c r="L2129" s="415">
        <v>236884.05</v>
      </c>
      <c r="M2129" s="415">
        <v>226900.7</v>
      </c>
      <c r="N2129" s="415">
        <v>183643.99</v>
      </c>
      <c r="O2129" s="415">
        <v>183361.88</v>
      </c>
      <c r="P2129" s="415">
        <v>180475.1</v>
      </c>
      <c r="Q2129" s="481">
        <f t="shared" si="79"/>
        <v>-12715.206019999954</v>
      </c>
    </row>
    <row r="2130" spans="1:17" outlineLevel="2" x14ac:dyDescent="0.3">
      <c r="A2130" s="366" t="str">
        <f>IFERROR(VLOOKUP(RIGHT(E2130,3)+0,[1]SchLocTable!$A$2:$B$47,2,FALSE)," ")</f>
        <v>Bassick HS</v>
      </c>
      <c r="B2130" s="366" t="str">
        <f>VLOOKUP(VALUE(D2130),$D$3:F$106,3,FALSE)</f>
        <v>Technology Education</v>
      </c>
      <c r="C2130" t="s">
        <v>314</v>
      </c>
      <c r="D2130">
        <v>822</v>
      </c>
      <c r="E2130" t="s">
        <v>794</v>
      </c>
      <c r="F2130" t="s">
        <v>321</v>
      </c>
      <c r="G2130" t="s">
        <v>319</v>
      </c>
      <c r="H2130" s="502">
        <v>52917</v>
      </c>
      <c r="I2130" s="415">
        <v>53288.927999999993</v>
      </c>
      <c r="J2130" s="415">
        <v>44407.44</v>
      </c>
      <c r="K2130" s="415">
        <v>40322.1</v>
      </c>
      <c r="L2130" s="415">
        <v>45023.03</v>
      </c>
      <c r="M2130" s="415">
        <v>37292.22</v>
      </c>
      <c r="N2130" s="415">
        <v>46200.78</v>
      </c>
      <c r="O2130" s="415">
        <v>47162.14</v>
      </c>
      <c r="P2130" s="415">
        <v>44372.58</v>
      </c>
      <c r="Q2130" s="481">
        <f t="shared" si="79"/>
        <v>-8881.4879999999903</v>
      </c>
    </row>
    <row r="2131" spans="1:17" outlineLevel="2" x14ac:dyDescent="0.3">
      <c r="A2131" s="366" t="str">
        <f>IFERROR(VLOOKUP(RIGHT(E2131,3)+0,[1]SchLocTable!$A$2:$B$47,2,FALSE)," ")</f>
        <v>Bassick HS</v>
      </c>
      <c r="B2131" s="366" t="str">
        <f>VLOOKUP(VALUE(D2131),$D$3:F$106,3,FALSE)</f>
        <v>Technology Education</v>
      </c>
      <c r="C2131" t="s">
        <v>314</v>
      </c>
      <c r="D2131">
        <v>822</v>
      </c>
      <c r="E2131" t="s">
        <v>794</v>
      </c>
      <c r="F2131" t="s">
        <v>318</v>
      </c>
      <c r="G2131" t="s">
        <v>319</v>
      </c>
      <c r="H2131" s="502">
        <v>51140</v>
      </c>
      <c r="I2131" s="415">
        <v>1300</v>
      </c>
      <c r="J2131" s="415">
        <v>0</v>
      </c>
      <c r="K2131" s="415">
        <v>1300</v>
      </c>
      <c r="L2131" s="415">
        <v>1300</v>
      </c>
      <c r="M2131" s="415">
        <v>1300</v>
      </c>
      <c r="N2131" s="415">
        <v>1300</v>
      </c>
      <c r="O2131" s="415">
        <v>3700</v>
      </c>
      <c r="P2131" s="415">
        <v>2500</v>
      </c>
      <c r="Q2131" s="481">
        <f t="shared" si="79"/>
        <v>-1300</v>
      </c>
    </row>
    <row r="2132" spans="1:17" outlineLevel="2" x14ac:dyDescent="0.3">
      <c r="A2132" s="366" t="str">
        <f>IFERROR(VLOOKUP(RIGHT(E2132,3)+0,[1]SchLocTable!$A$2:$B$47,2,FALSE)," ")</f>
        <v>Bassick HS</v>
      </c>
      <c r="B2132" s="366" t="str">
        <f>VLOOKUP(VALUE(D2132),$D$3:F$106,3,FALSE)</f>
        <v>Technology Education</v>
      </c>
      <c r="C2132" t="s">
        <v>314</v>
      </c>
      <c r="D2132">
        <v>822</v>
      </c>
      <c r="E2132" t="s">
        <v>794</v>
      </c>
      <c r="F2132" t="s">
        <v>320</v>
      </c>
      <c r="G2132" t="s">
        <v>319</v>
      </c>
      <c r="H2132" s="502">
        <v>52360</v>
      </c>
      <c r="I2132" s="415">
        <v>3461.8813222899998</v>
      </c>
      <c r="J2132" s="415">
        <v>3105</v>
      </c>
      <c r="K2132" s="415">
        <v>2987.51</v>
      </c>
      <c r="L2132" s="415">
        <v>3249.47</v>
      </c>
      <c r="M2132" s="415">
        <v>3566.17</v>
      </c>
      <c r="N2132" s="415">
        <v>2500.6799999999998</v>
      </c>
      <c r="O2132" s="415">
        <v>2697.74</v>
      </c>
      <c r="P2132" s="415">
        <v>2486.14</v>
      </c>
      <c r="Q2132" s="481">
        <f t="shared" si="79"/>
        <v>-356.88132228999984</v>
      </c>
    </row>
    <row r="2133" spans="1:17" outlineLevel="2" x14ac:dyDescent="0.3">
      <c r="A2133" s="366" t="str">
        <f>IFERROR(VLOOKUP(RIGHT(E2133,3)+0,[1]SchLocTable!$A$2:$B$47,2,FALSE)," ")</f>
        <v>Bassick HS</v>
      </c>
      <c r="B2133" s="366" t="str">
        <f>VLOOKUP(VALUE(D2133),$D$3:F$106,3,FALSE)</f>
        <v>Technology Education</v>
      </c>
      <c r="C2133" t="s">
        <v>314</v>
      </c>
      <c r="D2133">
        <v>822</v>
      </c>
      <c r="E2133" t="s">
        <v>794</v>
      </c>
      <c r="F2133" t="s">
        <v>324</v>
      </c>
      <c r="G2133" t="s">
        <v>319</v>
      </c>
      <c r="H2133" s="502">
        <v>52385</v>
      </c>
      <c r="I2133" s="415">
        <v>0</v>
      </c>
      <c r="J2133" s="415">
        <v>0</v>
      </c>
      <c r="K2133" s="415">
        <v>0</v>
      </c>
      <c r="L2133" s="415">
        <v>1027.31</v>
      </c>
      <c r="M2133" s="415">
        <v>0</v>
      </c>
      <c r="N2133" s="415">
        <v>0</v>
      </c>
      <c r="O2133" s="415">
        <v>0</v>
      </c>
      <c r="P2133" s="415">
        <v>0</v>
      </c>
      <c r="Q2133" s="481">
        <f t="shared" si="79"/>
        <v>0</v>
      </c>
    </row>
    <row r="2134" spans="1:17" outlineLevel="2" x14ac:dyDescent="0.3">
      <c r="A2134" s="366" t="str">
        <f>IFERROR(VLOOKUP(RIGHT(E2134,3)+0,[1]SchLocTable!$A$2:$B$47,2,FALSE)," ")</f>
        <v>Central HS</v>
      </c>
      <c r="B2134" s="366" t="str">
        <f>VLOOKUP(VALUE(D2134),$D$3:F$106,3,FALSE)</f>
        <v>Technology Education</v>
      </c>
      <c r="C2134" t="s">
        <v>314</v>
      </c>
      <c r="D2134">
        <v>822</v>
      </c>
      <c r="E2134" t="s">
        <v>795</v>
      </c>
      <c r="F2134" t="s">
        <v>316</v>
      </c>
      <c r="G2134">
        <v>1</v>
      </c>
      <c r="H2134" s="502">
        <v>51000</v>
      </c>
      <c r="I2134" s="415">
        <v>110428.49642999998</v>
      </c>
      <c r="J2134" s="415">
        <v>105070</v>
      </c>
      <c r="K2134" s="415">
        <v>102757.98</v>
      </c>
      <c r="L2134" s="415">
        <v>100497.02</v>
      </c>
      <c r="M2134" s="415">
        <v>99011.9</v>
      </c>
      <c r="N2134" s="415">
        <v>97548.88</v>
      </c>
      <c r="O2134" s="415">
        <v>0</v>
      </c>
      <c r="P2134" s="415">
        <v>93576.84</v>
      </c>
      <c r="Q2134" s="481">
        <f t="shared" si="79"/>
        <v>-5358.4964299999847</v>
      </c>
    </row>
    <row r="2135" spans="1:17" outlineLevel="2" x14ac:dyDescent="0.3">
      <c r="A2135" s="366" t="str">
        <f>IFERROR(VLOOKUP(RIGHT(E2135,3)+0,[1]SchLocTable!$A$2:$B$47,2,FALSE)," ")</f>
        <v>Central HS</v>
      </c>
      <c r="B2135" s="366" t="str">
        <f>VLOOKUP(VALUE(D2135),$D$3:F$106,3,FALSE)</f>
        <v>Technology Education</v>
      </c>
      <c r="C2135" t="s">
        <v>314</v>
      </c>
      <c r="D2135">
        <v>822</v>
      </c>
      <c r="E2135" t="s">
        <v>795</v>
      </c>
      <c r="F2135" t="s">
        <v>321</v>
      </c>
      <c r="G2135" t="s">
        <v>319</v>
      </c>
      <c r="H2135" s="502">
        <v>52917</v>
      </c>
      <c r="I2135" s="415">
        <v>46330.955999999998</v>
      </c>
      <c r="J2135" s="415">
        <v>38609.129999999997</v>
      </c>
      <c r="K2135" s="415">
        <v>35075.879999999997</v>
      </c>
      <c r="L2135" s="415">
        <v>34606.949999999997</v>
      </c>
      <c r="M2135" s="415">
        <v>32449.200000000001</v>
      </c>
      <c r="N2135" s="415">
        <v>30308.67</v>
      </c>
      <c r="O2135" s="415">
        <v>0</v>
      </c>
      <c r="P2135" s="415">
        <v>27385.05</v>
      </c>
      <c r="Q2135" s="481">
        <f t="shared" si="79"/>
        <v>-7721.8260000000009</v>
      </c>
    </row>
    <row r="2136" spans="1:17" outlineLevel="2" x14ac:dyDescent="0.3">
      <c r="A2136" s="366" t="str">
        <f>IFERROR(VLOOKUP(RIGHT(E2136,3)+0,[1]SchLocTable!$A$2:$B$47,2,FALSE)," ")</f>
        <v>Central HS</v>
      </c>
      <c r="B2136" s="366" t="str">
        <f>VLOOKUP(VALUE(D2136),$D$3:F$106,3,FALSE)</f>
        <v>Technology Education</v>
      </c>
      <c r="C2136" t="s">
        <v>314</v>
      </c>
      <c r="D2136">
        <v>822</v>
      </c>
      <c r="E2136" t="s">
        <v>795</v>
      </c>
      <c r="F2136" t="s">
        <v>320</v>
      </c>
      <c r="G2136" t="s">
        <v>319</v>
      </c>
      <c r="H2136" s="502">
        <v>52360</v>
      </c>
      <c r="I2136" s="415">
        <v>1601.2131982349999</v>
      </c>
      <c r="J2136" s="415">
        <v>1314</v>
      </c>
      <c r="K2136" s="415">
        <v>1340.27</v>
      </c>
      <c r="L2136" s="415">
        <v>1313.9</v>
      </c>
      <c r="M2136" s="415">
        <v>1304.93</v>
      </c>
      <c r="N2136" s="415">
        <v>1296.1099999999999</v>
      </c>
      <c r="O2136" s="415">
        <v>0</v>
      </c>
      <c r="P2136" s="415">
        <v>1273.18</v>
      </c>
      <c r="Q2136" s="481">
        <f t="shared" si="79"/>
        <v>-287.21319823499994</v>
      </c>
    </row>
    <row r="2137" spans="1:17" outlineLevel="2" x14ac:dyDescent="0.3">
      <c r="A2137" s="366" t="str">
        <f>IFERROR(VLOOKUP(RIGHT(E2137,3)+0,[1]SchLocTable!$A$2:$B$47,2,FALSE)," ")</f>
        <v>Harding HS</v>
      </c>
      <c r="B2137" s="366" t="str">
        <f>VLOOKUP(VALUE(D2137),$D$3:F$106,3,FALSE)</f>
        <v>Technology Education</v>
      </c>
      <c r="C2137" t="s">
        <v>314</v>
      </c>
      <c r="D2137">
        <v>822</v>
      </c>
      <c r="E2137" t="s">
        <v>796</v>
      </c>
      <c r="F2137" t="s">
        <v>316</v>
      </c>
      <c r="G2137">
        <v>1</v>
      </c>
      <c r="H2137" s="502">
        <v>51000</v>
      </c>
      <c r="I2137" s="415">
        <v>100258.00096</v>
      </c>
      <c r="J2137" s="415">
        <v>95393</v>
      </c>
      <c r="K2137" s="415">
        <v>93293.98</v>
      </c>
      <c r="L2137" s="415">
        <v>103604.68</v>
      </c>
      <c r="M2137" s="415">
        <v>41844.61</v>
      </c>
      <c r="N2137" s="415">
        <v>131234.03</v>
      </c>
      <c r="O2137" s="415">
        <v>151100.04</v>
      </c>
      <c r="P2137" s="415">
        <v>148721.14000000001</v>
      </c>
      <c r="Q2137" s="481">
        <f t="shared" si="79"/>
        <v>-4865.0009600000049</v>
      </c>
    </row>
    <row r="2138" spans="1:17" outlineLevel="2" x14ac:dyDescent="0.3">
      <c r="A2138" s="366" t="str">
        <f>IFERROR(VLOOKUP(RIGHT(E2138,3)+0,[1]SchLocTable!$A$2:$B$47,2,FALSE)," ")</f>
        <v>Harding HS</v>
      </c>
      <c r="B2138" s="366" t="str">
        <f>VLOOKUP(VALUE(D2138),$D$3:F$106,3,FALSE)</f>
        <v>Technology Education</v>
      </c>
      <c r="C2138" t="s">
        <v>314</v>
      </c>
      <c r="D2138">
        <v>822</v>
      </c>
      <c r="E2138" t="s">
        <v>796</v>
      </c>
      <c r="F2138" t="s">
        <v>321</v>
      </c>
      <c r="G2138" t="s">
        <v>319</v>
      </c>
      <c r="H2138" s="502">
        <v>52917</v>
      </c>
      <c r="I2138" s="415">
        <v>46330.955999999998</v>
      </c>
      <c r="J2138" s="415">
        <v>38609.129999999997</v>
      </c>
      <c r="K2138" s="415">
        <v>35075.879999999997</v>
      </c>
      <c r="L2138" s="415">
        <v>34606.949999999997</v>
      </c>
      <c r="M2138" s="415">
        <v>17120.82</v>
      </c>
      <c r="N2138" s="415">
        <v>30308.67</v>
      </c>
      <c r="O2138" s="415">
        <v>29077.5</v>
      </c>
      <c r="P2138" s="415">
        <v>1344.42</v>
      </c>
      <c r="Q2138" s="481">
        <f t="shared" si="79"/>
        <v>-7721.8260000000009</v>
      </c>
    </row>
    <row r="2139" spans="1:17" outlineLevel="2" x14ac:dyDescent="0.3">
      <c r="A2139" s="366" t="str">
        <f>IFERROR(VLOOKUP(RIGHT(E2139,3)+0,[1]SchLocTable!$A$2:$B$47,2,FALSE)," ")</f>
        <v>Harding HS</v>
      </c>
      <c r="B2139" s="366" t="str">
        <f>VLOOKUP(VALUE(D2139),$D$3:F$106,3,FALSE)</f>
        <v>Technology Education</v>
      </c>
      <c r="C2139" t="s">
        <v>314</v>
      </c>
      <c r="D2139">
        <v>822</v>
      </c>
      <c r="E2139" t="s">
        <v>796</v>
      </c>
      <c r="F2139" t="s">
        <v>320</v>
      </c>
      <c r="G2139" t="s">
        <v>319</v>
      </c>
      <c r="H2139" s="502">
        <v>52360</v>
      </c>
      <c r="I2139" s="415">
        <v>1453.7410139200001</v>
      </c>
      <c r="J2139" s="415">
        <v>1174</v>
      </c>
      <c r="K2139" s="415">
        <v>1203.05</v>
      </c>
      <c r="L2139" s="415">
        <v>2052.87</v>
      </c>
      <c r="M2139" s="415">
        <v>476.02</v>
      </c>
      <c r="N2139" s="415">
        <v>1784.57</v>
      </c>
      <c r="O2139" s="415">
        <v>2080.5300000000002</v>
      </c>
      <c r="P2139" s="415">
        <v>2154.29</v>
      </c>
      <c r="Q2139" s="481">
        <f t="shared" si="79"/>
        <v>-279.74101392000011</v>
      </c>
    </row>
    <row r="2140" spans="1:17" outlineLevel="2" x14ac:dyDescent="0.3">
      <c r="A2140" s="366" t="str">
        <f>IFERROR(VLOOKUP(RIGHT(E2140,3)+0,[1]SchLocTable!$A$2:$B$47,2,FALSE)," ")</f>
        <v>Harding HS</v>
      </c>
      <c r="B2140" s="366" t="str">
        <f>VLOOKUP(VALUE(D2140),$D$3:F$106,3,FALSE)</f>
        <v>Technology Education</v>
      </c>
      <c r="C2140" t="s">
        <v>314</v>
      </c>
      <c r="D2140">
        <v>822</v>
      </c>
      <c r="E2140" t="s">
        <v>796</v>
      </c>
      <c r="F2140" t="s">
        <v>324</v>
      </c>
      <c r="G2140" t="s">
        <v>319</v>
      </c>
      <c r="H2140" s="502">
        <v>52385</v>
      </c>
      <c r="I2140" s="415">
        <v>0</v>
      </c>
      <c r="J2140" s="415">
        <v>0</v>
      </c>
      <c r="K2140" s="415">
        <v>0</v>
      </c>
      <c r="L2140" s="415">
        <v>620</v>
      </c>
      <c r="M2140" s="415">
        <v>0</v>
      </c>
      <c r="N2140" s="415">
        <v>1100.5</v>
      </c>
      <c r="O2140" s="415">
        <v>0</v>
      </c>
      <c r="P2140" s="415">
        <v>0</v>
      </c>
      <c r="Q2140" s="481">
        <f t="shared" si="79"/>
        <v>0</v>
      </c>
    </row>
    <row r="2141" spans="1:17" outlineLevel="2" x14ac:dyDescent="0.3">
      <c r="A2141" s="366" t="str">
        <f>IFERROR(VLOOKUP(RIGHT(E2141,3)+0,[1]SchLocTable!$A$2:$B$47,2,FALSE)," ")</f>
        <v xml:space="preserve"> </v>
      </c>
      <c r="B2141" s="366" t="str">
        <f>VLOOKUP(VALUE(D2141),$D$3:F$106,3,FALSE)</f>
        <v>Business Education</v>
      </c>
      <c r="C2141" t="s">
        <v>314</v>
      </c>
      <c r="D2141">
        <v>823</v>
      </c>
      <c r="E2141" t="s">
        <v>797</v>
      </c>
      <c r="F2141" t="s">
        <v>316</v>
      </c>
      <c r="G2141">
        <v>1</v>
      </c>
      <c r="H2141" s="502">
        <v>51000</v>
      </c>
      <c r="I2141" s="415">
        <v>0</v>
      </c>
      <c r="J2141" s="415">
        <v>0</v>
      </c>
      <c r="K2141" s="415">
        <v>0</v>
      </c>
      <c r="L2141" s="415">
        <v>0</v>
      </c>
      <c r="M2141" s="415">
        <v>0</v>
      </c>
      <c r="N2141" s="415">
        <v>0</v>
      </c>
      <c r="O2141" s="415">
        <v>0</v>
      </c>
      <c r="P2141" s="415">
        <v>0</v>
      </c>
      <c r="Q2141" s="481">
        <f t="shared" si="79"/>
        <v>0</v>
      </c>
    </row>
    <row r="2142" spans="1:17" outlineLevel="2" x14ac:dyDescent="0.3">
      <c r="A2142" s="366" t="str">
        <f>IFERROR(VLOOKUP(RIGHT(E2142,3)+0,[1]SchLocTable!$A$2:$B$47,2,FALSE)," ")</f>
        <v xml:space="preserve"> </v>
      </c>
      <c r="B2142" s="366" t="str">
        <f>VLOOKUP(VALUE(D2142),$D$3:F$106,3,FALSE)</f>
        <v>Business Education</v>
      </c>
      <c r="C2142" t="s">
        <v>314</v>
      </c>
      <c r="D2142">
        <v>823</v>
      </c>
      <c r="E2142" t="s">
        <v>797</v>
      </c>
      <c r="F2142" t="s">
        <v>321</v>
      </c>
      <c r="G2142" t="s">
        <v>319</v>
      </c>
      <c r="H2142" s="502">
        <v>52917</v>
      </c>
      <c r="I2142" s="415">
        <v>0</v>
      </c>
      <c r="J2142" s="415">
        <v>0</v>
      </c>
      <c r="K2142" s="415">
        <v>0</v>
      </c>
      <c r="L2142" s="415">
        <v>0</v>
      </c>
      <c r="M2142" s="415">
        <v>0</v>
      </c>
      <c r="N2142" s="415">
        <v>0</v>
      </c>
      <c r="O2142" s="415">
        <v>0</v>
      </c>
      <c r="P2142" s="415">
        <v>0</v>
      </c>
      <c r="Q2142" s="481">
        <f t="shared" si="79"/>
        <v>0</v>
      </c>
    </row>
    <row r="2143" spans="1:17" outlineLevel="2" x14ac:dyDescent="0.3">
      <c r="A2143" s="366" t="str">
        <f>IFERROR(VLOOKUP(RIGHT(E2143,3)+0,[1]SchLocTable!$A$2:$B$47,2,FALSE)," ")</f>
        <v xml:space="preserve"> </v>
      </c>
      <c r="B2143" s="366" t="str">
        <f>VLOOKUP(VALUE(D2143),$D$3:F$106,3,FALSE)</f>
        <v>Business Education</v>
      </c>
      <c r="C2143" t="s">
        <v>314</v>
      </c>
      <c r="D2143">
        <v>823</v>
      </c>
      <c r="E2143" t="s">
        <v>797</v>
      </c>
      <c r="F2143" t="s">
        <v>318</v>
      </c>
      <c r="G2143" t="s">
        <v>319</v>
      </c>
      <c r="H2143" s="502">
        <v>51140</v>
      </c>
      <c r="I2143" s="415">
        <v>0</v>
      </c>
      <c r="J2143" s="415">
        <v>0</v>
      </c>
      <c r="K2143" s="415">
        <v>0</v>
      </c>
      <c r="L2143" s="415">
        <v>1100</v>
      </c>
      <c r="M2143" s="415">
        <v>2200</v>
      </c>
      <c r="N2143" s="415">
        <v>0</v>
      </c>
      <c r="O2143" s="415">
        <v>0</v>
      </c>
      <c r="P2143" s="415">
        <v>0</v>
      </c>
      <c r="Q2143" s="481">
        <f t="shared" si="79"/>
        <v>0</v>
      </c>
    </row>
    <row r="2144" spans="1:17" outlineLevel="2" x14ac:dyDescent="0.3">
      <c r="A2144" s="366" t="str">
        <f>IFERROR(VLOOKUP(RIGHT(E2144,3)+0,[1]SchLocTable!$A$2:$B$47,2,FALSE)," ")</f>
        <v xml:space="preserve"> </v>
      </c>
      <c r="B2144" s="366" t="str">
        <f>VLOOKUP(VALUE(D2144),$D$3:F$106,3,FALSE)</f>
        <v>Business Education</v>
      </c>
      <c r="C2144" t="s">
        <v>314</v>
      </c>
      <c r="D2144">
        <v>823</v>
      </c>
      <c r="E2144" t="s">
        <v>797</v>
      </c>
      <c r="F2144" t="s">
        <v>320</v>
      </c>
      <c r="G2144" t="s">
        <v>319</v>
      </c>
      <c r="H2144" s="502">
        <v>52360</v>
      </c>
      <c r="I2144" s="415">
        <v>0</v>
      </c>
      <c r="J2144" s="415">
        <v>0</v>
      </c>
      <c r="K2144" s="415">
        <v>0</v>
      </c>
      <c r="L2144" s="415">
        <v>15.95</v>
      </c>
      <c r="M2144" s="415">
        <v>0</v>
      </c>
      <c r="N2144" s="415">
        <v>0</v>
      </c>
      <c r="O2144" s="415">
        <v>0</v>
      </c>
      <c r="P2144" s="415">
        <v>0</v>
      </c>
      <c r="Q2144" s="481">
        <f t="shared" si="79"/>
        <v>0</v>
      </c>
    </row>
    <row r="2145" spans="1:17" outlineLevel="2" x14ac:dyDescent="0.3">
      <c r="A2145" s="366" t="str">
        <f>IFERROR(VLOOKUP(RIGHT(E2145,3)+0,[1]SchLocTable!$A$2:$B$47,2,FALSE)," ")</f>
        <v>Info Tech HS</v>
      </c>
      <c r="B2145" s="366" t="str">
        <f>VLOOKUP(VALUE(D2145),$D$3:F$106,3,FALSE)</f>
        <v>Business Education</v>
      </c>
      <c r="C2145" t="s">
        <v>314</v>
      </c>
      <c r="D2145">
        <v>823</v>
      </c>
      <c r="E2145" t="s">
        <v>798</v>
      </c>
      <c r="F2145" t="s">
        <v>316</v>
      </c>
      <c r="G2145" t="s">
        <v>319</v>
      </c>
      <c r="H2145" s="502">
        <v>51000</v>
      </c>
      <c r="I2145" s="415">
        <v>0</v>
      </c>
      <c r="J2145" s="415">
        <v>0</v>
      </c>
      <c r="K2145" s="415">
        <v>43000</v>
      </c>
      <c r="L2145" s="415">
        <v>44625</v>
      </c>
      <c r="M2145" s="415">
        <v>0</v>
      </c>
      <c r="N2145" s="415">
        <v>0</v>
      </c>
      <c r="O2145" s="415">
        <v>0</v>
      </c>
      <c r="P2145" s="415">
        <v>0</v>
      </c>
      <c r="Q2145" s="481">
        <f t="shared" si="79"/>
        <v>0</v>
      </c>
    </row>
    <row r="2146" spans="1:17" outlineLevel="2" x14ac:dyDescent="0.3">
      <c r="A2146" s="366" t="str">
        <f>IFERROR(VLOOKUP(RIGHT(E2146,3)+0,[1]SchLocTable!$A$2:$B$47,2,FALSE)," ")</f>
        <v>Info Tech HS</v>
      </c>
      <c r="B2146" s="366" t="str">
        <f>VLOOKUP(VALUE(D2146),$D$3:F$106,3,FALSE)</f>
        <v>Business Education</v>
      </c>
      <c r="C2146" t="s">
        <v>314</v>
      </c>
      <c r="D2146">
        <v>823</v>
      </c>
      <c r="E2146" t="s">
        <v>798</v>
      </c>
      <c r="F2146" t="s">
        <v>321</v>
      </c>
      <c r="G2146" t="s">
        <v>319</v>
      </c>
      <c r="H2146" s="502">
        <v>52917</v>
      </c>
      <c r="I2146" s="415">
        <v>0</v>
      </c>
      <c r="J2146" s="415">
        <v>0</v>
      </c>
      <c r="K2146" s="415">
        <v>16420.39</v>
      </c>
      <c r="L2146" s="415">
        <v>11636.52</v>
      </c>
      <c r="M2146" s="415">
        <v>0</v>
      </c>
      <c r="N2146" s="415">
        <v>0</v>
      </c>
      <c r="O2146" s="415">
        <v>0</v>
      </c>
      <c r="P2146" s="415">
        <v>0</v>
      </c>
      <c r="Q2146" s="481">
        <f t="shared" si="79"/>
        <v>0</v>
      </c>
    </row>
    <row r="2147" spans="1:17" outlineLevel="2" x14ac:dyDescent="0.3">
      <c r="A2147" s="366" t="str">
        <f>IFERROR(VLOOKUP(RIGHT(E2147,3)+0,[1]SchLocTable!$A$2:$B$47,2,FALSE)," ")</f>
        <v>Info Tech HS</v>
      </c>
      <c r="B2147" s="366" t="str">
        <f>VLOOKUP(VALUE(D2147),$D$3:F$106,3,FALSE)</f>
        <v>Business Education</v>
      </c>
      <c r="C2147" t="s">
        <v>314</v>
      </c>
      <c r="D2147">
        <v>823</v>
      </c>
      <c r="E2147" t="s">
        <v>798</v>
      </c>
      <c r="F2147" t="s">
        <v>320</v>
      </c>
      <c r="G2147" t="s">
        <v>319</v>
      </c>
      <c r="H2147" s="502">
        <v>52360</v>
      </c>
      <c r="I2147" s="415">
        <v>0</v>
      </c>
      <c r="J2147" s="415">
        <v>0</v>
      </c>
      <c r="K2147" s="415">
        <v>553.47</v>
      </c>
      <c r="L2147" s="415">
        <v>598.91</v>
      </c>
      <c r="M2147" s="415">
        <v>0</v>
      </c>
      <c r="N2147" s="415">
        <v>0</v>
      </c>
      <c r="O2147" s="415">
        <v>0</v>
      </c>
      <c r="P2147" s="415">
        <v>0</v>
      </c>
      <c r="Q2147" s="481">
        <f t="shared" si="79"/>
        <v>0</v>
      </c>
    </row>
    <row r="2148" spans="1:17" outlineLevel="2" x14ac:dyDescent="0.3">
      <c r="A2148" s="366" t="str">
        <f>IFERROR(VLOOKUP(RIGHT(E2148,3)+0,[1]SchLocTable!$A$2:$B$47,2,FALSE)," ")</f>
        <v>Info Tech HS</v>
      </c>
      <c r="B2148" s="366" t="str">
        <f>VLOOKUP(VALUE(D2148),$D$3:F$106,3,FALSE)</f>
        <v>Business Education</v>
      </c>
      <c r="C2148" t="s">
        <v>314</v>
      </c>
      <c r="D2148">
        <v>823</v>
      </c>
      <c r="E2148" t="s">
        <v>798</v>
      </c>
      <c r="F2148" t="s">
        <v>324</v>
      </c>
      <c r="G2148" t="s">
        <v>319</v>
      </c>
      <c r="H2148" s="502">
        <v>52385</v>
      </c>
      <c r="I2148" s="415">
        <v>0</v>
      </c>
      <c r="J2148" s="415">
        <v>0</v>
      </c>
      <c r="K2148" s="415">
        <v>2366.58</v>
      </c>
      <c r="L2148" s="415">
        <v>2560.84</v>
      </c>
      <c r="M2148" s="415">
        <v>0</v>
      </c>
      <c r="N2148" s="415">
        <v>0</v>
      </c>
      <c r="O2148" s="415">
        <v>0</v>
      </c>
      <c r="P2148" s="415">
        <v>0</v>
      </c>
      <c r="Q2148" s="481">
        <f t="shared" si="79"/>
        <v>0</v>
      </c>
    </row>
    <row r="2149" spans="1:17" outlineLevel="2" x14ac:dyDescent="0.3">
      <c r="A2149" s="366" t="str">
        <f>IFERROR(VLOOKUP(RIGHT(E2149,3)+0,[1]SchLocTable!$A$2:$B$47,2,FALSE)," ")</f>
        <v>BMA HS</v>
      </c>
      <c r="B2149" s="366" t="str">
        <f>VLOOKUP(VALUE(D2149),$D$3:F$106,3,FALSE)</f>
        <v>Business Education</v>
      </c>
      <c r="C2149" t="s">
        <v>314</v>
      </c>
      <c r="D2149">
        <v>823</v>
      </c>
      <c r="E2149" t="s">
        <v>799</v>
      </c>
      <c r="F2149" t="s">
        <v>316</v>
      </c>
      <c r="G2149">
        <v>1</v>
      </c>
      <c r="H2149" s="502">
        <v>51000</v>
      </c>
      <c r="I2149" s="415">
        <v>57068.164919999996</v>
      </c>
      <c r="J2149" s="415">
        <v>54299</v>
      </c>
      <c r="K2149" s="415">
        <v>52562.12</v>
      </c>
      <c r="L2149" s="415">
        <v>49779.360000000001</v>
      </c>
      <c r="M2149" s="415">
        <v>0</v>
      </c>
      <c r="N2149" s="415">
        <v>0</v>
      </c>
      <c r="O2149" s="415">
        <v>0</v>
      </c>
      <c r="P2149" s="415">
        <v>0</v>
      </c>
      <c r="Q2149" s="481">
        <f t="shared" si="79"/>
        <v>-2769.1649199999956</v>
      </c>
    </row>
    <row r="2150" spans="1:17" outlineLevel="2" x14ac:dyDescent="0.3">
      <c r="A2150" s="366" t="str">
        <f>IFERROR(VLOOKUP(RIGHT(E2150,3)+0,[1]SchLocTable!$A$2:$B$47,2,FALSE)," ")</f>
        <v>BMA HS</v>
      </c>
      <c r="B2150" s="366" t="str">
        <f>VLOOKUP(VALUE(D2150),$D$3:F$106,3,FALSE)</f>
        <v>Business Education</v>
      </c>
      <c r="C2150" t="s">
        <v>314</v>
      </c>
      <c r="D2150">
        <v>823</v>
      </c>
      <c r="E2150" t="s">
        <v>799</v>
      </c>
      <c r="F2150" t="s">
        <v>321</v>
      </c>
      <c r="G2150" t="s">
        <v>319</v>
      </c>
      <c r="H2150" s="502">
        <v>52917</v>
      </c>
      <c r="I2150" s="415">
        <v>15644.663999999999</v>
      </c>
      <c r="J2150" s="415">
        <v>13037.22</v>
      </c>
      <c r="K2150" s="415">
        <v>11844</v>
      </c>
      <c r="L2150" s="415">
        <v>0</v>
      </c>
      <c r="M2150" s="415">
        <v>0</v>
      </c>
      <c r="N2150" s="415">
        <v>0</v>
      </c>
      <c r="O2150" s="415">
        <v>0</v>
      </c>
      <c r="P2150" s="415">
        <v>0</v>
      </c>
      <c r="Q2150" s="481">
        <f t="shared" si="79"/>
        <v>-2607.4439999999995</v>
      </c>
    </row>
    <row r="2151" spans="1:17" outlineLevel="2" x14ac:dyDescent="0.3">
      <c r="A2151" s="366" t="str">
        <f>IFERROR(VLOOKUP(RIGHT(E2151,3)+0,[1]SchLocTable!$A$2:$B$47,2,FALSE)," ")</f>
        <v>BMA HS</v>
      </c>
      <c r="B2151" s="366" t="str">
        <f>VLOOKUP(VALUE(D2151),$D$3:F$106,3,FALSE)</f>
        <v>Business Education</v>
      </c>
      <c r="C2151" t="s">
        <v>314</v>
      </c>
      <c r="D2151">
        <v>823</v>
      </c>
      <c r="E2151" t="s">
        <v>799</v>
      </c>
      <c r="F2151" t="s">
        <v>320</v>
      </c>
      <c r="G2151" t="s">
        <v>319</v>
      </c>
      <c r="H2151" s="502">
        <v>52360</v>
      </c>
      <c r="I2151" s="415">
        <v>827.48839134000002</v>
      </c>
      <c r="J2151" s="415">
        <v>717</v>
      </c>
      <c r="K2151" s="415">
        <v>711.59</v>
      </c>
      <c r="L2151" s="415">
        <v>721.81</v>
      </c>
      <c r="M2151" s="415">
        <v>0</v>
      </c>
      <c r="N2151" s="415">
        <v>0</v>
      </c>
      <c r="O2151" s="415">
        <v>0</v>
      </c>
      <c r="P2151" s="415">
        <v>0</v>
      </c>
      <c r="Q2151" s="481">
        <f t="shared" si="79"/>
        <v>-110.48839134000002</v>
      </c>
    </row>
    <row r="2152" spans="1:17" outlineLevel="2" x14ac:dyDescent="0.3">
      <c r="A2152" s="366" t="str">
        <f>IFERROR(VLOOKUP(RIGHT(E2152,3)+0,[1]SchLocTable!$A$2:$B$47,2,FALSE)," ")</f>
        <v>BMA HS</v>
      </c>
      <c r="B2152" s="366" t="str">
        <f>VLOOKUP(VALUE(D2152),$D$3:F$106,3,FALSE)</f>
        <v>Business Education</v>
      </c>
      <c r="C2152" t="s">
        <v>314</v>
      </c>
      <c r="D2152">
        <v>823</v>
      </c>
      <c r="E2152" t="s">
        <v>799</v>
      </c>
      <c r="F2152" t="s">
        <v>324</v>
      </c>
      <c r="G2152" t="s">
        <v>319</v>
      </c>
      <c r="H2152" s="502">
        <v>52385</v>
      </c>
      <c r="I2152" s="415">
        <v>0</v>
      </c>
      <c r="J2152" s="415">
        <v>0</v>
      </c>
      <c r="K2152" s="415">
        <v>0</v>
      </c>
      <c r="L2152" s="415">
        <v>1348.5</v>
      </c>
      <c r="M2152" s="415">
        <v>0</v>
      </c>
      <c r="N2152" s="415">
        <v>0</v>
      </c>
      <c r="O2152" s="415">
        <v>0</v>
      </c>
      <c r="P2152" s="415">
        <v>0</v>
      </c>
      <c r="Q2152" s="481">
        <f t="shared" si="79"/>
        <v>0</v>
      </c>
    </row>
    <row r="2153" spans="1:17" outlineLevel="2" x14ac:dyDescent="0.3">
      <c r="A2153" s="366" t="str">
        <f>IFERROR(VLOOKUP(RIGHT(E2153,3)+0,[1]SchLocTable!$A$2:$B$47,2,FALSE)," ")</f>
        <v>Bassick HS</v>
      </c>
      <c r="B2153" s="366" t="str">
        <f>VLOOKUP(VALUE(D2153),$D$3:F$106,3,FALSE)</f>
        <v>Business Education</v>
      </c>
      <c r="C2153" t="s">
        <v>314</v>
      </c>
      <c r="D2153">
        <v>823</v>
      </c>
      <c r="E2153" t="s">
        <v>800</v>
      </c>
      <c r="F2153" t="s">
        <v>316</v>
      </c>
      <c r="G2153">
        <v>1</v>
      </c>
      <c r="H2153" s="502">
        <v>51000</v>
      </c>
      <c r="I2153" s="415">
        <v>67275</v>
      </c>
      <c r="J2153" s="415">
        <v>55375</v>
      </c>
      <c r="K2153" s="415">
        <v>63971.96</v>
      </c>
      <c r="L2153" s="415">
        <v>100497.02</v>
      </c>
      <c r="M2153" s="415">
        <v>98343.95</v>
      </c>
      <c r="N2153" s="415">
        <v>97548.99</v>
      </c>
      <c r="O2153" s="415">
        <v>96106.92</v>
      </c>
      <c r="P2153" s="415">
        <v>94593.98</v>
      </c>
      <c r="Q2153" s="481">
        <f t="shared" si="79"/>
        <v>-11900</v>
      </c>
    </row>
    <row r="2154" spans="1:17" outlineLevel="2" x14ac:dyDescent="0.3">
      <c r="A2154" s="366" t="str">
        <f>IFERROR(VLOOKUP(RIGHT(E2154,3)+0,[1]SchLocTable!$A$2:$B$47,2,FALSE)," ")</f>
        <v>Bassick HS</v>
      </c>
      <c r="B2154" s="366" t="str">
        <f>VLOOKUP(VALUE(D2154),$D$3:F$106,3,FALSE)</f>
        <v>Business Education</v>
      </c>
      <c r="C2154" t="s">
        <v>314</v>
      </c>
      <c r="D2154">
        <v>823</v>
      </c>
      <c r="E2154" t="s">
        <v>800</v>
      </c>
      <c r="F2154" t="s">
        <v>321</v>
      </c>
      <c r="G2154" t="s">
        <v>319</v>
      </c>
      <c r="H2154" s="502">
        <v>52917</v>
      </c>
      <c r="I2154" s="415">
        <v>46266.791999999994</v>
      </c>
      <c r="J2154" s="415">
        <v>16070</v>
      </c>
      <c r="K2154" s="415">
        <v>11844</v>
      </c>
      <c r="L2154" s="415">
        <v>12164.67</v>
      </c>
      <c r="M2154" s="415">
        <v>14393.94</v>
      </c>
      <c r="N2154" s="415">
        <v>10232.879999999999</v>
      </c>
      <c r="O2154" s="415">
        <v>9817.68</v>
      </c>
      <c r="P2154" s="415">
        <v>9245.67</v>
      </c>
      <c r="Q2154" s="481">
        <f t="shared" si="79"/>
        <v>-30196.791999999994</v>
      </c>
    </row>
    <row r="2155" spans="1:17" outlineLevel="2" x14ac:dyDescent="0.3">
      <c r="A2155" s="366" t="str">
        <f>IFERROR(VLOOKUP(RIGHT(E2155,3)+0,[1]SchLocTable!$A$2:$B$47,2,FALSE)," ")</f>
        <v>Bassick HS</v>
      </c>
      <c r="B2155" s="366" t="str">
        <f>VLOOKUP(VALUE(D2155),$D$3:F$106,3,FALSE)</f>
        <v>Business Education</v>
      </c>
      <c r="C2155" t="s">
        <v>314</v>
      </c>
      <c r="D2155">
        <v>823</v>
      </c>
      <c r="E2155" t="s">
        <v>800</v>
      </c>
      <c r="F2155" t="s">
        <v>318</v>
      </c>
      <c r="G2155" t="s">
        <v>319</v>
      </c>
      <c r="H2155" s="502">
        <v>51140</v>
      </c>
      <c r="I2155" s="415">
        <v>0</v>
      </c>
      <c r="J2155" s="415">
        <v>0</v>
      </c>
      <c r="K2155" s="415">
        <v>0</v>
      </c>
      <c r="L2155" s="415">
        <v>2400</v>
      </c>
      <c r="M2155" s="415">
        <v>0</v>
      </c>
      <c r="N2155" s="415">
        <v>2400</v>
      </c>
      <c r="O2155" s="415">
        <v>1200</v>
      </c>
      <c r="P2155" s="415">
        <v>1200</v>
      </c>
      <c r="Q2155" s="481">
        <f t="shared" si="79"/>
        <v>0</v>
      </c>
    </row>
    <row r="2156" spans="1:17" outlineLevel="2" x14ac:dyDescent="0.3">
      <c r="A2156" s="366" t="str">
        <f>IFERROR(VLOOKUP(RIGHT(E2156,3)+0,[1]SchLocTable!$A$2:$B$47,2,FALSE)," ")</f>
        <v>Bassick HS</v>
      </c>
      <c r="B2156" s="366" t="str">
        <f>VLOOKUP(VALUE(D2156),$D$3:F$106,3,FALSE)</f>
        <v>Business Education</v>
      </c>
      <c r="C2156" t="s">
        <v>314</v>
      </c>
      <c r="D2156">
        <v>823</v>
      </c>
      <c r="E2156" t="s">
        <v>800</v>
      </c>
      <c r="F2156" t="s">
        <v>320</v>
      </c>
      <c r="G2156" t="s">
        <v>319</v>
      </c>
      <c r="H2156" s="502">
        <v>52360</v>
      </c>
      <c r="I2156" s="415">
        <v>975.48750000000007</v>
      </c>
      <c r="J2156" s="415">
        <v>783.27</v>
      </c>
      <c r="K2156" s="415">
        <v>877.03</v>
      </c>
      <c r="L2156" s="415">
        <v>1495.67</v>
      </c>
      <c r="M2156" s="415">
        <v>1352.57</v>
      </c>
      <c r="N2156" s="415">
        <v>1437.57</v>
      </c>
      <c r="O2156" s="415">
        <v>1373.66</v>
      </c>
      <c r="P2156" s="415">
        <v>1354.38</v>
      </c>
      <c r="Q2156" s="481">
        <f t="shared" si="79"/>
        <v>-192.21750000000009</v>
      </c>
    </row>
    <row r="2157" spans="1:17" outlineLevel="2" x14ac:dyDescent="0.3">
      <c r="A2157" s="366" t="str">
        <f>IFERROR(VLOOKUP(RIGHT(E2157,3)+0,[1]SchLocTable!$A$2:$B$47,2,FALSE)," ")</f>
        <v>Bassick HS</v>
      </c>
      <c r="B2157" s="366" t="str">
        <f>VLOOKUP(VALUE(D2157),$D$3:F$106,3,FALSE)</f>
        <v>Business Education</v>
      </c>
      <c r="C2157" t="s">
        <v>314</v>
      </c>
      <c r="D2157">
        <v>823</v>
      </c>
      <c r="E2157" t="s">
        <v>800</v>
      </c>
      <c r="F2157" t="s">
        <v>324</v>
      </c>
      <c r="G2157" t="s">
        <v>319</v>
      </c>
      <c r="H2157" s="502">
        <v>52385</v>
      </c>
      <c r="I2157" s="415">
        <v>4171.05</v>
      </c>
      <c r="J2157" s="415">
        <v>0</v>
      </c>
      <c r="K2157" s="415">
        <v>0</v>
      </c>
      <c r="L2157" s="415">
        <v>0</v>
      </c>
      <c r="M2157" s="415">
        <v>0</v>
      </c>
      <c r="N2157" s="415">
        <v>0</v>
      </c>
      <c r="O2157" s="415">
        <v>0</v>
      </c>
      <c r="P2157" s="415">
        <v>0</v>
      </c>
      <c r="Q2157" s="481">
        <f t="shared" si="79"/>
        <v>-4171.05</v>
      </c>
    </row>
    <row r="2158" spans="1:17" outlineLevel="2" x14ac:dyDescent="0.3">
      <c r="A2158" s="366" t="str">
        <f>IFERROR(VLOOKUP(RIGHT(E2158,3)+0,[1]SchLocTable!$A$2:$B$47,2,FALSE)," ")</f>
        <v>Bassick HS</v>
      </c>
      <c r="B2158" s="366" t="str">
        <f>VLOOKUP(VALUE(D2158),$D$3:F$106,3,FALSE)</f>
        <v>Business Education</v>
      </c>
      <c r="C2158" t="s">
        <v>314</v>
      </c>
      <c r="D2158">
        <v>823</v>
      </c>
      <c r="E2158" t="s">
        <v>800</v>
      </c>
      <c r="F2158" t="s">
        <v>329</v>
      </c>
      <c r="G2158" t="s">
        <v>319</v>
      </c>
      <c r="H2158" s="502">
        <v>51154</v>
      </c>
      <c r="I2158" s="415">
        <v>0</v>
      </c>
      <c r="J2158" s="415">
        <v>0</v>
      </c>
      <c r="K2158" s="415">
        <v>0</v>
      </c>
      <c r="L2158" s="415">
        <v>4875</v>
      </c>
      <c r="M2158" s="415">
        <v>0</v>
      </c>
      <c r="N2158" s="415">
        <v>1950</v>
      </c>
      <c r="O2158" s="415">
        <v>0</v>
      </c>
      <c r="P2158" s="415">
        <v>0</v>
      </c>
      <c r="Q2158" s="481">
        <f t="shared" si="79"/>
        <v>0</v>
      </c>
    </row>
    <row r="2159" spans="1:17" outlineLevel="2" x14ac:dyDescent="0.3">
      <c r="A2159" s="366" t="str">
        <f>IFERROR(VLOOKUP(RIGHT(E2159,3)+0,[1]SchLocTable!$A$2:$B$47,2,FALSE)," ")</f>
        <v>Harding HS</v>
      </c>
      <c r="B2159" s="366" t="str">
        <f>VLOOKUP(VALUE(D2159),$D$3:F$106,3,FALSE)</f>
        <v>Business Education</v>
      </c>
      <c r="C2159" t="s">
        <v>314</v>
      </c>
      <c r="D2159">
        <v>823</v>
      </c>
      <c r="E2159" t="s">
        <v>801</v>
      </c>
      <c r="F2159" t="s">
        <v>316</v>
      </c>
      <c r="G2159">
        <v>1</v>
      </c>
      <c r="H2159" s="502">
        <v>51000</v>
      </c>
      <c r="I2159" s="415">
        <v>110428.46490000001</v>
      </c>
      <c r="J2159" s="415">
        <v>105070</v>
      </c>
      <c r="K2159" s="415">
        <v>102757.98</v>
      </c>
      <c r="L2159" s="415">
        <v>0</v>
      </c>
      <c r="M2159" s="415">
        <v>0</v>
      </c>
      <c r="N2159" s="415">
        <v>0</v>
      </c>
      <c r="O2159" s="415">
        <v>0</v>
      </c>
      <c r="P2159" s="415">
        <v>83572.320000000007</v>
      </c>
      <c r="Q2159" s="481">
        <f t="shared" si="79"/>
        <v>-5358.4649000000063</v>
      </c>
    </row>
    <row r="2160" spans="1:17" outlineLevel="2" x14ac:dyDescent="0.3">
      <c r="A2160" s="366" t="str">
        <f>IFERROR(VLOOKUP(RIGHT(E2160,3)+0,[1]SchLocTable!$A$2:$B$47,2,FALSE)," ")</f>
        <v>Harding HS</v>
      </c>
      <c r="B2160" s="366" t="str">
        <f>VLOOKUP(VALUE(D2160),$D$3:F$106,3,FALSE)</f>
        <v>Business Education</v>
      </c>
      <c r="C2160" t="s">
        <v>314</v>
      </c>
      <c r="D2160">
        <v>823</v>
      </c>
      <c r="E2160" t="s">
        <v>801</v>
      </c>
      <c r="F2160" t="s">
        <v>321</v>
      </c>
      <c r="G2160" t="s">
        <v>319</v>
      </c>
      <c r="H2160" s="502">
        <v>52917</v>
      </c>
      <c r="I2160" s="415">
        <v>15644.663999999999</v>
      </c>
      <c r="J2160" s="415">
        <v>13037.22</v>
      </c>
      <c r="K2160" s="415">
        <v>11844</v>
      </c>
      <c r="L2160" s="415">
        <v>0</v>
      </c>
      <c r="M2160" s="415">
        <v>0</v>
      </c>
      <c r="N2160" s="415">
        <v>10442.02</v>
      </c>
      <c r="O2160" s="415">
        <v>0</v>
      </c>
      <c r="P2160" s="415">
        <v>22186.29</v>
      </c>
      <c r="Q2160" s="481">
        <f t="shared" si="79"/>
        <v>-2607.4439999999995</v>
      </c>
    </row>
    <row r="2161" spans="1:17" outlineLevel="2" x14ac:dyDescent="0.3">
      <c r="A2161" s="366" t="str">
        <f>IFERROR(VLOOKUP(RIGHT(E2161,3)+0,[1]SchLocTable!$A$2:$B$47,2,FALSE)," ")</f>
        <v>Harding HS</v>
      </c>
      <c r="B2161" s="366" t="str">
        <f>VLOOKUP(VALUE(D2161),$D$3:F$106,3,FALSE)</f>
        <v>Business Education</v>
      </c>
      <c r="C2161" t="s">
        <v>314</v>
      </c>
      <c r="D2161">
        <v>823</v>
      </c>
      <c r="E2161" t="s">
        <v>801</v>
      </c>
      <c r="F2161" t="s">
        <v>318</v>
      </c>
      <c r="G2161" t="s">
        <v>319</v>
      </c>
      <c r="H2161" s="502">
        <v>51140</v>
      </c>
      <c r="I2161" s="415">
        <v>1200</v>
      </c>
      <c r="J2161" s="415">
        <v>0</v>
      </c>
      <c r="K2161" s="415">
        <v>1200</v>
      </c>
      <c r="L2161" s="415">
        <v>1200</v>
      </c>
      <c r="M2161" s="415">
        <v>0</v>
      </c>
      <c r="N2161" s="415">
        <v>0</v>
      </c>
      <c r="O2161" s="415">
        <v>0</v>
      </c>
      <c r="P2161" s="415">
        <v>1100</v>
      </c>
      <c r="Q2161" s="481">
        <f t="shared" si="79"/>
        <v>-1200</v>
      </c>
    </row>
    <row r="2162" spans="1:17" outlineLevel="2" x14ac:dyDescent="0.3">
      <c r="A2162" s="366" t="str">
        <f>IFERROR(VLOOKUP(RIGHT(E2162,3)+0,[1]SchLocTable!$A$2:$B$47,2,FALSE)," ")</f>
        <v>Harding HS</v>
      </c>
      <c r="B2162" s="366" t="str">
        <f>VLOOKUP(VALUE(D2162),$D$3:F$106,3,FALSE)</f>
        <v>Business Education</v>
      </c>
      <c r="C2162" t="s">
        <v>314</v>
      </c>
      <c r="D2162">
        <v>823</v>
      </c>
      <c r="E2162" t="s">
        <v>801</v>
      </c>
      <c r="F2162" t="s">
        <v>320</v>
      </c>
      <c r="G2162" t="s">
        <v>319</v>
      </c>
      <c r="H2162" s="502">
        <v>52360</v>
      </c>
      <c r="I2162" s="415">
        <v>1601.2127410500002</v>
      </c>
      <c r="J2162" s="415">
        <v>1470</v>
      </c>
      <c r="K2162" s="415">
        <v>1456.82</v>
      </c>
      <c r="L2162" s="415">
        <v>17.399999999999999</v>
      </c>
      <c r="M2162" s="415">
        <v>0</v>
      </c>
      <c r="N2162" s="415">
        <v>0</v>
      </c>
      <c r="O2162" s="415">
        <v>0</v>
      </c>
      <c r="P2162" s="415">
        <v>1144.24</v>
      </c>
      <c r="Q2162" s="481">
        <f t="shared" si="79"/>
        <v>-131.2127410500002</v>
      </c>
    </row>
    <row r="2163" spans="1:17" outlineLevel="2" x14ac:dyDescent="0.3">
      <c r="A2163" s="366" t="str">
        <f>IFERROR(VLOOKUP(RIGHT(E2163,3)+0,[1]SchLocTable!$A$2:$B$47,2,FALSE)," ")</f>
        <v xml:space="preserve"> </v>
      </c>
      <c r="B2163" s="366" t="str">
        <f>VLOOKUP(VALUE(D2163),$D$3:F$106,3,FALSE)</f>
        <v>Talented &amp; Gifted</v>
      </c>
      <c r="C2163" t="s">
        <v>314</v>
      </c>
      <c r="D2163">
        <v>825</v>
      </c>
      <c r="E2163" t="s">
        <v>802</v>
      </c>
      <c r="F2163" t="s">
        <v>316</v>
      </c>
      <c r="G2163" t="s">
        <v>319</v>
      </c>
      <c r="H2163" s="502">
        <v>51000</v>
      </c>
      <c r="I2163" s="415">
        <v>0</v>
      </c>
      <c r="J2163" s="415">
        <v>0</v>
      </c>
      <c r="K2163" s="415">
        <v>0</v>
      </c>
      <c r="L2163" s="415">
        <v>0</v>
      </c>
      <c r="M2163" s="415">
        <v>1680</v>
      </c>
      <c r="N2163" s="415">
        <v>0</v>
      </c>
      <c r="O2163" s="415">
        <v>0</v>
      </c>
      <c r="P2163" s="415">
        <v>94593.98</v>
      </c>
      <c r="Q2163" s="481">
        <f t="shared" si="79"/>
        <v>0</v>
      </c>
    </row>
    <row r="2164" spans="1:17" outlineLevel="2" x14ac:dyDescent="0.3">
      <c r="A2164" s="366" t="str">
        <f>IFERROR(VLOOKUP(RIGHT(E2164,3)+0,[1]SchLocTable!$A$2:$B$47,2,FALSE)," ")</f>
        <v xml:space="preserve"> </v>
      </c>
      <c r="B2164" s="366" t="str">
        <f>VLOOKUP(VALUE(D2164),$D$3:F$106,3,FALSE)</f>
        <v>Talented &amp; Gifted</v>
      </c>
      <c r="C2164" t="s">
        <v>314</v>
      </c>
      <c r="D2164">
        <v>825</v>
      </c>
      <c r="E2164" t="s">
        <v>802</v>
      </c>
      <c r="F2164" t="s">
        <v>320</v>
      </c>
      <c r="G2164" t="s">
        <v>319</v>
      </c>
      <c r="H2164" s="502">
        <v>52360</v>
      </c>
      <c r="I2164" s="415">
        <v>0</v>
      </c>
      <c r="J2164" s="415">
        <v>0</v>
      </c>
      <c r="K2164" s="415">
        <v>0</v>
      </c>
      <c r="L2164" s="415">
        <v>0</v>
      </c>
      <c r="M2164" s="415">
        <v>24.36</v>
      </c>
      <c r="N2164" s="415">
        <v>0</v>
      </c>
      <c r="O2164" s="415">
        <v>0</v>
      </c>
      <c r="P2164" s="415">
        <v>0</v>
      </c>
      <c r="Q2164" s="481">
        <f t="shared" si="79"/>
        <v>0</v>
      </c>
    </row>
    <row r="2165" spans="1:17" outlineLevel="2" x14ac:dyDescent="0.3">
      <c r="A2165" s="366" t="str">
        <f>IFERROR(VLOOKUP(RIGHT(E2165,3)+0,[1]SchLocTable!$A$2:$B$47,2,FALSE)," ")</f>
        <v>Batalla</v>
      </c>
      <c r="B2165" s="366" t="str">
        <f>VLOOKUP(VALUE(D2165),$D$3:F$106,3,FALSE)</f>
        <v>Talented &amp; Gifted</v>
      </c>
      <c r="C2165" t="s">
        <v>314</v>
      </c>
      <c r="D2165">
        <v>825</v>
      </c>
      <c r="E2165" t="s">
        <v>803</v>
      </c>
      <c r="F2165" t="s">
        <v>316</v>
      </c>
      <c r="G2165">
        <v>1</v>
      </c>
      <c r="H2165" s="502">
        <v>51000</v>
      </c>
      <c r="I2165" s="415">
        <v>73593.100979999988</v>
      </c>
      <c r="J2165" s="415">
        <v>0</v>
      </c>
      <c r="K2165" s="415">
        <v>0</v>
      </c>
      <c r="L2165" s="415">
        <v>0</v>
      </c>
      <c r="M2165" s="415">
        <v>0</v>
      </c>
      <c r="N2165" s="415">
        <v>0</v>
      </c>
      <c r="O2165" s="415">
        <v>0</v>
      </c>
      <c r="P2165" s="415">
        <v>0</v>
      </c>
      <c r="Q2165" s="481">
        <f t="shared" si="79"/>
        <v>-73593.100979999988</v>
      </c>
    </row>
    <row r="2166" spans="1:17" outlineLevel="2" x14ac:dyDescent="0.3">
      <c r="A2166" s="366" t="str">
        <f>IFERROR(VLOOKUP(RIGHT(E2166,3)+0,[1]SchLocTable!$A$2:$B$47,2,FALSE)," ")</f>
        <v>Batalla</v>
      </c>
      <c r="B2166" s="366" t="str">
        <f>VLOOKUP(VALUE(D2166),$D$3:F$106,3,FALSE)</f>
        <v>Talented &amp; Gifted</v>
      </c>
      <c r="C2166" t="s">
        <v>314</v>
      </c>
      <c r="D2166">
        <v>825</v>
      </c>
      <c r="E2166" t="s">
        <v>803</v>
      </c>
      <c r="F2166" t="s">
        <v>321</v>
      </c>
      <c r="G2166" t="s">
        <v>319</v>
      </c>
      <c r="H2166" s="502">
        <v>52917</v>
      </c>
      <c r="I2166" s="415">
        <v>16158.239999999998</v>
      </c>
      <c r="J2166" s="415">
        <v>0</v>
      </c>
      <c r="K2166" s="415">
        <v>0</v>
      </c>
      <c r="L2166" s="415">
        <v>0</v>
      </c>
      <c r="M2166" s="415">
        <v>0</v>
      </c>
      <c r="N2166" s="415">
        <v>0</v>
      </c>
      <c r="O2166" s="415">
        <v>0</v>
      </c>
      <c r="P2166" s="415">
        <v>0</v>
      </c>
      <c r="Q2166" s="481">
        <f t="shared" si="79"/>
        <v>-16158.239999999998</v>
      </c>
    </row>
    <row r="2167" spans="1:17" outlineLevel="2" x14ac:dyDescent="0.3">
      <c r="A2167" s="366" t="str">
        <f>IFERROR(VLOOKUP(RIGHT(E2167,3)+0,[1]SchLocTable!$A$2:$B$47,2,FALSE)," ")</f>
        <v>Batalla</v>
      </c>
      <c r="B2167" s="366" t="str">
        <f>VLOOKUP(VALUE(D2167),$D$3:F$106,3,FALSE)</f>
        <v>Talented &amp; Gifted</v>
      </c>
      <c r="C2167" t="s">
        <v>314</v>
      </c>
      <c r="D2167">
        <v>825</v>
      </c>
      <c r="E2167" t="s">
        <v>803</v>
      </c>
      <c r="F2167" t="s">
        <v>320</v>
      </c>
      <c r="G2167" t="s">
        <v>319</v>
      </c>
      <c r="H2167" s="502">
        <v>52360</v>
      </c>
      <c r="I2167" s="415">
        <v>1067.0999642099998</v>
      </c>
      <c r="J2167" s="415">
        <v>0</v>
      </c>
      <c r="K2167" s="415">
        <v>0</v>
      </c>
      <c r="L2167" s="415">
        <v>0</v>
      </c>
      <c r="M2167" s="415">
        <v>0</v>
      </c>
      <c r="N2167" s="415">
        <v>0</v>
      </c>
      <c r="O2167" s="415">
        <v>0</v>
      </c>
      <c r="P2167" s="415">
        <v>0</v>
      </c>
      <c r="Q2167" s="481">
        <f t="shared" si="79"/>
        <v>-1067.0999642099998</v>
      </c>
    </row>
    <row r="2168" spans="1:17" outlineLevel="2" x14ac:dyDescent="0.3">
      <c r="A2168" s="366" t="str">
        <f>IFERROR(VLOOKUP(RIGHT(E2168,3)+0,[1]SchLocTable!$A$2:$B$47,2,FALSE)," ")</f>
        <v>Winthrop</v>
      </c>
      <c r="B2168" s="366" t="str">
        <f>VLOOKUP(VALUE(D2168),$D$3:F$106,3,FALSE)</f>
        <v>Talented &amp; Gifted</v>
      </c>
      <c r="C2168" t="s">
        <v>314</v>
      </c>
      <c r="D2168">
        <v>825</v>
      </c>
      <c r="E2168" t="s">
        <v>804</v>
      </c>
      <c r="F2168" t="s">
        <v>316</v>
      </c>
      <c r="G2168">
        <v>2</v>
      </c>
      <c r="H2168" s="502">
        <v>51000</v>
      </c>
      <c r="I2168" s="415">
        <v>220856.92980000001</v>
      </c>
      <c r="J2168" s="415">
        <v>210140</v>
      </c>
      <c r="K2168" s="415">
        <v>205515.96</v>
      </c>
      <c r="L2168" s="415">
        <v>193720.02</v>
      </c>
      <c r="M2168" s="415">
        <v>187909.02</v>
      </c>
      <c r="N2168" s="415">
        <v>83106.92</v>
      </c>
      <c r="O2168" s="415">
        <v>98027.28</v>
      </c>
      <c r="P2168" s="415">
        <v>124079.02</v>
      </c>
      <c r="Q2168" s="481">
        <f t="shared" si="79"/>
        <v>-10716.929800000013</v>
      </c>
    </row>
    <row r="2169" spans="1:17" outlineLevel="2" x14ac:dyDescent="0.3">
      <c r="A2169" s="366" t="str">
        <f>IFERROR(VLOOKUP(RIGHT(E2169,3)+0,[1]SchLocTable!$A$2:$B$47,2,FALSE)," ")</f>
        <v>Winthrop</v>
      </c>
      <c r="B2169" s="366" t="str">
        <f>VLOOKUP(VALUE(D2169),$D$3:F$106,3,FALSE)</f>
        <v>Talented &amp; Gifted</v>
      </c>
      <c r="C2169" t="s">
        <v>314</v>
      </c>
      <c r="D2169">
        <v>825</v>
      </c>
      <c r="E2169" t="s">
        <v>804</v>
      </c>
      <c r="F2169" t="s">
        <v>321</v>
      </c>
      <c r="G2169" t="s">
        <v>319</v>
      </c>
      <c r="H2169" s="502">
        <v>52917</v>
      </c>
      <c r="I2169" s="415">
        <v>92661.911999999997</v>
      </c>
      <c r="J2169" s="415">
        <v>77218.259999999995</v>
      </c>
      <c r="K2169" s="415">
        <v>70151.759999999995</v>
      </c>
      <c r="L2169" s="415">
        <v>69213.899999999994</v>
      </c>
      <c r="M2169" s="415">
        <v>64898.400000000001</v>
      </c>
      <c r="N2169" s="415">
        <v>30308.67</v>
      </c>
      <c r="O2169" s="415">
        <v>23581.07</v>
      </c>
      <c r="P2169" s="415">
        <v>49571.34</v>
      </c>
      <c r="Q2169" s="481">
        <f t="shared" si="79"/>
        <v>-15443.652000000002</v>
      </c>
    </row>
    <row r="2170" spans="1:17" outlineLevel="2" x14ac:dyDescent="0.3">
      <c r="A2170" s="366" t="str">
        <f>IFERROR(VLOOKUP(RIGHT(E2170,3)+0,[1]SchLocTable!$A$2:$B$47,2,FALSE)," ")</f>
        <v>Winthrop</v>
      </c>
      <c r="B2170" s="366" t="str">
        <f>VLOOKUP(VALUE(D2170),$D$3:F$106,3,FALSE)</f>
        <v>Talented &amp; Gifted</v>
      </c>
      <c r="C2170" t="s">
        <v>314</v>
      </c>
      <c r="D2170">
        <v>825</v>
      </c>
      <c r="E2170" t="s">
        <v>804</v>
      </c>
      <c r="F2170" t="s">
        <v>318</v>
      </c>
      <c r="G2170" t="s">
        <v>319</v>
      </c>
      <c r="H2170" s="502">
        <v>51140</v>
      </c>
      <c r="I2170" s="415">
        <v>2100</v>
      </c>
      <c r="J2170" s="415">
        <v>0</v>
      </c>
      <c r="K2170" s="415">
        <v>2100</v>
      </c>
      <c r="L2170" s="415">
        <v>2100</v>
      </c>
      <c r="M2170" s="415">
        <v>2100</v>
      </c>
      <c r="N2170" s="415">
        <v>0</v>
      </c>
      <c r="O2170" s="415">
        <v>900</v>
      </c>
      <c r="P2170" s="415">
        <v>900</v>
      </c>
      <c r="Q2170" s="481">
        <f t="shared" si="79"/>
        <v>-2100</v>
      </c>
    </row>
    <row r="2171" spans="1:17" outlineLevel="2" x14ac:dyDescent="0.3">
      <c r="A2171" s="366" t="str">
        <f>IFERROR(VLOOKUP(RIGHT(E2171,3)+0,[1]SchLocTable!$A$2:$B$47,2,FALSE)," ")</f>
        <v>Winthrop</v>
      </c>
      <c r="B2171" s="366" t="str">
        <f>VLOOKUP(VALUE(D2171),$D$3:F$106,3,FALSE)</f>
        <v>Talented &amp; Gifted</v>
      </c>
      <c r="C2171" t="s">
        <v>314</v>
      </c>
      <c r="D2171">
        <v>825</v>
      </c>
      <c r="E2171" t="s">
        <v>804</v>
      </c>
      <c r="F2171" t="s">
        <v>320</v>
      </c>
      <c r="G2171" t="s">
        <v>319</v>
      </c>
      <c r="H2171" s="502">
        <v>52360</v>
      </c>
      <c r="I2171" s="415">
        <v>3202.4254821000004</v>
      </c>
      <c r="J2171" s="415">
        <v>2660</v>
      </c>
      <c r="K2171" s="415">
        <v>2711</v>
      </c>
      <c r="L2171" s="415">
        <v>2552.7800000000002</v>
      </c>
      <c r="M2171" s="415">
        <v>2493.6799999999998</v>
      </c>
      <c r="N2171" s="415">
        <v>1086.72</v>
      </c>
      <c r="O2171" s="415">
        <v>1362.85</v>
      </c>
      <c r="P2171" s="415">
        <v>1626.16</v>
      </c>
      <c r="Q2171" s="481">
        <f t="shared" si="79"/>
        <v>-542.42548210000041</v>
      </c>
    </row>
    <row r="2172" spans="1:17" outlineLevel="2" x14ac:dyDescent="0.3">
      <c r="A2172" s="366" t="str">
        <f>IFERROR(VLOOKUP(RIGHT(E2172,3)+0,[1]SchLocTable!$A$2:$B$47,2,FALSE)," ")</f>
        <v xml:space="preserve"> </v>
      </c>
      <c r="B2172" s="366" t="str">
        <f>VLOOKUP(VALUE(D2172),$D$3:F$106,3,FALSE)</f>
        <v>Homebound</v>
      </c>
      <c r="C2172" t="s">
        <v>314</v>
      </c>
      <c r="D2172">
        <v>826</v>
      </c>
      <c r="E2172" t="s">
        <v>805</v>
      </c>
      <c r="F2172" t="s">
        <v>806</v>
      </c>
      <c r="G2172" t="s">
        <v>319</v>
      </c>
      <c r="H2172" s="502">
        <v>51026</v>
      </c>
      <c r="I2172" s="415">
        <v>64270.751999999993</v>
      </c>
      <c r="J2172" s="415">
        <v>6041.7</v>
      </c>
      <c r="K2172" s="415">
        <v>57164.31</v>
      </c>
      <c r="L2172" s="415">
        <v>84898.29</v>
      </c>
      <c r="M2172" s="415">
        <v>102750.01</v>
      </c>
      <c r="N2172" s="415">
        <v>66626.19</v>
      </c>
      <c r="O2172" s="415">
        <v>0</v>
      </c>
      <c r="P2172" s="415">
        <v>82455.48</v>
      </c>
      <c r="Q2172" s="481">
        <f t="shared" si="79"/>
        <v>-58229.051999999996</v>
      </c>
    </row>
    <row r="2173" spans="1:17" outlineLevel="2" x14ac:dyDescent="0.3">
      <c r="A2173" s="366" t="str">
        <f>IFERROR(VLOOKUP(RIGHT(E2173,3)+0,[1]SchLocTable!$A$2:$B$47,2,FALSE)," ")</f>
        <v xml:space="preserve"> </v>
      </c>
      <c r="B2173" s="366" t="str">
        <f>VLOOKUP(VALUE(D2173),$D$3:F$106,3,FALSE)</f>
        <v>Homebound</v>
      </c>
      <c r="C2173" t="s">
        <v>314</v>
      </c>
      <c r="D2173">
        <v>826</v>
      </c>
      <c r="E2173" t="s">
        <v>805</v>
      </c>
      <c r="F2173" t="s">
        <v>320</v>
      </c>
      <c r="G2173" t="s">
        <v>319</v>
      </c>
      <c r="H2173" s="502">
        <v>52360</v>
      </c>
      <c r="I2173" s="415">
        <v>931.92590400000006</v>
      </c>
      <c r="J2173" s="415">
        <v>87.47</v>
      </c>
      <c r="K2173" s="415">
        <v>827.05</v>
      </c>
      <c r="L2173" s="415">
        <v>1172.6099999999999</v>
      </c>
      <c r="M2173" s="415">
        <v>1437.41</v>
      </c>
      <c r="N2173" s="415">
        <v>932.58</v>
      </c>
      <c r="O2173" s="415">
        <v>0</v>
      </c>
      <c r="P2173" s="415">
        <v>1094.01</v>
      </c>
      <c r="Q2173" s="481">
        <f t="shared" si="79"/>
        <v>-844.45590400000003</v>
      </c>
    </row>
    <row r="2174" spans="1:17" outlineLevel="2" x14ac:dyDescent="0.3">
      <c r="A2174" s="366" t="str">
        <f>IFERROR(VLOOKUP(RIGHT(E2174,3)+0,[1]SchLocTable!$A$2:$B$47,2,FALSE)," ")</f>
        <v xml:space="preserve"> </v>
      </c>
      <c r="B2174" s="366" t="str">
        <f>VLOOKUP(VALUE(D2174),$D$3:F$106,3,FALSE)</f>
        <v>Homebound</v>
      </c>
      <c r="C2174" t="s">
        <v>314</v>
      </c>
      <c r="D2174">
        <v>826</v>
      </c>
      <c r="E2174" t="s">
        <v>805</v>
      </c>
      <c r="F2174" t="s">
        <v>324</v>
      </c>
      <c r="G2174" t="s">
        <v>319</v>
      </c>
      <c r="H2174" s="502">
        <v>52385</v>
      </c>
      <c r="I2174" s="415">
        <v>0</v>
      </c>
      <c r="J2174" s="415">
        <v>0</v>
      </c>
      <c r="K2174" s="415">
        <v>0</v>
      </c>
      <c r="L2174" s="415">
        <v>0</v>
      </c>
      <c r="M2174" s="415">
        <v>110.72</v>
      </c>
      <c r="N2174" s="415">
        <v>0</v>
      </c>
      <c r="O2174" s="415">
        <v>0</v>
      </c>
      <c r="P2174" s="415">
        <v>0</v>
      </c>
      <c r="Q2174" s="481">
        <f t="shared" si="79"/>
        <v>0</v>
      </c>
    </row>
    <row r="2175" spans="1:17" outlineLevel="2" x14ac:dyDescent="0.3">
      <c r="A2175" s="366" t="str">
        <f>IFERROR(VLOOKUP(RIGHT(E2175,3)+0,[1]SchLocTable!$A$2:$B$47,2,FALSE)," ")</f>
        <v xml:space="preserve"> </v>
      </c>
      <c r="B2175" s="366" t="str">
        <f>VLOOKUP(VALUE(D2175),$D$3:F$106,3,FALSE)</f>
        <v>Special Education</v>
      </c>
      <c r="C2175" t="s">
        <v>314</v>
      </c>
      <c r="D2175">
        <v>827</v>
      </c>
      <c r="E2175" t="s">
        <v>807</v>
      </c>
      <c r="F2175" t="s">
        <v>808</v>
      </c>
      <c r="G2175" t="s">
        <v>319</v>
      </c>
      <c r="H2175" s="502">
        <v>55540</v>
      </c>
      <c r="I2175" s="415">
        <v>25505036.020800002</v>
      </c>
      <c r="J2175" s="415">
        <v>23875196</v>
      </c>
      <c r="K2175" s="415">
        <v>23133819.52</v>
      </c>
      <c r="L2175" s="415">
        <v>21602323.649999999</v>
      </c>
      <c r="M2175" s="415">
        <v>21043414.920000002</v>
      </c>
      <c r="N2175" s="415">
        <v>19677048.140000001</v>
      </c>
      <c r="O2175" s="415">
        <v>19423128.57</v>
      </c>
      <c r="P2175" s="415">
        <v>21116000.050000001</v>
      </c>
      <c r="Q2175" s="481">
        <f t="shared" ref="Q2175:Q2238" si="80">J2175-I2175</f>
        <v>-1629840.0208000019</v>
      </c>
    </row>
    <row r="2176" spans="1:17" outlineLevel="2" x14ac:dyDescent="0.3">
      <c r="A2176" s="366" t="str">
        <f>IFERROR(VLOOKUP(RIGHT(E2176,3)+0,[1]SchLocTable!$A$2:$B$47,2,FALSE)," ")</f>
        <v xml:space="preserve"> </v>
      </c>
      <c r="B2176" s="366" t="str">
        <f>VLOOKUP(VALUE(D2176),$D$3:F$106,3,FALSE)</f>
        <v>Special Education</v>
      </c>
      <c r="C2176" t="s">
        <v>314</v>
      </c>
      <c r="D2176">
        <v>827</v>
      </c>
      <c r="E2176" t="s">
        <v>807</v>
      </c>
      <c r="F2176" t="s">
        <v>806</v>
      </c>
      <c r="G2176" t="s">
        <v>319</v>
      </c>
      <c r="H2176" s="502">
        <v>51026</v>
      </c>
      <c r="I2176" s="415">
        <v>0</v>
      </c>
      <c r="J2176" s="415">
        <v>0</v>
      </c>
      <c r="K2176" s="415">
        <v>0</v>
      </c>
      <c r="L2176" s="415">
        <v>0</v>
      </c>
      <c r="M2176" s="415">
        <v>666.05</v>
      </c>
      <c r="N2176" s="415">
        <v>0</v>
      </c>
      <c r="O2176" s="415">
        <v>0</v>
      </c>
      <c r="P2176" s="415">
        <v>0</v>
      </c>
      <c r="Q2176" s="481">
        <f t="shared" si="80"/>
        <v>0</v>
      </c>
    </row>
    <row r="2177" spans="1:17" outlineLevel="2" x14ac:dyDescent="0.3">
      <c r="A2177" s="366" t="str">
        <f>IFERROR(VLOOKUP(RIGHT(E2177,3)+0,[1]SchLocTable!$A$2:$B$47,2,FALSE)," ")</f>
        <v xml:space="preserve"> </v>
      </c>
      <c r="B2177" s="366" t="str">
        <f>VLOOKUP(VALUE(D2177),$D$3:F$106,3,FALSE)</f>
        <v>Special Education</v>
      </c>
      <c r="C2177" t="s">
        <v>314</v>
      </c>
      <c r="D2177">
        <v>827</v>
      </c>
      <c r="E2177" t="s">
        <v>807</v>
      </c>
      <c r="F2177" t="s">
        <v>316</v>
      </c>
      <c r="G2177">
        <v>5</v>
      </c>
      <c r="H2177" s="502">
        <v>51000</v>
      </c>
      <c r="I2177" s="415">
        <v>571516.03710999992</v>
      </c>
      <c r="J2177" s="415">
        <v>53762</v>
      </c>
      <c r="K2177" s="415">
        <v>140426.32999999999</v>
      </c>
      <c r="L2177" s="415">
        <v>61486.11</v>
      </c>
      <c r="M2177" s="415">
        <v>38030.78</v>
      </c>
      <c r="N2177" s="415">
        <v>29724.97</v>
      </c>
      <c r="O2177" s="415">
        <v>0</v>
      </c>
      <c r="P2177" s="415">
        <v>70078.100000000006</v>
      </c>
      <c r="Q2177" s="481">
        <f t="shared" si="80"/>
        <v>-517754.03710999992</v>
      </c>
    </row>
    <row r="2178" spans="1:17" outlineLevel="2" x14ac:dyDescent="0.3">
      <c r="A2178" s="366" t="str">
        <f>IFERROR(VLOOKUP(RIGHT(E2178,3)+0,[1]SchLocTable!$A$2:$B$47,2,FALSE)," ")</f>
        <v xml:space="preserve"> </v>
      </c>
      <c r="B2178" s="366" t="str">
        <f>VLOOKUP(VALUE(D2178),$D$3:F$106,3,FALSE)</f>
        <v>Special Education</v>
      </c>
      <c r="C2178" t="s">
        <v>314</v>
      </c>
      <c r="D2178">
        <v>827</v>
      </c>
      <c r="E2178" t="s">
        <v>807</v>
      </c>
      <c r="F2178" t="s">
        <v>321</v>
      </c>
      <c r="G2178" t="s">
        <v>319</v>
      </c>
      <c r="H2178" s="502">
        <v>52917</v>
      </c>
      <c r="I2178" s="415">
        <v>84489.047999999995</v>
      </c>
      <c r="J2178" s="415">
        <v>0</v>
      </c>
      <c r="K2178" s="415">
        <v>731.46</v>
      </c>
      <c r="L2178" s="415">
        <v>2782.1</v>
      </c>
      <c r="M2178" s="415">
        <v>7304.5</v>
      </c>
      <c r="N2178" s="415">
        <v>2423.15</v>
      </c>
      <c r="O2178" s="415">
        <v>0</v>
      </c>
      <c r="P2178" s="415">
        <v>0</v>
      </c>
      <c r="Q2178" s="481">
        <f t="shared" si="80"/>
        <v>-84489.047999999995</v>
      </c>
    </row>
    <row r="2179" spans="1:17" outlineLevel="2" x14ac:dyDescent="0.3">
      <c r="A2179" s="366" t="str">
        <f>IFERROR(VLOOKUP(RIGHT(E2179,3)+0,[1]SchLocTable!$A$2:$B$47,2,FALSE)," ")</f>
        <v xml:space="preserve"> </v>
      </c>
      <c r="B2179" s="366" t="str">
        <f>VLOOKUP(VALUE(D2179),$D$3:F$106,3,FALSE)</f>
        <v>Special Education</v>
      </c>
      <c r="C2179" t="s">
        <v>314</v>
      </c>
      <c r="D2179">
        <v>827</v>
      </c>
      <c r="E2179" t="s">
        <v>807</v>
      </c>
      <c r="F2179" t="s">
        <v>390</v>
      </c>
      <c r="G2179" t="s">
        <v>319</v>
      </c>
      <c r="H2179" s="502">
        <v>56115</v>
      </c>
      <c r="I2179" s="415">
        <v>4841847.4984000009</v>
      </c>
      <c r="J2179" s="415">
        <v>4444203.1399999997</v>
      </c>
      <c r="K2179" s="415">
        <v>3055947.24</v>
      </c>
      <c r="L2179" s="415">
        <v>538229.42000000004</v>
      </c>
      <c r="M2179" s="415">
        <v>61187.62</v>
      </c>
      <c r="N2179" s="415">
        <v>63742.04</v>
      </c>
      <c r="O2179" s="415">
        <v>320834.58</v>
      </c>
      <c r="P2179" s="415">
        <v>876940.42</v>
      </c>
      <c r="Q2179" s="481">
        <f t="shared" si="80"/>
        <v>-397644.35840000119</v>
      </c>
    </row>
    <row r="2180" spans="1:17" outlineLevel="2" x14ac:dyDescent="0.3">
      <c r="A2180" s="366" t="str">
        <f>IFERROR(VLOOKUP(RIGHT(E2180,3)+0,[1]SchLocTable!$A$2:$B$47,2,FALSE)," ")</f>
        <v xml:space="preserve"> </v>
      </c>
      <c r="B2180" s="366" t="str">
        <f>VLOOKUP(VALUE(D2180),$D$3:F$106,3,FALSE)</f>
        <v>Special Education</v>
      </c>
      <c r="C2180" t="s">
        <v>314</v>
      </c>
      <c r="D2180">
        <v>827</v>
      </c>
      <c r="E2180" t="s">
        <v>807</v>
      </c>
      <c r="F2180" t="s">
        <v>809</v>
      </c>
      <c r="G2180" t="s">
        <v>319</v>
      </c>
      <c r="H2180" s="502">
        <v>56130</v>
      </c>
      <c r="I2180" s="415">
        <v>113300</v>
      </c>
      <c r="J2180" s="415">
        <v>110000</v>
      </c>
      <c r="K2180" s="415">
        <v>123325.46</v>
      </c>
      <c r="L2180" s="415">
        <v>137088.06</v>
      </c>
      <c r="M2180" s="415">
        <v>42177.91</v>
      </c>
      <c r="N2180" s="415">
        <v>40950.53</v>
      </c>
      <c r="O2180" s="415">
        <v>82695.64</v>
      </c>
      <c r="P2180" s="415">
        <v>89780.77</v>
      </c>
      <c r="Q2180" s="481">
        <f t="shared" si="80"/>
        <v>-3300</v>
      </c>
    </row>
    <row r="2181" spans="1:17" outlineLevel="2" x14ac:dyDescent="0.3">
      <c r="A2181" s="366" t="str">
        <f>IFERROR(VLOOKUP(RIGHT(E2181,3)+0,[1]SchLocTable!$A$2:$B$47,2,FALSE)," ")</f>
        <v xml:space="preserve"> </v>
      </c>
      <c r="B2181" s="366" t="str">
        <f>VLOOKUP(VALUE(D2181),$D$3:F$106,3,FALSE)</f>
        <v>Special Education</v>
      </c>
      <c r="C2181" t="s">
        <v>314</v>
      </c>
      <c r="D2181">
        <v>827</v>
      </c>
      <c r="E2181" t="s">
        <v>807</v>
      </c>
      <c r="F2181" t="s">
        <v>318</v>
      </c>
      <c r="G2181" t="s">
        <v>319</v>
      </c>
      <c r="H2181" s="502">
        <v>51140</v>
      </c>
      <c r="I2181" s="415">
        <v>0</v>
      </c>
      <c r="J2181" s="415">
        <v>0</v>
      </c>
      <c r="K2181" s="415">
        <v>2850</v>
      </c>
      <c r="L2181" s="415">
        <v>4000</v>
      </c>
      <c r="M2181" s="415">
        <v>1800</v>
      </c>
      <c r="N2181" s="415">
        <v>0</v>
      </c>
      <c r="O2181" s="415">
        <v>0</v>
      </c>
      <c r="P2181" s="415">
        <v>0</v>
      </c>
      <c r="Q2181" s="481">
        <f t="shared" si="80"/>
        <v>0</v>
      </c>
    </row>
    <row r="2182" spans="1:17" outlineLevel="2" x14ac:dyDescent="0.3">
      <c r="A2182" s="366" t="str">
        <f>IFERROR(VLOOKUP(RIGHT(E2182,3)+0,[1]SchLocTable!$A$2:$B$47,2,FALSE)," ")</f>
        <v xml:space="preserve"> </v>
      </c>
      <c r="B2182" s="366" t="str">
        <f>VLOOKUP(VALUE(D2182),$D$3:F$106,3,FALSE)</f>
        <v>Special Education</v>
      </c>
      <c r="C2182" t="s">
        <v>314</v>
      </c>
      <c r="D2182">
        <v>827</v>
      </c>
      <c r="E2182" t="s">
        <v>807</v>
      </c>
      <c r="F2182" t="s">
        <v>810</v>
      </c>
      <c r="G2182" t="s">
        <v>319</v>
      </c>
      <c r="H2182" s="502">
        <v>56155</v>
      </c>
      <c r="I2182" s="415">
        <v>8047079.3520000009</v>
      </c>
      <c r="J2182" s="415">
        <v>7812698.4000000004</v>
      </c>
      <c r="K2182" s="415">
        <v>5489802.9699999997</v>
      </c>
      <c r="L2182" s="415">
        <v>2383883.9</v>
      </c>
      <c r="M2182" s="415">
        <v>2697258.87</v>
      </c>
      <c r="N2182" s="415">
        <v>2874817.22</v>
      </c>
      <c r="O2182" s="415">
        <v>1937784.75</v>
      </c>
      <c r="P2182" s="415">
        <v>1939024.9</v>
      </c>
      <c r="Q2182" s="481">
        <f t="shared" si="80"/>
        <v>-234380.95200000051</v>
      </c>
    </row>
    <row r="2183" spans="1:17" outlineLevel="2" x14ac:dyDescent="0.3">
      <c r="A2183" s="366" t="str">
        <f>IFERROR(VLOOKUP(RIGHT(E2183,3)+0,[1]SchLocTable!$A$2:$B$47,2,FALSE)," ")</f>
        <v xml:space="preserve"> </v>
      </c>
      <c r="B2183" s="366" t="str">
        <f>VLOOKUP(VALUE(D2183),$D$3:F$106,3,FALSE)</f>
        <v>Special Education</v>
      </c>
      <c r="C2183" t="s">
        <v>314</v>
      </c>
      <c r="D2183">
        <v>827</v>
      </c>
      <c r="E2183" t="s">
        <v>807</v>
      </c>
      <c r="F2183" t="s">
        <v>320</v>
      </c>
      <c r="G2183" t="s">
        <v>319</v>
      </c>
      <c r="H2183" s="502">
        <v>52360</v>
      </c>
      <c r="I2183" s="415">
        <v>8286.9825380950006</v>
      </c>
      <c r="J2183" s="415">
        <v>717.85</v>
      </c>
      <c r="K2183" s="415">
        <v>2116.36</v>
      </c>
      <c r="L2183" s="415">
        <v>949.01</v>
      </c>
      <c r="M2183" s="415">
        <v>536.76</v>
      </c>
      <c r="N2183" s="415">
        <v>421.54</v>
      </c>
      <c r="O2183" s="415">
        <v>0</v>
      </c>
      <c r="P2183" s="415">
        <v>52.05</v>
      </c>
      <c r="Q2183" s="481">
        <f t="shared" si="80"/>
        <v>-7569.1325380950002</v>
      </c>
    </row>
    <row r="2184" spans="1:17" outlineLevel="2" x14ac:dyDescent="0.3">
      <c r="A2184" s="366" t="str">
        <f>IFERROR(VLOOKUP(RIGHT(E2184,3)+0,[1]SchLocTable!$A$2:$B$47,2,FALSE)," ")</f>
        <v xml:space="preserve"> </v>
      </c>
      <c r="B2184" s="366" t="str">
        <f>VLOOKUP(VALUE(D2184),$D$3:F$106,3,FALSE)</f>
        <v>Special Education</v>
      </c>
      <c r="C2184" t="s">
        <v>314</v>
      </c>
      <c r="D2184">
        <v>827</v>
      </c>
      <c r="E2184" t="s">
        <v>807</v>
      </c>
      <c r="F2184" t="s">
        <v>392</v>
      </c>
      <c r="G2184" t="s">
        <v>319</v>
      </c>
      <c r="H2184" s="502">
        <v>52504</v>
      </c>
      <c r="I2184" s="415">
        <v>0</v>
      </c>
      <c r="J2184" s="415">
        <v>0</v>
      </c>
      <c r="K2184" s="415">
        <v>370.62</v>
      </c>
      <c r="L2184" s="415">
        <v>0</v>
      </c>
      <c r="M2184" s="415">
        <v>0</v>
      </c>
      <c r="N2184" s="415">
        <v>0</v>
      </c>
      <c r="O2184" s="415">
        <v>0</v>
      </c>
      <c r="P2184" s="415">
        <v>0</v>
      </c>
      <c r="Q2184" s="481">
        <f t="shared" si="80"/>
        <v>0</v>
      </c>
    </row>
    <row r="2185" spans="1:17" outlineLevel="2" x14ac:dyDescent="0.3">
      <c r="A2185" s="366" t="str">
        <f>IFERROR(VLOOKUP(RIGHT(E2185,3)+0,[1]SchLocTable!$A$2:$B$47,2,FALSE)," ")</f>
        <v xml:space="preserve"> </v>
      </c>
      <c r="B2185" s="366" t="str">
        <f>VLOOKUP(VALUE(D2185),$D$3:F$106,3,FALSE)</f>
        <v>Special Education</v>
      </c>
      <c r="C2185" t="s">
        <v>314</v>
      </c>
      <c r="D2185">
        <v>827</v>
      </c>
      <c r="E2185" t="s">
        <v>807</v>
      </c>
      <c r="F2185" t="s">
        <v>458</v>
      </c>
      <c r="G2185" t="s">
        <v>319</v>
      </c>
      <c r="H2185" s="502">
        <v>54675</v>
      </c>
      <c r="I2185" s="415">
        <v>0</v>
      </c>
      <c r="J2185" s="415">
        <v>0</v>
      </c>
      <c r="K2185" s="415">
        <v>0</v>
      </c>
      <c r="L2185" s="415">
        <v>0</v>
      </c>
      <c r="M2185" s="415">
        <v>433.63</v>
      </c>
      <c r="N2185" s="415">
        <v>1017.12</v>
      </c>
      <c r="O2185" s="415">
        <v>1052.82</v>
      </c>
      <c r="P2185" s="415">
        <v>703.05</v>
      </c>
      <c r="Q2185" s="481">
        <f t="shared" si="80"/>
        <v>0</v>
      </c>
    </row>
    <row r="2186" spans="1:17" outlineLevel="2" x14ac:dyDescent="0.3">
      <c r="A2186" s="366" t="str">
        <f>IFERROR(VLOOKUP(RIGHT(E2186,3)+0,[1]SchLocTable!$A$2:$B$47,2,FALSE)," ")</f>
        <v xml:space="preserve"> </v>
      </c>
      <c r="B2186" s="366" t="str">
        <f>VLOOKUP(VALUE(D2186),$D$3:F$106,3,FALSE)</f>
        <v>Special Education</v>
      </c>
      <c r="C2186" t="s">
        <v>314</v>
      </c>
      <c r="D2186">
        <v>827</v>
      </c>
      <c r="E2186" t="s">
        <v>807</v>
      </c>
      <c r="F2186" t="s">
        <v>457</v>
      </c>
      <c r="G2186" t="s">
        <v>319</v>
      </c>
      <c r="H2186" s="502">
        <v>54580</v>
      </c>
      <c r="I2186" s="415">
        <v>0</v>
      </c>
      <c r="J2186" s="415">
        <v>0</v>
      </c>
      <c r="K2186" s="415">
        <v>0</v>
      </c>
      <c r="L2186" s="415">
        <v>0</v>
      </c>
      <c r="M2186" s="415">
        <v>0</v>
      </c>
      <c r="N2186" s="415">
        <v>0</v>
      </c>
      <c r="O2186" s="415">
        <v>1075.8499999999999</v>
      </c>
      <c r="P2186" s="415">
        <v>1168</v>
      </c>
      <c r="Q2186" s="481">
        <f t="shared" si="80"/>
        <v>0</v>
      </c>
    </row>
    <row r="2187" spans="1:17" outlineLevel="2" x14ac:dyDescent="0.3">
      <c r="A2187" s="366" t="str">
        <f>IFERROR(VLOOKUP(RIGHT(E2187,3)+0,[1]SchLocTable!$A$2:$B$47,2,FALSE)," ")</f>
        <v xml:space="preserve"> </v>
      </c>
      <c r="B2187" s="366" t="str">
        <f>VLOOKUP(VALUE(D2187),$D$3:F$106,3,FALSE)</f>
        <v>Special Education</v>
      </c>
      <c r="C2187" t="s">
        <v>314</v>
      </c>
      <c r="D2187">
        <v>827</v>
      </c>
      <c r="E2187" t="s">
        <v>811</v>
      </c>
      <c r="F2187" t="s">
        <v>806</v>
      </c>
      <c r="G2187">
        <v>2</v>
      </c>
      <c r="H2187" s="502">
        <v>51026</v>
      </c>
      <c r="I2187" s="415">
        <v>118095.97799999999</v>
      </c>
      <c r="J2187" s="415">
        <v>11096.4</v>
      </c>
      <c r="K2187" s="415">
        <v>73779.350000000006</v>
      </c>
      <c r="L2187" s="415">
        <v>112656.8</v>
      </c>
      <c r="M2187" s="415">
        <v>133558.47</v>
      </c>
      <c r="N2187" s="415">
        <v>166273.06</v>
      </c>
      <c r="O2187" s="415">
        <v>49643.83</v>
      </c>
      <c r="P2187" s="415">
        <v>138382.51999999999</v>
      </c>
      <c r="Q2187" s="481">
        <f t="shared" si="80"/>
        <v>-106999.57799999999</v>
      </c>
    </row>
    <row r="2188" spans="1:17" outlineLevel="2" x14ac:dyDescent="0.3">
      <c r="A2188" s="366" t="str">
        <f>IFERROR(VLOOKUP(RIGHT(E2188,3)+0,[1]SchLocTable!$A$2:$B$47,2,FALSE)," ")</f>
        <v xml:space="preserve"> </v>
      </c>
      <c r="B2188" s="366" t="str">
        <f>VLOOKUP(VALUE(D2188),$D$3:F$106,3,FALSE)</f>
        <v>Special Education</v>
      </c>
      <c r="C2188" t="s">
        <v>314</v>
      </c>
      <c r="D2188">
        <v>827</v>
      </c>
      <c r="E2188" t="s">
        <v>811</v>
      </c>
      <c r="F2188" t="s">
        <v>320</v>
      </c>
      <c r="G2188" t="s">
        <v>319</v>
      </c>
      <c r="H2188" s="502">
        <v>52360</v>
      </c>
      <c r="I2188" s="415">
        <v>1712.3916810000001</v>
      </c>
      <c r="J2188" s="415">
        <v>160.9</v>
      </c>
      <c r="K2188" s="415">
        <v>1069.3800000000001</v>
      </c>
      <c r="L2188" s="415">
        <v>1384.01</v>
      </c>
      <c r="M2188" s="415">
        <v>1586.49</v>
      </c>
      <c r="N2188" s="415">
        <v>2099.92</v>
      </c>
      <c r="O2188" s="415">
        <v>714.85</v>
      </c>
      <c r="P2188" s="415">
        <v>1391.09</v>
      </c>
      <c r="Q2188" s="481">
        <f t="shared" si="80"/>
        <v>-1551.491681</v>
      </c>
    </row>
    <row r="2189" spans="1:17" outlineLevel="2" x14ac:dyDescent="0.3">
      <c r="A2189" s="366" t="str">
        <f>IFERROR(VLOOKUP(RIGHT(E2189,3)+0,[1]SchLocTable!$A$2:$B$47,2,FALSE)," ")</f>
        <v>Barnum</v>
      </c>
      <c r="B2189" s="366" t="str">
        <f>VLOOKUP(VALUE(D2189),$D$3:F$106,3,FALSE)</f>
        <v>Special Education</v>
      </c>
      <c r="C2189" t="s">
        <v>314</v>
      </c>
      <c r="D2189">
        <v>827</v>
      </c>
      <c r="E2189" t="s">
        <v>812</v>
      </c>
      <c r="F2189" t="s">
        <v>316</v>
      </c>
      <c r="G2189">
        <v>12</v>
      </c>
      <c r="H2189" s="502">
        <v>51000</v>
      </c>
      <c r="I2189" s="415">
        <v>966490.04243999987</v>
      </c>
      <c r="J2189" s="415">
        <v>295403</v>
      </c>
      <c r="K2189" s="415">
        <v>280459.92</v>
      </c>
      <c r="L2189" s="415">
        <v>458545.5</v>
      </c>
      <c r="M2189" s="415">
        <v>614314.05000000005</v>
      </c>
      <c r="N2189" s="415">
        <v>637517.72</v>
      </c>
      <c r="O2189" s="415">
        <v>597021.47</v>
      </c>
      <c r="P2189" s="415">
        <v>588726.67000000004</v>
      </c>
      <c r="Q2189" s="481">
        <f t="shared" si="80"/>
        <v>-671087.04243999987</v>
      </c>
    </row>
    <row r="2190" spans="1:17" outlineLevel="2" x14ac:dyDescent="0.3">
      <c r="A2190" s="366" t="str">
        <f>IFERROR(VLOOKUP(RIGHT(E2190,3)+0,[1]SchLocTable!$A$2:$B$47,2,FALSE)," ")</f>
        <v>Barnum</v>
      </c>
      <c r="B2190" s="366" t="str">
        <f>VLOOKUP(VALUE(D2190),$D$3:F$106,3,FALSE)</f>
        <v>Special Education</v>
      </c>
      <c r="C2190" t="s">
        <v>314</v>
      </c>
      <c r="D2190">
        <v>827</v>
      </c>
      <c r="E2190" t="s">
        <v>812</v>
      </c>
      <c r="F2190" t="s">
        <v>321</v>
      </c>
      <c r="G2190" t="s">
        <v>319</v>
      </c>
      <c r="H2190" s="502">
        <v>52917</v>
      </c>
      <c r="I2190" s="415">
        <v>287763.81599999993</v>
      </c>
      <c r="J2190" s="415">
        <v>69713</v>
      </c>
      <c r="K2190" s="415">
        <v>51287.46</v>
      </c>
      <c r="L2190" s="415">
        <v>98391.9</v>
      </c>
      <c r="M2190" s="415">
        <v>151155.65</v>
      </c>
      <c r="N2190" s="415">
        <v>150954.67000000001</v>
      </c>
      <c r="O2190" s="415">
        <v>135548.85999999999</v>
      </c>
      <c r="P2190" s="415">
        <v>144582.98000000001</v>
      </c>
      <c r="Q2190" s="481">
        <f t="shared" si="80"/>
        <v>-218050.81599999993</v>
      </c>
    </row>
    <row r="2191" spans="1:17" outlineLevel="2" x14ac:dyDescent="0.3">
      <c r="A2191" s="366" t="str">
        <f>IFERROR(VLOOKUP(RIGHT(E2191,3)+0,[1]SchLocTable!$A$2:$B$47,2,FALSE)," ")</f>
        <v>Barnum</v>
      </c>
      <c r="B2191" s="366" t="str">
        <f>VLOOKUP(VALUE(D2191),$D$3:F$106,3,FALSE)</f>
        <v>Special Education</v>
      </c>
      <c r="C2191" t="s">
        <v>314</v>
      </c>
      <c r="D2191">
        <v>827</v>
      </c>
      <c r="E2191" t="s">
        <v>812</v>
      </c>
      <c r="F2191" t="s">
        <v>318</v>
      </c>
      <c r="G2191" t="s">
        <v>319</v>
      </c>
      <c r="H2191" s="502">
        <v>51140</v>
      </c>
      <c r="I2191" s="415">
        <v>0</v>
      </c>
      <c r="J2191" s="415">
        <v>0</v>
      </c>
      <c r="K2191" s="415">
        <v>0</v>
      </c>
      <c r="L2191" s="415">
        <v>900</v>
      </c>
      <c r="M2191" s="415">
        <v>1800</v>
      </c>
      <c r="N2191" s="415">
        <v>1800</v>
      </c>
      <c r="O2191" s="415">
        <v>1800</v>
      </c>
      <c r="P2191" s="415">
        <v>2900</v>
      </c>
      <c r="Q2191" s="481">
        <f t="shared" si="80"/>
        <v>0</v>
      </c>
    </row>
    <row r="2192" spans="1:17" outlineLevel="2" x14ac:dyDescent="0.3">
      <c r="A2192" s="366" t="str">
        <f>IFERROR(VLOOKUP(RIGHT(E2192,3)+0,[1]SchLocTable!$A$2:$B$47,2,FALSE)," ")</f>
        <v>Barnum</v>
      </c>
      <c r="B2192" s="366" t="str">
        <f>VLOOKUP(VALUE(D2192),$D$3:F$106,3,FALSE)</f>
        <v>Special Education</v>
      </c>
      <c r="C2192" t="s">
        <v>314</v>
      </c>
      <c r="D2192">
        <v>827</v>
      </c>
      <c r="E2192" t="s">
        <v>812</v>
      </c>
      <c r="F2192" t="s">
        <v>320</v>
      </c>
      <c r="G2192" t="s">
        <v>319</v>
      </c>
      <c r="H2192" s="502">
        <v>52360</v>
      </c>
      <c r="I2192" s="415">
        <v>14014.105615379998</v>
      </c>
      <c r="J2192" s="415">
        <v>3975</v>
      </c>
      <c r="K2192" s="415">
        <v>3846.01</v>
      </c>
      <c r="L2192" s="415">
        <v>6248.1</v>
      </c>
      <c r="M2192" s="415">
        <v>8283.91</v>
      </c>
      <c r="N2192" s="415">
        <v>8679.3799999999992</v>
      </c>
      <c r="O2192" s="415">
        <v>8166.87</v>
      </c>
      <c r="P2192" s="415">
        <v>8194.5400000000009</v>
      </c>
      <c r="Q2192" s="481">
        <f t="shared" si="80"/>
        <v>-10039.105615379998</v>
      </c>
    </row>
    <row r="2193" spans="1:17" outlineLevel="2" x14ac:dyDescent="0.3">
      <c r="A2193" s="366" t="str">
        <f>IFERROR(VLOOKUP(RIGHT(E2193,3)+0,[1]SchLocTable!$A$2:$B$47,2,FALSE)," ")</f>
        <v>Barnum</v>
      </c>
      <c r="B2193" s="366" t="str">
        <f>VLOOKUP(VALUE(D2193),$D$3:F$106,3,FALSE)</f>
        <v>Special Education</v>
      </c>
      <c r="C2193" t="s">
        <v>314</v>
      </c>
      <c r="D2193">
        <v>827</v>
      </c>
      <c r="E2193" t="s">
        <v>812</v>
      </c>
      <c r="F2193" t="s">
        <v>392</v>
      </c>
      <c r="G2193" t="s">
        <v>319</v>
      </c>
      <c r="H2193" s="502">
        <v>52504</v>
      </c>
      <c r="I2193" s="415">
        <v>0</v>
      </c>
      <c r="J2193" s="415">
        <v>0</v>
      </c>
      <c r="K2193" s="415">
        <v>0</v>
      </c>
      <c r="L2193" s="415">
        <v>0</v>
      </c>
      <c r="M2193" s="415">
        <v>69.06</v>
      </c>
      <c r="N2193" s="415">
        <v>0</v>
      </c>
      <c r="O2193" s="415">
        <v>0</v>
      </c>
      <c r="P2193" s="415">
        <v>0</v>
      </c>
      <c r="Q2193" s="481">
        <f t="shared" si="80"/>
        <v>0</v>
      </c>
    </row>
    <row r="2194" spans="1:17" outlineLevel="2" x14ac:dyDescent="0.3">
      <c r="A2194" s="366" t="str">
        <f>IFERROR(VLOOKUP(RIGHT(E2194,3)+0,[1]SchLocTable!$A$2:$B$47,2,FALSE)," ")</f>
        <v>Barnum</v>
      </c>
      <c r="B2194" s="366" t="str">
        <f>VLOOKUP(VALUE(D2194),$D$3:F$106,3,FALSE)</f>
        <v>Special Education</v>
      </c>
      <c r="C2194" t="s">
        <v>314</v>
      </c>
      <c r="D2194">
        <v>827</v>
      </c>
      <c r="E2194" t="s">
        <v>812</v>
      </c>
      <c r="F2194" t="s">
        <v>324</v>
      </c>
      <c r="G2194" t="s">
        <v>319</v>
      </c>
      <c r="H2194" s="502">
        <v>52385</v>
      </c>
      <c r="I2194" s="415">
        <v>4171.05</v>
      </c>
      <c r="J2194" s="415">
        <v>0</v>
      </c>
      <c r="K2194" s="415">
        <v>0</v>
      </c>
      <c r="L2194" s="415">
        <v>1255.5</v>
      </c>
      <c r="M2194" s="415">
        <v>0</v>
      </c>
      <c r="N2194" s="415">
        <v>0</v>
      </c>
      <c r="O2194" s="415">
        <v>0</v>
      </c>
      <c r="P2194" s="415">
        <v>0</v>
      </c>
      <c r="Q2194" s="481">
        <f t="shared" si="80"/>
        <v>-4171.05</v>
      </c>
    </row>
    <row r="2195" spans="1:17" outlineLevel="2" x14ac:dyDescent="0.3">
      <c r="A2195" s="366" t="str">
        <f>IFERROR(VLOOKUP(RIGHT(E2195,3)+0,[1]SchLocTable!$A$2:$B$47,2,FALSE)," ")</f>
        <v>Beardsley</v>
      </c>
      <c r="B2195" s="366" t="str">
        <f>VLOOKUP(VALUE(D2195),$D$3:F$106,3,FALSE)</f>
        <v>Special Education</v>
      </c>
      <c r="C2195" t="s">
        <v>314</v>
      </c>
      <c r="D2195">
        <v>827</v>
      </c>
      <c r="E2195" t="s">
        <v>813</v>
      </c>
      <c r="F2195" t="s">
        <v>316</v>
      </c>
      <c r="G2195">
        <v>3</v>
      </c>
      <c r="H2195" s="502">
        <v>51000</v>
      </c>
      <c r="I2195" s="415">
        <v>351619.49107999995</v>
      </c>
      <c r="J2195" s="415">
        <v>85406</v>
      </c>
      <c r="K2195" s="415">
        <v>81363.100000000006</v>
      </c>
      <c r="L2195" s="415">
        <v>256107.21</v>
      </c>
      <c r="M2195" s="415">
        <v>256942.36</v>
      </c>
      <c r="N2195" s="415">
        <v>235373.91</v>
      </c>
      <c r="O2195" s="415">
        <v>241740.11</v>
      </c>
      <c r="P2195" s="415">
        <v>294726.12</v>
      </c>
      <c r="Q2195" s="481">
        <f t="shared" si="80"/>
        <v>-266213.49107999995</v>
      </c>
    </row>
    <row r="2196" spans="1:17" outlineLevel="2" x14ac:dyDescent="0.3">
      <c r="A2196" s="366" t="str">
        <f>IFERROR(VLOOKUP(RIGHT(E2196,3)+0,[1]SchLocTable!$A$2:$B$47,2,FALSE)," ")</f>
        <v>Beardsley</v>
      </c>
      <c r="B2196" s="366" t="str">
        <f>VLOOKUP(VALUE(D2196),$D$3:F$106,3,FALSE)</f>
        <v>Special Education</v>
      </c>
      <c r="C2196" t="s">
        <v>314</v>
      </c>
      <c r="D2196">
        <v>827</v>
      </c>
      <c r="E2196" t="s">
        <v>813</v>
      </c>
      <c r="F2196" t="s">
        <v>321</v>
      </c>
      <c r="G2196" t="s">
        <v>319</v>
      </c>
      <c r="H2196" s="502">
        <v>52917</v>
      </c>
      <c r="I2196" s="415">
        <v>146714.14799999999</v>
      </c>
      <c r="J2196" s="415">
        <v>47589</v>
      </c>
      <c r="K2196" s="415">
        <v>35075.879999999997</v>
      </c>
      <c r="L2196" s="415">
        <v>79785.88</v>
      </c>
      <c r="M2196" s="415">
        <v>80693.97</v>
      </c>
      <c r="N2196" s="415">
        <v>62225.74</v>
      </c>
      <c r="O2196" s="415">
        <v>44007.23</v>
      </c>
      <c r="P2196" s="415">
        <v>52276.97</v>
      </c>
      <c r="Q2196" s="481">
        <f t="shared" si="80"/>
        <v>-99125.147999999986</v>
      </c>
    </row>
    <row r="2197" spans="1:17" outlineLevel="2" x14ac:dyDescent="0.3">
      <c r="A2197" s="366" t="str">
        <f>IFERROR(VLOOKUP(RIGHT(E2197,3)+0,[1]SchLocTable!$A$2:$B$47,2,FALSE)," ")</f>
        <v>Beardsley</v>
      </c>
      <c r="B2197" s="366" t="str">
        <f>VLOOKUP(VALUE(D2197),$D$3:F$106,3,FALSE)</f>
        <v>Special Education</v>
      </c>
      <c r="C2197" t="s">
        <v>314</v>
      </c>
      <c r="D2197">
        <v>827</v>
      </c>
      <c r="E2197" t="s">
        <v>813</v>
      </c>
      <c r="F2197" t="s">
        <v>318</v>
      </c>
      <c r="G2197" t="s">
        <v>319</v>
      </c>
      <c r="H2197" s="502">
        <v>51140</v>
      </c>
      <c r="I2197" s="415">
        <v>0</v>
      </c>
      <c r="J2197" s="415">
        <v>0</v>
      </c>
      <c r="K2197" s="415">
        <v>0</v>
      </c>
      <c r="L2197" s="415">
        <v>1800</v>
      </c>
      <c r="M2197" s="415">
        <v>900</v>
      </c>
      <c r="N2197" s="415">
        <v>900</v>
      </c>
      <c r="O2197" s="415">
        <v>2000</v>
      </c>
      <c r="P2197" s="415">
        <v>1100</v>
      </c>
      <c r="Q2197" s="481">
        <f t="shared" si="80"/>
        <v>0</v>
      </c>
    </row>
    <row r="2198" spans="1:17" outlineLevel="2" x14ac:dyDescent="0.3">
      <c r="A2198" s="366" t="str">
        <f>IFERROR(VLOOKUP(RIGHT(E2198,3)+0,[1]SchLocTable!$A$2:$B$47,2,FALSE)," ")</f>
        <v>Beardsley</v>
      </c>
      <c r="B2198" s="366" t="str">
        <f>VLOOKUP(VALUE(D2198),$D$3:F$106,3,FALSE)</f>
        <v>Special Education</v>
      </c>
      <c r="C2198" t="s">
        <v>314</v>
      </c>
      <c r="D2198">
        <v>827</v>
      </c>
      <c r="E2198" t="s">
        <v>813</v>
      </c>
      <c r="F2198" t="s">
        <v>320</v>
      </c>
      <c r="G2198" t="s">
        <v>319</v>
      </c>
      <c r="H2198" s="502">
        <v>52360</v>
      </c>
      <c r="I2198" s="415">
        <v>5098.482620660001</v>
      </c>
      <c r="J2198" s="415">
        <v>1029</v>
      </c>
      <c r="K2198" s="415">
        <v>1030.04</v>
      </c>
      <c r="L2198" s="415">
        <v>3583.41</v>
      </c>
      <c r="M2198" s="415">
        <v>3415.08</v>
      </c>
      <c r="N2198" s="415">
        <v>3182.8</v>
      </c>
      <c r="O2198" s="415">
        <v>3533.8</v>
      </c>
      <c r="P2198" s="415">
        <v>4097.03</v>
      </c>
      <c r="Q2198" s="481">
        <f t="shared" si="80"/>
        <v>-4069.482620660001</v>
      </c>
    </row>
    <row r="2199" spans="1:17" outlineLevel="2" x14ac:dyDescent="0.3">
      <c r="A2199" s="366" t="str">
        <f>IFERROR(VLOOKUP(RIGHT(E2199,3)+0,[1]SchLocTable!$A$2:$B$47,2,FALSE)," ")</f>
        <v>Beardsley</v>
      </c>
      <c r="B2199" s="366" t="str">
        <f>VLOOKUP(VALUE(D2199),$D$3:F$106,3,FALSE)</f>
        <v>Special Education</v>
      </c>
      <c r="C2199" t="s">
        <v>314</v>
      </c>
      <c r="D2199">
        <v>827</v>
      </c>
      <c r="E2199" t="s">
        <v>813</v>
      </c>
      <c r="F2199" t="s">
        <v>324</v>
      </c>
      <c r="G2199" t="s">
        <v>319</v>
      </c>
      <c r="H2199" s="502">
        <v>52385</v>
      </c>
      <c r="I2199" s="415">
        <v>0</v>
      </c>
      <c r="J2199" s="415">
        <v>0</v>
      </c>
      <c r="K2199" s="415">
        <v>0</v>
      </c>
      <c r="L2199" s="415">
        <v>0</v>
      </c>
      <c r="M2199" s="415">
        <v>1790.98</v>
      </c>
      <c r="N2199" s="415">
        <v>2535.0700000000002</v>
      </c>
      <c r="O2199" s="415">
        <v>0</v>
      </c>
      <c r="P2199" s="415">
        <v>0</v>
      </c>
      <c r="Q2199" s="481">
        <f t="shared" si="80"/>
        <v>0</v>
      </c>
    </row>
    <row r="2200" spans="1:17" outlineLevel="2" x14ac:dyDescent="0.3">
      <c r="A2200" s="366" t="str">
        <f>IFERROR(VLOOKUP(RIGHT(E2200,3)+0,[1]SchLocTable!$A$2:$B$47,2,FALSE)," ")</f>
        <v>Beardsley</v>
      </c>
      <c r="B2200" s="366" t="str">
        <f>VLOOKUP(VALUE(D2200),$D$3:F$106,3,FALSE)</f>
        <v>Special Education</v>
      </c>
      <c r="C2200" t="s">
        <v>314</v>
      </c>
      <c r="D2200">
        <v>827</v>
      </c>
      <c r="E2200" t="s">
        <v>813</v>
      </c>
      <c r="F2200" t="s">
        <v>329</v>
      </c>
      <c r="G2200" t="s">
        <v>319</v>
      </c>
      <c r="H2200" s="502">
        <v>51154</v>
      </c>
      <c r="I2200" s="415">
        <v>0</v>
      </c>
      <c r="J2200" s="415">
        <v>0</v>
      </c>
      <c r="K2200" s="415">
        <v>0</v>
      </c>
      <c r="L2200" s="415">
        <v>11375</v>
      </c>
      <c r="M2200" s="415">
        <v>0</v>
      </c>
      <c r="N2200" s="415">
        <v>0</v>
      </c>
      <c r="O2200" s="415">
        <v>11375</v>
      </c>
      <c r="P2200" s="415">
        <v>0</v>
      </c>
      <c r="Q2200" s="481">
        <f t="shared" si="80"/>
        <v>0</v>
      </c>
    </row>
    <row r="2201" spans="1:17" outlineLevel="2" x14ac:dyDescent="0.3">
      <c r="A2201" s="366" t="str">
        <f>IFERROR(VLOOKUP(RIGHT(E2201,3)+0,[1]SchLocTable!$A$2:$B$47,2,FALSE)," ")</f>
        <v>Black Rock</v>
      </c>
      <c r="B2201" s="366" t="str">
        <f>VLOOKUP(VALUE(D2201),$D$3:F$106,3,FALSE)</f>
        <v>Special Education</v>
      </c>
      <c r="C2201" t="s">
        <v>314</v>
      </c>
      <c r="D2201">
        <v>827</v>
      </c>
      <c r="E2201" t="s">
        <v>814</v>
      </c>
      <c r="F2201" t="s">
        <v>316</v>
      </c>
      <c r="G2201">
        <v>6</v>
      </c>
      <c r="H2201" s="502">
        <v>51000</v>
      </c>
      <c r="I2201" s="415">
        <v>465074.72037</v>
      </c>
      <c r="J2201" s="415">
        <v>222325.87</v>
      </c>
      <c r="K2201" s="415">
        <v>304671.93</v>
      </c>
      <c r="L2201" s="415">
        <v>313278.34000000003</v>
      </c>
      <c r="M2201" s="415">
        <v>303811.82</v>
      </c>
      <c r="N2201" s="415">
        <v>224057.5</v>
      </c>
      <c r="O2201" s="415">
        <v>325238.94</v>
      </c>
      <c r="P2201" s="415">
        <v>320118.24</v>
      </c>
      <c r="Q2201" s="481">
        <f t="shared" si="80"/>
        <v>-242748.85037</v>
      </c>
    </row>
    <row r="2202" spans="1:17" outlineLevel="2" x14ac:dyDescent="0.3">
      <c r="A2202" s="366" t="str">
        <f>IFERROR(VLOOKUP(RIGHT(E2202,3)+0,[1]SchLocTable!$A$2:$B$47,2,FALSE)," ")</f>
        <v>Black Rock</v>
      </c>
      <c r="B2202" s="366" t="str">
        <f>VLOOKUP(VALUE(D2202),$D$3:F$106,3,FALSE)</f>
        <v>Special Education</v>
      </c>
      <c r="C2202" t="s">
        <v>314</v>
      </c>
      <c r="D2202">
        <v>827</v>
      </c>
      <c r="E2202" t="s">
        <v>814</v>
      </c>
      <c r="F2202" t="s">
        <v>321</v>
      </c>
      <c r="G2202" t="s">
        <v>319</v>
      </c>
      <c r="H2202" s="502">
        <v>52917</v>
      </c>
      <c r="I2202" s="415">
        <v>137264.14799999999</v>
      </c>
      <c r="J2202" s="415">
        <v>69979.350000000006</v>
      </c>
      <c r="K2202" s="415">
        <v>98629.86</v>
      </c>
      <c r="L2202" s="415">
        <v>97420.47</v>
      </c>
      <c r="M2202" s="415">
        <v>91444.71</v>
      </c>
      <c r="N2202" s="415">
        <v>43487.839999999997</v>
      </c>
      <c r="O2202" s="415">
        <v>82160.06</v>
      </c>
      <c r="P2202" s="415">
        <v>86202.06</v>
      </c>
      <c r="Q2202" s="481">
        <f t="shared" si="80"/>
        <v>-67284.797999999981</v>
      </c>
    </row>
    <row r="2203" spans="1:17" outlineLevel="2" x14ac:dyDescent="0.3">
      <c r="A2203" s="366" t="str">
        <f>IFERROR(VLOOKUP(RIGHT(E2203,3)+0,[1]SchLocTable!$A$2:$B$47,2,FALSE)," ")</f>
        <v>Black Rock</v>
      </c>
      <c r="B2203" s="366" t="str">
        <f>VLOOKUP(VALUE(D2203),$D$3:F$106,3,FALSE)</f>
        <v>Special Education</v>
      </c>
      <c r="C2203" t="s">
        <v>314</v>
      </c>
      <c r="D2203">
        <v>827</v>
      </c>
      <c r="E2203" t="s">
        <v>814</v>
      </c>
      <c r="F2203" t="s">
        <v>318</v>
      </c>
      <c r="G2203" t="s">
        <v>319</v>
      </c>
      <c r="H2203" s="502">
        <v>51140</v>
      </c>
      <c r="I2203" s="415">
        <v>1200</v>
      </c>
      <c r="J2203" s="415">
        <v>0</v>
      </c>
      <c r="K2203" s="415">
        <v>3000</v>
      </c>
      <c r="L2203" s="415">
        <v>2100</v>
      </c>
      <c r="M2203" s="415">
        <v>2100</v>
      </c>
      <c r="N2203" s="415">
        <v>0</v>
      </c>
      <c r="O2203" s="415">
        <v>3700</v>
      </c>
      <c r="P2203" s="415">
        <v>2400</v>
      </c>
      <c r="Q2203" s="481">
        <f t="shared" si="80"/>
        <v>-1200</v>
      </c>
    </row>
    <row r="2204" spans="1:17" outlineLevel="2" x14ac:dyDescent="0.3">
      <c r="A2204" s="366" t="str">
        <f>IFERROR(VLOOKUP(RIGHT(E2204,3)+0,[1]SchLocTable!$A$2:$B$47,2,FALSE)," ")</f>
        <v>Black Rock</v>
      </c>
      <c r="B2204" s="366" t="str">
        <f>VLOOKUP(VALUE(D2204),$D$3:F$106,3,FALSE)</f>
        <v>Special Education</v>
      </c>
      <c r="C2204" t="s">
        <v>314</v>
      </c>
      <c r="D2204">
        <v>827</v>
      </c>
      <c r="E2204" t="s">
        <v>814</v>
      </c>
      <c r="F2204" t="s">
        <v>320</v>
      </c>
      <c r="G2204" t="s">
        <v>319</v>
      </c>
      <c r="H2204" s="502">
        <v>52360</v>
      </c>
      <c r="I2204" s="415">
        <v>6743.5834453649995</v>
      </c>
      <c r="J2204" s="415">
        <v>3179.71</v>
      </c>
      <c r="K2204" s="415">
        <v>4157.72</v>
      </c>
      <c r="L2204" s="415">
        <v>4160.18</v>
      </c>
      <c r="M2204" s="415">
        <v>4067.33</v>
      </c>
      <c r="N2204" s="415">
        <v>3079.32</v>
      </c>
      <c r="O2204" s="415">
        <v>3134.95</v>
      </c>
      <c r="P2204" s="415">
        <v>3065.38</v>
      </c>
      <c r="Q2204" s="481">
        <f t="shared" si="80"/>
        <v>-3563.8734453649995</v>
      </c>
    </row>
    <row r="2205" spans="1:17" outlineLevel="2" x14ac:dyDescent="0.3">
      <c r="A2205" s="366" t="str">
        <f>IFERROR(VLOOKUP(RIGHT(E2205,3)+0,[1]SchLocTable!$A$2:$B$47,2,FALSE)," ")</f>
        <v>Black Rock</v>
      </c>
      <c r="B2205" s="366" t="str">
        <f>VLOOKUP(VALUE(D2205),$D$3:F$106,3,FALSE)</f>
        <v>Special Education</v>
      </c>
      <c r="C2205" t="s">
        <v>314</v>
      </c>
      <c r="D2205">
        <v>827</v>
      </c>
      <c r="E2205" t="s">
        <v>814</v>
      </c>
      <c r="F2205" t="s">
        <v>324</v>
      </c>
      <c r="G2205" t="s">
        <v>319</v>
      </c>
      <c r="H2205" s="502">
        <v>52385</v>
      </c>
      <c r="I2205" s="415">
        <v>0</v>
      </c>
      <c r="J2205" s="415">
        <v>0</v>
      </c>
      <c r="K2205" s="415">
        <v>1348.5</v>
      </c>
      <c r="L2205" s="415">
        <v>0</v>
      </c>
      <c r="M2205" s="415">
        <v>0</v>
      </c>
      <c r="N2205" s="415">
        <v>987.87</v>
      </c>
      <c r="O2205" s="415">
        <v>0</v>
      </c>
      <c r="P2205" s="415">
        <v>0</v>
      </c>
      <c r="Q2205" s="481">
        <f t="shared" si="80"/>
        <v>0</v>
      </c>
    </row>
    <row r="2206" spans="1:17" outlineLevel="2" x14ac:dyDescent="0.3">
      <c r="A2206" s="366" t="str">
        <f>IFERROR(VLOOKUP(RIGHT(E2206,3)+0,[1]SchLocTable!$A$2:$B$47,2,FALSE)," ")</f>
        <v>Black Rock</v>
      </c>
      <c r="B2206" s="366" t="str">
        <f>VLOOKUP(VALUE(D2206),$D$3:F$106,3,FALSE)</f>
        <v>Special Education</v>
      </c>
      <c r="C2206" t="s">
        <v>314</v>
      </c>
      <c r="D2206">
        <v>827</v>
      </c>
      <c r="E2206" t="s">
        <v>814</v>
      </c>
      <c r="F2206" t="s">
        <v>329</v>
      </c>
      <c r="G2206" t="s">
        <v>319</v>
      </c>
      <c r="H2206" s="502">
        <v>51154</v>
      </c>
      <c r="I2206" s="415">
        <v>0</v>
      </c>
      <c r="J2206" s="415">
        <v>0</v>
      </c>
      <c r="K2206" s="415">
        <v>8125</v>
      </c>
      <c r="L2206" s="415">
        <v>0</v>
      </c>
      <c r="M2206" s="415">
        <v>0</v>
      </c>
      <c r="N2206" s="415">
        <v>0</v>
      </c>
      <c r="O2206" s="415">
        <v>7800</v>
      </c>
      <c r="P2206" s="415">
        <v>0</v>
      </c>
      <c r="Q2206" s="481">
        <f t="shared" si="80"/>
        <v>0</v>
      </c>
    </row>
    <row r="2207" spans="1:17" outlineLevel="2" x14ac:dyDescent="0.3">
      <c r="A2207" s="366" t="str">
        <f>IFERROR(VLOOKUP(RIGHT(E2207,3)+0,[1]SchLocTable!$A$2:$B$47,2,FALSE)," ")</f>
        <v>Bryant</v>
      </c>
      <c r="B2207" s="366" t="str">
        <f>VLOOKUP(VALUE(D2207),$D$3:F$106,3,FALSE)</f>
        <v>Special Education</v>
      </c>
      <c r="C2207" t="s">
        <v>314</v>
      </c>
      <c r="D2207">
        <v>827</v>
      </c>
      <c r="E2207" t="s">
        <v>815</v>
      </c>
      <c r="F2207" t="s">
        <v>316</v>
      </c>
      <c r="G2207">
        <v>5</v>
      </c>
      <c r="H2207" s="502">
        <v>51000</v>
      </c>
      <c r="I2207" s="415">
        <v>428325.52794</v>
      </c>
      <c r="J2207" s="415">
        <v>407541</v>
      </c>
      <c r="K2207" s="415">
        <v>390712.65</v>
      </c>
      <c r="L2207" s="415">
        <v>264263.18</v>
      </c>
      <c r="M2207" s="415">
        <v>357432.04</v>
      </c>
      <c r="N2207" s="415">
        <v>347507.13</v>
      </c>
      <c r="O2207" s="415">
        <v>380325.66</v>
      </c>
      <c r="P2207" s="415">
        <v>368187.49</v>
      </c>
      <c r="Q2207" s="481">
        <f t="shared" si="80"/>
        <v>-20784.52794</v>
      </c>
    </row>
    <row r="2208" spans="1:17" outlineLevel="2" x14ac:dyDescent="0.3">
      <c r="A2208" s="366" t="str">
        <f>IFERROR(VLOOKUP(RIGHT(E2208,3)+0,[1]SchLocTable!$A$2:$B$47,2,FALSE)," ")</f>
        <v>Bryant</v>
      </c>
      <c r="B2208" s="366" t="str">
        <f>VLOOKUP(VALUE(D2208),$D$3:F$106,3,FALSE)</f>
        <v>Special Education</v>
      </c>
      <c r="C2208" t="s">
        <v>314</v>
      </c>
      <c r="D2208">
        <v>827</v>
      </c>
      <c r="E2208" t="s">
        <v>815</v>
      </c>
      <c r="F2208" t="s">
        <v>321</v>
      </c>
      <c r="G2208" t="s">
        <v>319</v>
      </c>
      <c r="H2208" s="502">
        <v>52917</v>
      </c>
      <c r="I2208" s="415">
        <v>64119.887999999992</v>
      </c>
      <c r="J2208" s="415">
        <v>53433.24</v>
      </c>
      <c r="K2208" s="415">
        <v>57254.22</v>
      </c>
      <c r="L2208" s="415">
        <v>47508.09</v>
      </c>
      <c r="M2208" s="415">
        <v>56914.83</v>
      </c>
      <c r="N2208" s="415">
        <v>52457.97</v>
      </c>
      <c r="O2208" s="415">
        <v>22906.14</v>
      </c>
      <c r="P2208" s="415">
        <v>20603.580000000002</v>
      </c>
      <c r="Q2208" s="481">
        <f t="shared" si="80"/>
        <v>-10686.647999999994</v>
      </c>
    </row>
    <row r="2209" spans="1:17" outlineLevel="2" x14ac:dyDescent="0.3">
      <c r="A2209" s="366" t="str">
        <f>IFERROR(VLOOKUP(RIGHT(E2209,3)+0,[1]SchLocTable!$A$2:$B$47,2,FALSE)," ")</f>
        <v>Bryant</v>
      </c>
      <c r="B2209" s="366" t="str">
        <f>VLOOKUP(VALUE(D2209),$D$3:F$106,3,FALSE)</f>
        <v>Special Education</v>
      </c>
      <c r="C2209" t="s">
        <v>314</v>
      </c>
      <c r="D2209">
        <v>827</v>
      </c>
      <c r="E2209" t="s">
        <v>815</v>
      </c>
      <c r="F2209" t="s">
        <v>318</v>
      </c>
      <c r="G2209" t="s">
        <v>319</v>
      </c>
      <c r="H2209" s="502">
        <v>51140</v>
      </c>
      <c r="I2209" s="415">
        <v>2500</v>
      </c>
      <c r="J2209" s="415">
        <v>0</v>
      </c>
      <c r="K2209" s="415">
        <v>2400</v>
      </c>
      <c r="L2209" s="415">
        <v>2300</v>
      </c>
      <c r="M2209" s="415">
        <v>2300</v>
      </c>
      <c r="N2209" s="415">
        <v>2300</v>
      </c>
      <c r="O2209" s="415">
        <v>6000</v>
      </c>
      <c r="P2209" s="415">
        <v>3300</v>
      </c>
      <c r="Q2209" s="481">
        <f t="shared" si="80"/>
        <v>-2500</v>
      </c>
    </row>
    <row r="2210" spans="1:17" outlineLevel="2" x14ac:dyDescent="0.3">
      <c r="A2210" s="366" t="str">
        <f>IFERROR(VLOOKUP(RIGHT(E2210,3)+0,[1]SchLocTable!$A$2:$B$47,2,FALSE)," ")</f>
        <v>Bryant</v>
      </c>
      <c r="B2210" s="366" t="str">
        <f>VLOOKUP(VALUE(D2210),$D$3:F$106,3,FALSE)</f>
        <v>Special Education</v>
      </c>
      <c r="C2210" t="s">
        <v>314</v>
      </c>
      <c r="D2210">
        <v>827</v>
      </c>
      <c r="E2210" t="s">
        <v>815</v>
      </c>
      <c r="F2210" t="s">
        <v>320</v>
      </c>
      <c r="G2210" t="s">
        <v>319</v>
      </c>
      <c r="H2210" s="502">
        <v>52360</v>
      </c>
      <c r="I2210" s="415">
        <v>6210.7201551300004</v>
      </c>
      <c r="J2210" s="415">
        <v>5605</v>
      </c>
      <c r="K2210" s="415">
        <v>5457.73</v>
      </c>
      <c r="L2210" s="415">
        <v>3670.35</v>
      </c>
      <c r="M2210" s="415">
        <v>4990.53</v>
      </c>
      <c r="N2210" s="415">
        <v>4870.95</v>
      </c>
      <c r="O2210" s="415">
        <v>5721.38</v>
      </c>
      <c r="P2210" s="415">
        <v>5313.9</v>
      </c>
      <c r="Q2210" s="481">
        <f t="shared" si="80"/>
        <v>-605.72015513000042</v>
      </c>
    </row>
    <row r="2211" spans="1:17" outlineLevel="2" x14ac:dyDescent="0.3">
      <c r="A2211" s="366" t="str">
        <f>IFERROR(VLOOKUP(RIGHT(E2211,3)+0,[1]SchLocTable!$A$2:$B$47,2,FALSE)," ")</f>
        <v>Bryant</v>
      </c>
      <c r="B2211" s="366" t="str">
        <f>VLOOKUP(VALUE(D2211),$D$3:F$106,3,FALSE)</f>
        <v>Special Education</v>
      </c>
      <c r="C2211" t="s">
        <v>314</v>
      </c>
      <c r="D2211">
        <v>827</v>
      </c>
      <c r="E2211" t="s">
        <v>815</v>
      </c>
      <c r="F2211" t="s">
        <v>324</v>
      </c>
      <c r="G2211" t="s">
        <v>319</v>
      </c>
      <c r="H2211" s="502">
        <v>52385</v>
      </c>
      <c r="I2211" s="415">
        <v>0</v>
      </c>
      <c r="J2211" s="415">
        <v>0</v>
      </c>
      <c r="K2211" s="415">
        <v>0</v>
      </c>
      <c r="L2211" s="415">
        <v>310</v>
      </c>
      <c r="M2211" s="415">
        <v>0</v>
      </c>
      <c r="N2211" s="415">
        <v>0</v>
      </c>
      <c r="O2211" s="415">
        <v>0</v>
      </c>
      <c r="P2211" s="415">
        <v>0</v>
      </c>
      <c r="Q2211" s="481">
        <f t="shared" si="80"/>
        <v>0</v>
      </c>
    </row>
    <row r="2212" spans="1:17" outlineLevel="2" x14ac:dyDescent="0.3">
      <c r="A2212" s="366" t="str">
        <f>IFERROR(VLOOKUP(RIGHT(E2212,3)+0,[1]SchLocTable!$A$2:$B$47,2,FALSE)," ")</f>
        <v>Columbus</v>
      </c>
      <c r="B2212" s="366" t="str">
        <f>VLOOKUP(VALUE(D2212),$D$3:F$106,3,FALSE)</f>
        <v>Special Education</v>
      </c>
      <c r="C2212" t="s">
        <v>314</v>
      </c>
      <c r="D2212">
        <v>827</v>
      </c>
      <c r="E2212" t="s">
        <v>816</v>
      </c>
      <c r="F2212" t="s">
        <v>316</v>
      </c>
      <c r="G2212">
        <v>6</v>
      </c>
      <c r="H2212" s="502">
        <v>51000</v>
      </c>
      <c r="I2212" s="415">
        <v>599820.99205</v>
      </c>
      <c r="J2212" s="415">
        <v>251418</v>
      </c>
      <c r="K2212" s="415">
        <v>235707.93</v>
      </c>
      <c r="L2212" s="415">
        <v>230036.4</v>
      </c>
      <c r="M2212" s="415">
        <v>211558.51</v>
      </c>
      <c r="N2212" s="415">
        <v>66738.94</v>
      </c>
      <c r="O2212" s="415">
        <v>124536.88</v>
      </c>
      <c r="P2212" s="415">
        <v>133426.38</v>
      </c>
      <c r="Q2212" s="481">
        <f t="shared" si="80"/>
        <v>-348402.99205</v>
      </c>
    </row>
    <row r="2213" spans="1:17" outlineLevel="2" x14ac:dyDescent="0.3">
      <c r="A2213" s="366" t="str">
        <f>IFERROR(VLOOKUP(RIGHT(E2213,3)+0,[1]SchLocTable!$A$2:$B$47,2,FALSE)," ")</f>
        <v>Columbus</v>
      </c>
      <c r="B2213" s="366" t="str">
        <f>VLOOKUP(VALUE(D2213),$D$3:F$106,3,FALSE)</f>
        <v>Special Education</v>
      </c>
      <c r="C2213" t="s">
        <v>314</v>
      </c>
      <c r="D2213">
        <v>827</v>
      </c>
      <c r="E2213" t="s">
        <v>816</v>
      </c>
      <c r="F2213" t="s">
        <v>321</v>
      </c>
      <c r="G2213" t="s">
        <v>319</v>
      </c>
      <c r="H2213" s="502">
        <v>52917</v>
      </c>
      <c r="I2213" s="415">
        <v>123086.628</v>
      </c>
      <c r="J2213" s="415">
        <v>50925.84</v>
      </c>
      <c r="K2213" s="415">
        <v>40322.1</v>
      </c>
      <c r="L2213" s="415">
        <v>43707.72</v>
      </c>
      <c r="M2213" s="415">
        <v>34672.080000000002</v>
      </c>
      <c r="N2213" s="415">
        <v>0</v>
      </c>
      <c r="O2213" s="415">
        <v>9817.68</v>
      </c>
      <c r="P2213" s="415">
        <v>3081.89</v>
      </c>
      <c r="Q2213" s="481">
        <f t="shared" si="80"/>
        <v>-72160.788</v>
      </c>
    </row>
    <row r="2214" spans="1:17" outlineLevel="2" x14ac:dyDescent="0.3">
      <c r="A2214" s="366" t="str">
        <f>IFERROR(VLOOKUP(RIGHT(E2214,3)+0,[1]SchLocTable!$A$2:$B$47,2,FALSE)," ")</f>
        <v>Columbus</v>
      </c>
      <c r="B2214" s="366" t="str">
        <f>VLOOKUP(VALUE(D2214),$D$3:F$106,3,FALSE)</f>
        <v>Special Education</v>
      </c>
      <c r="C2214" t="s">
        <v>314</v>
      </c>
      <c r="D2214">
        <v>827</v>
      </c>
      <c r="E2214" t="s">
        <v>816</v>
      </c>
      <c r="F2214" t="s">
        <v>320</v>
      </c>
      <c r="G2214" t="s">
        <v>319</v>
      </c>
      <c r="H2214" s="502">
        <v>52360</v>
      </c>
      <c r="I2214" s="415">
        <v>8697.4043847249977</v>
      </c>
      <c r="J2214" s="415">
        <v>3405</v>
      </c>
      <c r="K2214" s="415">
        <v>3245.34</v>
      </c>
      <c r="L2214" s="415">
        <v>3153.72</v>
      </c>
      <c r="M2214" s="415">
        <v>2927.55</v>
      </c>
      <c r="N2214" s="415">
        <v>967.71</v>
      </c>
      <c r="O2214" s="415">
        <v>1768.49</v>
      </c>
      <c r="P2214" s="415">
        <v>1923.14</v>
      </c>
      <c r="Q2214" s="481">
        <f t="shared" si="80"/>
        <v>-5292.4043847249977</v>
      </c>
    </row>
    <row r="2215" spans="1:17" outlineLevel="1" x14ac:dyDescent="0.3">
      <c r="A2215" s="366" t="str">
        <f>IFERROR(VLOOKUP(RIGHT(E2215,3)+0,[1]SchLocTable!$A$2:$B$47,2,FALSE)," ")</f>
        <v>Columbus</v>
      </c>
      <c r="B2215" s="366" t="str">
        <f>VLOOKUP(VALUE(D2215),$D$3:F$106,3,FALSE)</f>
        <v>Special Education</v>
      </c>
      <c r="C2215" t="s">
        <v>314</v>
      </c>
      <c r="D2215">
        <v>827</v>
      </c>
      <c r="E2215" t="s">
        <v>816</v>
      </c>
      <c r="F2215" t="s">
        <v>324</v>
      </c>
      <c r="G2215" t="s">
        <v>319</v>
      </c>
      <c r="H2215" s="502">
        <v>52385</v>
      </c>
      <c r="I2215" s="415">
        <v>0</v>
      </c>
      <c r="J2215" s="415">
        <v>0</v>
      </c>
      <c r="K2215" s="415">
        <v>0</v>
      </c>
      <c r="L2215" s="415">
        <v>0</v>
      </c>
      <c r="M2215" s="415">
        <v>480.5</v>
      </c>
      <c r="N2215" s="415">
        <v>210.8</v>
      </c>
      <c r="O2215" s="415">
        <v>0</v>
      </c>
      <c r="P2215" s="415">
        <v>0</v>
      </c>
      <c r="Q2215" s="481">
        <f t="shared" si="80"/>
        <v>0</v>
      </c>
    </row>
    <row r="2216" spans="1:17" outlineLevel="2" x14ac:dyDescent="0.3">
      <c r="A2216" s="366" t="str">
        <f>IFERROR(VLOOKUP(RIGHT(E2216,3)+0,[1]SchLocTable!$A$2:$B$47,2,FALSE)," ")</f>
        <v>Edison</v>
      </c>
      <c r="B2216" s="366" t="str">
        <f>VLOOKUP(VALUE(D2216),$D$3:F$106,3,FALSE)</f>
        <v>Special Education</v>
      </c>
      <c r="C2216" t="s">
        <v>314</v>
      </c>
      <c r="D2216">
        <v>827</v>
      </c>
      <c r="E2216" t="s">
        <v>817</v>
      </c>
      <c r="F2216" t="s">
        <v>316</v>
      </c>
      <c r="G2216">
        <v>2</v>
      </c>
      <c r="H2216" s="502">
        <v>51000</v>
      </c>
      <c r="I2216" s="415">
        <v>208377.51345</v>
      </c>
      <c r="J2216" s="415">
        <v>91048</v>
      </c>
      <c r="K2216" s="415">
        <v>87650.91</v>
      </c>
      <c r="L2216" s="415">
        <v>64179.12</v>
      </c>
      <c r="M2216" s="415">
        <v>51448.87</v>
      </c>
      <c r="N2216" s="415">
        <v>57345.96</v>
      </c>
      <c r="O2216" s="415">
        <v>52878</v>
      </c>
      <c r="P2216" s="415">
        <v>0</v>
      </c>
      <c r="Q2216" s="481">
        <f t="shared" si="80"/>
        <v>-117329.51345</v>
      </c>
    </row>
    <row r="2217" spans="1:17" outlineLevel="2" x14ac:dyDescent="0.3">
      <c r="A2217" s="366" t="str">
        <f>IFERROR(VLOOKUP(RIGHT(E2217,3)+0,[1]SchLocTable!$A$2:$B$47,2,FALSE)," ")</f>
        <v>Edison</v>
      </c>
      <c r="B2217" s="366" t="str">
        <f>VLOOKUP(VALUE(D2217),$D$3:F$106,3,FALSE)</f>
        <v>Special Education</v>
      </c>
      <c r="C2217" t="s">
        <v>314</v>
      </c>
      <c r="D2217">
        <v>827</v>
      </c>
      <c r="E2217" t="s">
        <v>817</v>
      </c>
      <c r="F2217" t="s">
        <v>321</v>
      </c>
      <c r="G2217" t="s">
        <v>319</v>
      </c>
      <c r="H2217" s="502">
        <v>52917</v>
      </c>
      <c r="I2217" s="415">
        <v>83110.607999999993</v>
      </c>
      <c r="J2217" s="415">
        <v>20918</v>
      </c>
      <c r="K2217" s="415">
        <v>17110</v>
      </c>
      <c r="L2217" s="415">
        <v>11629.17</v>
      </c>
      <c r="M2217" s="415">
        <v>10952.55</v>
      </c>
      <c r="N2217" s="415">
        <v>10177.23</v>
      </c>
      <c r="O2217" s="415">
        <v>9378.56</v>
      </c>
      <c r="P2217" s="415">
        <v>0</v>
      </c>
      <c r="Q2217" s="481">
        <f t="shared" si="80"/>
        <v>-62192.607999999993</v>
      </c>
    </row>
    <row r="2218" spans="1:17" outlineLevel="2" x14ac:dyDescent="0.3">
      <c r="A2218" s="366" t="str">
        <f>IFERROR(VLOOKUP(RIGHT(E2218,3)+0,[1]SchLocTable!$A$2:$B$47,2,FALSE)," ")</f>
        <v>Edison</v>
      </c>
      <c r="B2218" s="366" t="str">
        <f>VLOOKUP(VALUE(D2218),$D$3:F$106,3,FALSE)</f>
        <v>Special Education</v>
      </c>
      <c r="C2218" t="s">
        <v>314</v>
      </c>
      <c r="D2218">
        <v>827</v>
      </c>
      <c r="E2218" t="s">
        <v>817</v>
      </c>
      <c r="F2218" t="s">
        <v>318</v>
      </c>
      <c r="G2218" t="s">
        <v>319</v>
      </c>
      <c r="H2218" s="502">
        <v>51140</v>
      </c>
      <c r="I2218" s="415">
        <v>0</v>
      </c>
      <c r="J2218" s="415">
        <v>0</v>
      </c>
      <c r="K2218" s="415">
        <v>0</v>
      </c>
      <c r="L2218" s="415">
        <v>1200</v>
      </c>
      <c r="M2218" s="415">
        <v>1200</v>
      </c>
      <c r="N2218" s="415">
        <v>0</v>
      </c>
      <c r="O2218" s="415">
        <v>0</v>
      </c>
      <c r="P2218" s="415">
        <v>0</v>
      </c>
      <c r="Q2218" s="481">
        <f t="shared" si="80"/>
        <v>0</v>
      </c>
    </row>
    <row r="2219" spans="1:17" outlineLevel="2" x14ac:dyDescent="0.3">
      <c r="A2219" s="366" t="str">
        <f>IFERROR(VLOOKUP(RIGHT(E2219,3)+0,[1]SchLocTable!$A$2:$B$47,2,FALSE)," ")</f>
        <v>Edison</v>
      </c>
      <c r="B2219" s="366" t="str">
        <f>VLOOKUP(VALUE(D2219),$D$3:F$106,3,FALSE)</f>
        <v>Special Education</v>
      </c>
      <c r="C2219" t="s">
        <v>314</v>
      </c>
      <c r="D2219">
        <v>827</v>
      </c>
      <c r="E2219" t="s">
        <v>817</v>
      </c>
      <c r="F2219" t="s">
        <v>320</v>
      </c>
      <c r="G2219" t="s">
        <v>319</v>
      </c>
      <c r="H2219" s="502">
        <v>52360</v>
      </c>
      <c r="I2219" s="415">
        <v>3021.4739450250004</v>
      </c>
      <c r="J2219" s="415">
        <v>1229</v>
      </c>
      <c r="K2219" s="415">
        <v>1197.68</v>
      </c>
      <c r="L2219" s="415">
        <v>895.71</v>
      </c>
      <c r="M2219" s="415">
        <v>771.54</v>
      </c>
      <c r="N2219" s="415">
        <v>791.7</v>
      </c>
      <c r="O2219" s="415">
        <v>734.45</v>
      </c>
      <c r="P2219" s="415">
        <v>0</v>
      </c>
      <c r="Q2219" s="481">
        <f t="shared" si="80"/>
        <v>-1792.4739450250004</v>
      </c>
    </row>
    <row r="2220" spans="1:17" outlineLevel="2" x14ac:dyDescent="0.3">
      <c r="A2220" s="366" t="str">
        <f>IFERROR(VLOOKUP(RIGHT(E2220,3)+0,[1]SchLocTable!$A$2:$B$47,2,FALSE)," ")</f>
        <v>Edison</v>
      </c>
      <c r="B2220" s="366" t="str">
        <f>VLOOKUP(VALUE(D2220),$D$3:F$106,3,FALSE)</f>
        <v>Special Education</v>
      </c>
      <c r="C2220" t="s">
        <v>314</v>
      </c>
      <c r="D2220">
        <v>827</v>
      </c>
      <c r="E2220" t="s">
        <v>817</v>
      </c>
      <c r="F2220" t="s">
        <v>324</v>
      </c>
      <c r="G2220" t="s">
        <v>319</v>
      </c>
      <c r="H2220" s="502">
        <v>52385</v>
      </c>
      <c r="I2220" s="415">
        <v>0</v>
      </c>
      <c r="J2220" s="415">
        <v>0</v>
      </c>
      <c r="K2220" s="415">
        <v>995.3</v>
      </c>
      <c r="L2220" s="415">
        <v>0</v>
      </c>
      <c r="M2220" s="415">
        <v>0</v>
      </c>
      <c r="N2220" s="415">
        <v>0</v>
      </c>
      <c r="O2220" s="415">
        <v>0</v>
      </c>
      <c r="P2220" s="415">
        <v>0</v>
      </c>
      <c r="Q2220" s="481">
        <f t="shared" si="80"/>
        <v>0</v>
      </c>
    </row>
    <row r="2221" spans="1:17" outlineLevel="2" x14ac:dyDescent="0.3">
      <c r="A2221" s="366" t="str">
        <f>IFERROR(VLOOKUP(RIGHT(E2221,3)+0,[1]SchLocTable!$A$2:$B$47,2,FALSE)," ")</f>
        <v>Physical Science HS</v>
      </c>
      <c r="B2221" s="366" t="str">
        <f>VLOOKUP(VALUE(D2221),$D$3:F$106,3,FALSE)</f>
        <v>Special Education</v>
      </c>
      <c r="C2221" t="s">
        <v>314</v>
      </c>
      <c r="D2221">
        <v>827</v>
      </c>
      <c r="E2221" t="s">
        <v>1308</v>
      </c>
      <c r="F2221" t="s">
        <v>316</v>
      </c>
      <c r="G2221" t="s">
        <v>319</v>
      </c>
      <c r="H2221" s="502">
        <v>51000</v>
      </c>
      <c r="I2221" s="415">
        <v>89761.811099999992</v>
      </c>
      <c r="J2221" s="415">
        <v>0</v>
      </c>
      <c r="K2221" s="415">
        <v>0</v>
      </c>
      <c r="L2221" s="415">
        <v>0</v>
      </c>
      <c r="M2221" s="415">
        <v>0</v>
      </c>
      <c r="N2221" s="415">
        <v>0</v>
      </c>
      <c r="O2221" s="415">
        <v>0</v>
      </c>
      <c r="P2221" s="415">
        <v>0</v>
      </c>
      <c r="Q2221" s="481">
        <f t="shared" si="80"/>
        <v>-89761.811099999992</v>
      </c>
    </row>
    <row r="2222" spans="1:17" outlineLevel="2" x14ac:dyDescent="0.3">
      <c r="A2222" s="366" t="str">
        <f>IFERROR(VLOOKUP(RIGHT(E2222,3)+0,[1]SchLocTable!$A$2:$B$47,2,FALSE)," ")</f>
        <v>Physical Science HS</v>
      </c>
      <c r="B2222" s="366" t="str">
        <f>VLOOKUP(VALUE(D2222),$D$3:F$106,3,FALSE)</f>
        <v>Special Education</v>
      </c>
      <c r="C2222" t="s">
        <v>314</v>
      </c>
      <c r="D2222">
        <v>827</v>
      </c>
      <c r="E2222" t="s">
        <v>1308</v>
      </c>
      <c r="F2222" t="s">
        <v>320</v>
      </c>
      <c r="G2222" t="s">
        <v>319</v>
      </c>
      <c r="H2222" s="502">
        <v>52360</v>
      </c>
      <c r="I2222" s="415">
        <v>1301.54626095</v>
      </c>
      <c r="J2222" s="415">
        <v>0</v>
      </c>
      <c r="K2222" s="415">
        <v>0</v>
      </c>
      <c r="L2222" s="415">
        <v>0</v>
      </c>
      <c r="M2222" s="415">
        <v>0</v>
      </c>
      <c r="N2222" s="415">
        <v>0</v>
      </c>
      <c r="O2222" s="415">
        <v>0</v>
      </c>
      <c r="P2222" s="415">
        <v>0</v>
      </c>
      <c r="Q2222" s="481">
        <f t="shared" si="80"/>
        <v>-1301.54626095</v>
      </c>
    </row>
    <row r="2223" spans="1:17" outlineLevel="2" x14ac:dyDescent="0.3">
      <c r="A2223" s="366" t="str">
        <f>IFERROR(VLOOKUP(RIGHT(E2223,3)+0,[1]SchLocTable!$A$2:$B$47,2,FALSE)," ")</f>
        <v>Marin</v>
      </c>
      <c r="B2223" s="366" t="str">
        <f>VLOOKUP(VALUE(D2223),$D$3:F$106,3,FALSE)</f>
        <v>Special Education</v>
      </c>
      <c r="C2223" t="s">
        <v>314</v>
      </c>
      <c r="D2223">
        <v>827</v>
      </c>
      <c r="E2223" t="s">
        <v>818</v>
      </c>
      <c r="F2223" t="s">
        <v>316</v>
      </c>
      <c r="G2223">
        <v>1</v>
      </c>
      <c r="H2223" s="502">
        <v>51000</v>
      </c>
      <c r="I2223" s="415">
        <v>447244.36874000006</v>
      </c>
      <c r="J2223" s="415">
        <v>95393</v>
      </c>
      <c r="K2223" s="415">
        <v>93293.98</v>
      </c>
      <c r="L2223" s="415">
        <v>91241.02</v>
      </c>
      <c r="M2223" s="415">
        <v>88621.72</v>
      </c>
      <c r="N2223" s="415">
        <v>88316.26</v>
      </c>
      <c r="O2223" s="415">
        <v>80557.100000000006</v>
      </c>
      <c r="P2223" s="415">
        <v>79289.08</v>
      </c>
      <c r="Q2223" s="481">
        <f t="shared" si="80"/>
        <v>-351851.36874000006</v>
      </c>
    </row>
    <row r="2224" spans="1:17" outlineLevel="2" x14ac:dyDescent="0.3">
      <c r="A2224" s="366" t="str">
        <f>IFERROR(VLOOKUP(RIGHT(E2224,3)+0,[1]SchLocTable!$A$2:$B$47,2,FALSE)," ")</f>
        <v>Marin</v>
      </c>
      <c r="B2224" s="366" t="str">
        <f>VLOOKUP(VALUE(D2224),$D$3:F$106,3,FALSE)</f>
        <v>Special Education</v>
      </c>
      <c r="C2224" t="s">
        <v>314</v>
      </c>
      <c r="D2224">
        <v>827</v>
      </c>
      <c r="E2224" t="s">
        <v>818</v>
      </c>
      <c r="F2224" t="s">
        <v>321</v>
      </c>
      <c r="G2224" t="s">
        <v>319</v>
      </c>
      <c r="H2224" s="502">
        <v>52917</v>
      </c>
      <c r="I2224" s="415">
        <v>161320.57199999999</v>
      </c>
      <c r="J2224" s="415">
        <v>13037.22</v>
      </c>
      <c r="K2224" s="415">
        <v>11844</v>
      </c>
      <c r="L2224" s="415">
        <v>11684.82</v>
      </c>
      <c r="M2224" s="415">
        <v>10956.75</v>
      </c>
      <c r="N2224" s="415">
        <v>11676.15</v>
      </c>
      <c r="O2224" s="415">
        <v>9817.68</v>
      </c>
      <c r="P2224" s="415">
        <v>9245.67</v>
      </c>
      <c r="Q2224" s="481">
        <f t="shared" si="80"/>
        <v>-148283.35199999998</v>
      </c>
    </row>
    <row r="2225" spans="1:17" outlineLevel="2" x14ac:dyDescent="0.3">
      <c r="A2225" s="366" t="str">
        <f>IFERROR(VLOOKUP(RIGHT(E2225,3)+0,[1]SchLocTable!$A$2:$B$47,2,FALSE)," ")</f>
        <v>Marin</v>
      </c>
      <c r="B2225" s="366" t="str">
        <f>VLOOKUP(VALUE(D2225),$D$3:F$106,3,FALSE)</f>
        <v>Special Education</v>
      </c>
      <c r="C2225" t="s">
        <v>314</v>
      </c>
      <c r="D2225">
        <v>827</v>
      </c>
      <c r="E2225" t="s">
        <v>818</v>
      </c>
      <c r="F2225" t="s">
        <v>318</v>
      </c>
      <c r="G2225" t="s">
        <v>319</v>
      </c>
      <c r="H2225" s="502">
        <v>51140</v>
      </c>
      <c r="I2225" s="415">
        <v>0</v>
      </c>
      <c r="J2225" s="415">
        <v>0</v>
      </c>
      <c r="K2225" s="415">
        <v>0</v>
      </c>
      <c r="L2225" s="415">
        <v>900</v>
      </c>
      <c r="M2225" s="415">
        <v>900</v>
      </c>
      <c r="N2225" s="415">
        <v>0</v>
      </c>
      <c r="O2225" s="415">
        <v>0</v>
      </c>
      <c r="P2225" s="415">
        <v>0</v>
      </c>
      <c r="Q2225" s="481">
        <f t="shared" si="80"/>
        <v>0</v>
      </c>
    </row>
    <row r="2226" spans="1:17" outlineLevel="1" x14ac:dyDescent="0.3">
      <c r="A2226" s="366" t="str">
        <f>IFERROR(VLOOKUP(RIGHT(E2226,3)+0,[1]SchLocTable!$A$2:$B$47,2,FALSE)," ")</f>
        <v>Marin</v>
      </c>
      <c r="B2226" s="366" t="str">
        <f>VLOOKUP(VALUE(D2226),$D$3:F$106,3,FALSE)</f>
        <v>Special Education</v>
      </c>
      <c r="C2226" t="s">
        <v>314</v>
      </c>
      <c r="D2226">
        <v>827</v>
      </c>
      <c r="E2226" t="s">
        <v>818</v>
      </c>
      <c r="F2226" t="s">
        <v>320</v>
      </c>
      <c r="G2226" t="s">
        <v>319</v>
      </c>
      <c r="H2226" s="502">
        <v>52360</v>
      </c>
      <c r="I2226" s="415">
        <v>6485.0433467300008</v>
      </c>
      <c r="J2226" s="415">
        <v>1313</v>
      </c>
      <c r="K2226" s="415">
        <v>1302.19</v>
      </c>
      <c r="L2226" s="415">
        <v>1287.6500000000001</v>
      </c>
      <c r="M2226" s="415">
        <v>1223.46</v>
      </c>
      <c r="N2226" s="415">
        <v>1234.99</v>
      </c>
      <c r="O2226" s="415">
        <v>1124.75</v>
      </c>
      <c r="P2226" s="415">
        <v>1115.06</v>
      </c>
      <c r="Q2226" s="481">
        <f t="shared" si="80"/>
        <v>-5172.0433467300008</v>
      </c>
    </row>
    <row r="2227" spans="1:17" outlineLevel="2" x14ac:dyDescent="0.3">
      <c r="A2227" s="366" t="str">
        <f>IFERROR(VLOOKUP(RIGHT(E2227,3)+0,[1]SchLocTable!$A$2:$B$47,2,FALSE)," ")</f>
        <v>Hall</v>
      </c>
      <c r="B2227" s="366" t="str">
        <f>VLOOKUP(VALUE(D2227),$D$3:F$106,3,FALSE)</f>
        <v>Special Education</v>
      </c>
      <c r="C2227" t="s">
        <v>314</v>
      </c>
      <c r="D2227">
        <v>827</v>
      </c>
      <c r="E2227" t="s">
        <v>819</v>
      </c>
      <c r="F2227" t="s">
        <v>316</v>
      </c>
      <c r="G2227" t="s">
        <v>319</v>
      </c>
      <c r="H2227" s="502">
        <v>51000</v>
      </c>
      <c r="I2227" s="415">
        <v>40884.887940000001</v>
      </c>
      <c r="J2227" s="415">
        <v>35011</v>
      </c>
      <c r="K2227" s="415">
        <v>33498.14</v>
      </c>
      <c r="L2227" s="415">
        <v>840</v>
      </c>
      <c r="M2227" s="415">
        <v>0</v>
      </c>
      <c r="N2227" s="415">
        <v>88564.06</v>
      </c>
      <c r="O2227" s="415">
        <v>87254.96</v>
      </c>
      <c r="P2227" s="415">
        <v>131549.94</v>
      </c>
      <c r="Q2227" s="481">
        <f t="shared" si="80"/>
        <v>-5873.8879400000005</v>
      </c>
    </row>
    <row r="2228" spans="1:17" outlineLevel="2" x14ac:dyDescent="0.3">
      <c r="A2228" s="366" t="str">
        <f>IFERROR(VLOOKUP(RIGHT(E2228,3)+0,[1]SchLocTable!$A$2:$B$47,2,FALSE)," ")</f>
        <v>Hall</v>
      </c>
      <c r="B2228" s="366" t="str">
        <f>VLOOKUP(VALUE(D2228),$D$3:F$106,3,FALSE)</f>
        <v>Special Education</v>
      </c>
      <c r="C2228" t="s">
        <v>314</v>
      </c>
      <c r="D2228">
        <v>827</v>
      </c>
      <c r="E2228" t="s">
        <v>819</v>
      </c>
      <c r="F2228" t="s">
        <v>321</v>
      </c>
      <c r="G2228" t="s">
        <v>319</v>
      </c>
      <c r="H2228" s="502">
        <v>52917</v>
      </c>
      <c r="I2228" s="415">
        <v>7822.5840000000007</v>
      </c>
      <c r="J2228" s="415">
        <v>6518.82</v>
      </c>
      <c r="K2228" s="415">
        <v>5922</v>
      </c>
      <c r="L2228" s="415">
        <v>0</v>
      </c>
      <c r="M2228" s="415">
        <v>0</v>
      </c>
      <c r="N2228" s="415">
        <v>30308.67</v>
      </c>
      <c r="O2228" s="415">
        <v>29077.5</v>
      </c>
      <c r="P2228" s="415">
        <v>34925.79</v>
      </c>
      <c r="Q2228" s="481">
        <f t="shared" si="80"/>
        <v>-1303.764000000001</v>
      </c>
    </row>
    <row r="2229" spans="1:17" outlineLevel="2" x14ac:dyDescent="0.3">
      <c r="A2229" s="366" t="str">
        <f>IFERROR(VLOOKUP(RIGHT(E2229,3)+0,[1]SchLocTable!$A$2:$B$47,2,FALSE)," ")</f>
        <v>Hall</v>
      </c>
      <c r="B2229" s="366" t="str">
        <f>VLOOKUP(VALUE(D2229),$D$3:F$106,3,FALSE)</f>
        <v>Special Education</v>
      </c>
      <c r="C2229" t="s">
        <v>314</v>
      </c>
      <c r="D2229">
        <v>827</v>
      </c>
      <c r="E2229" t="s">
        <v>819</v>
      </c>
      <c r="F2229" t="s">
        <v>320</v>
      </c>
      <c r="G2229" t="s">
        <v>319</v>
      </c>
      <c r="H2229" s="502">
        <v>52360</v>
      </c>
      <c r="I2229" s="415">
        <v>592.83087512999998</v>
      </c>
      <c r="J2229" s="415">
        <v>472</v>
      </c>
      <c r="K2229" s="415">
        <v>460.51</v>
      </c>
      <c r="L2229" s="415">
        <v>12.18</v>
      </c>
      <c r="M2229" s="415">
        <v>0</v>
      </c>
      <c r="N2229" s="415">
        <v>1165.8499999999999</v>
      </c>
      <c r="O2229" s="415">
        <v>1154.76</v>
      </c>
      <c r="P2229" s="415">
        <v>1775.88</v>
      </c>
      <c r="Q2229" s="481">
        <f t="shared" si="80"/>
        <v>-120.83087512999998</v>
      </c>
    </row>
    <row r="2230" spans="1:17" outlineLevel="2" x14ac:dyDescent="0.3">
      <c r="A2230" s="366" t="str">
        <f>IFERROR(VLOOKUP(RIGHT(E2230,3)+0,[1]SchLocTable!$A$2:$B$47,2,FALSE)," ")</f>
        <v>Hallen</v>
      </c>
      <c r="B2230" s="366" t="str">
        <f>VLOOKUP(VALUE(D2230),$D$3:F$106,3,FALSE)</f>
        <v>Special Education</v>
      </c>
      <c r="C2230" t="s">
        <v>314</v>
      </c>
      <c r="D2230">
        <v>827</v>
      </c>
      <c r="E2230" t="s">
        <v>820</v>
      </c>
      <c r="F2230" t="s">
        <v>316</v>
      </c>
      <c r="G2230" t="s">
        <v>319</v>
      </c>
      <c r="H2230" s="502">
        <v>51000</v>
      </c>
      <c r="I2230" s="415">
        <v>58894.908019999995</v>
      </c>
      <c r="J2230" s="415">
        <v>0</v>
      </c>
      <c r="K2230" s="415">
        <v>58183.28</v>
      </c>
      <c r="L2230" s="415">
        <v>227333.08</v>
      </c>
      <c r="M2230" s="415">
        <v>306523.63</v>
      </c>
      <c r="N2230" s="415">
        <v>296120.99</v>
      </c>
      <c r="O2230" s="415">
        <v>283766.95</v>
      </c>
      <c r="P2230" s="415">
        <v>275746.17</v>
      </c>
      <c r="Q2230" s="481">
        <f t="shared" si="80"/>
        <v>-58894.908019999995</v>
      </c>
    </row>
    <row r="2231" spans="1:17" outlineLevel="2" x14ac:dyDescent="0.3">
      <c r="A2231" s="366" t="str">
        <f>IFERROR(VLOOKUP(RIGHT(E2231,3)+0,[1]SchLocTable!$A$2:$B$47,2,FALSE)," ")</f>
        <v>Hallen</v>
      </c>
      <c r="B2231" s="366" t="str">
        <f>VLOOKUP(VALUE(D2231),$D$3:F$106,3,FALSE)</f>
        <v>Special Education</v>
      </c>
      <c r="C2231" t="s">
        <v>314</v>
      </c>
      <c r="D2231">
        <v>827</v>
      </c>
      <c r="E2231" t="s">
        <v>820</v>
      </c>
      <c r="F2231" t="s">
        <v>321</v>
      </c>
      <c r="G2231" t="s">
        <v>319</v>
      </c>
      <c r="H2231" s="502">
        <v>52917</v>
      </c>
      <c r="I2231" s="415">
        <v>37644.263999999996</v>
      </c>
      <c r="J2231" s="415">
        <v>0</v>
      </c>
      <c r="K2231" s="415">
        <v>22211.26</v>
      </c>
      <c r="L2231" s="415">
        <v>40720.68</v>
      </c>
      <c r="M2231" s="415">
        <v>51423.96</v>
      </c>
      <c r="N2231" s="415">
        <v>41021.19</v>
      </c>
      <c r="O2231" s="415">
        <v>39319.17</v>
      </c>
      <c r="P2231" s="415">
        <v>37078.86</v>
      </c>
      <c r="Q2231" s="481">
        <f t="shared" si="80"/>
        <v>-37644.263999999996</v>
      </c>
    </row>
    <row r="2232" spans="1:17" outlineLevel="2" x14ac:dyDescent="0.3">
      <c r="A2232" s="366" t="str">
        <f>IFERROR(VLOOKUP(RIGHT(E2232,3)+0,[1]SchLocTable!$A$2:$B$47,2,FALSE)," ")</f>
        <v>Hallen</v>
      </c>
      <c r="B2232" s="366" t="str">
        <f>VLOOKUP(VALUE(D2232),$D$3:F$106,3,FALSE)</f>
        <v>Special Education</v>
      </c>
      <c r="C2232" t="s">
        <v>314</v>
      </c>
      <c r="D2232">
        <v>827</v>
      </c>
      <c r="E2232" t="s">
        <v>820</v>
      </c>
      <c r="F2232" t="s">
        <v>318</v>
      </c>
      <c r="G2232" t="s">
        <v>319</v>
      </c>
      <c r="H2232" s="502">
        <v>51140</v>
      </c>
      <c r="I2232" s="415">
        <v>0</v>
      </c>
      <c r="J2232" s="415">
        <v>0</v>
      </c>
      <c r="K2232" s="415">
        <v>900</v>
      </c>
      <c r="L2232" s="415">
        <v>900</v>
      </c>
      <c r="M2232" s="415">
        <v>900</v>
      </c>
      <c r="N2232" s="415">
        <v>0</v>
      </c>
      <c r="O2232" s="415">
        <v>0</v>
      </c>
      <c r="P2232" s="415">
        <v>0</v>
      </c>
      <c r="Q2232" s="481">
        <f t="shared" si="80"/>
        <v>0</v>
      </c>
    </row>
    <row r="2233" spans="1:17" outlineLevel="1" x14ac:dyDescent="0.3">
      <c r="A2233" s="366" t="str">
        <f>IFERROR(VLOOKUP(RIGHT(E2233,3)+0,[1]SchLocTable!$A$2:$B$47,2,FALSE)," ")</f>
        <v>Hallen</v>
      </c>
      <c r="B2233" s="366" t="str">
        <f>VLOOKUP(VALUE(D2233),$D$3:F$106,3,FALSE)</f>
        <v>Special Education</v>
      </c>
      <c r="C2233" t="s">
        <v>314</v>
      </c>
      <c r="D2233">
        <v>827</v>
      </c>
      <c r="E2233" t="s">
        <v>820</v>
      </c>
      <c r="F2233" t="s">
        <v>320</v>
      </c>
      <c r="G2233" t="s">
        <v>319</v>
      </c>
      <c r="H2233" s="502">
        <v>52360</v>
      </c>
      <c r="I2233" s="415">
        <v>853.97616628999992</v>
      </c>
      <c r="J2233" s="415">
        <v>0</v>
      </c>
      <c r="K2233" s="415">
        <v>757.13</v>
      </c>
      <c r="L2233" s="415">
        <v>3077.49</v>
      </c>
      <c r="M2233" s="415">
        <v>4238.4399999999996</v>
      </c>
      <c r="N2233" s="415">
        <v>4134.2299999999996</v>
      </c>
      <c r="O2233" s="415">
        <v>3965.83</v>
      </c>
      <c r="P2233" s="415">
        <v>3860.41</v>
      </c>
      <c r="Q2233" s="481">
        <f t="shared" si="80"/>
        <v>-853.97616628999992</v>
      </c>
    </row>
    <row r="2234" spans="1:17" outlineLevel="2" x14ac:dyDescent="0.3">
      <c r="A2234" s="366" t="str">
        <f>IFERROR(VLOOKUP(RIGHT(E2234,3)+0,[1]SchLocTable!$A$2:$B$47,2,FALSE)," ")</f>
        <v>Hooker</v>
      </c>
      <c r="B2234" s="366" t="str">
        <f>VLOOKUP(VALUE(D2234),$D$3:F$106,3,FALSE)</f>
        <v>Special Education</v>
      </c>
      <c r="C2234" t="s">
        <v>314</v>
      </c>
      <c r="D2234">
        <v>827</v>
      </c>
      <c r="E2234" t="s">
        <v>821</v>
      </c>
      <c r="F2234" t="s">
        <v>316</v>
      </c>
      <c r="G2234">
        <v>2</v>
      </c>
      <c r="H2234" s="502">
        <v>51000</v>
      </c>
      <c r="I2234" s="415">
        <v>278018.80187999998</v>
      </c>
      <c r="J2234" s="415">
        <v>154047</v>
      </c>
      <c r="K2234" s="415">
        <v>143572.78</v>
      </c>
      <c r="L2234" s="415">
        <v>120489.26</v>
      </c>
      <c r="M2234" s="415">
        <v>284569.05</v>
      </c>
      <c r="N2234" s="415">
        <v>273104.84000000003</v>
      </c>
      <c r="O2234" s="415">
        <v>296758.99</v>
      </c>
      <c r="P2234" s="415">
        <v>296664.90999999997</v>
      </c>
      <c r="Q2234" s="481">
        <f t="shared" si="80"/>
        <v>-123971.80187999998</v>
      </c>
    </row>
    <row r="2235" spans="1:17" outlineLevel="2" x14ac:dyDescent="0.3">
      <c r="A2235" s="366" t="str">
        <f>IFERROR(VLOOKUP(RIGHT(E2235,3)+0,[1]SchLocTable!$A$2:$B$47,2,FALSE)," ")</f>
        <v>Hooker</v>
      </c>
      <c r="B2235" s="366" t="str">
        <f>VLOOKUP(VALUE(D2235),$D$3:F$106,3,FALSE)</f>
        <v>Special Education</v>
      </c>
      <c r="C2235" t="s">
        <v>314</v>
      </c>
      <c r="D2235">
        <v>827</v>
      </c>
      <c r="E2235" t="s">
        <v>821</v>
      </c>
      <c r="F2235" t="s">
        <v>321</v>
      </c>
      <c r="G2235" t="s">
        <v>319</v>
      </c>
      <c r="H2235" s="502">
        <v>52917</v>
      </c>
      <c r="I2235" s="415">
        <v>99106.055999999982</v>
      </c>
      <c r="J2235" s="415">
        <v>69979.350000000006</v>
      </c>
      <c r="K2235" s="415">
        <v>63553.98</v>
      </c>
      <c r="L2235" s="415">
        <v>61346.35</v>
      </c>
      <c r="M2235" s="415">
        <v>75777.11</v>
      </c>
      <c r="N2235" s="415">
        <v>60617.34</v>
      </c>
      <c r="O2235" s="415">
        <v>76054.25</v>
      </c>
      <c r="P2235" s="415">
        <v>76768.649999999994</v>
      </c>
      <c r="Q2235" s="481">
        <f t="shared" si="80"/>
        <v>-29126.705999999976</v>
      </c>
    </row>
    <row r="2236" spans="1:17" outlineLevel="2" x14ac:dyDescent="0.3">
      <c r="A2236" s="366" t="str">
        <f>IFERROR(VLOOKUP(RIGHT(E2236,3)+0,[1]SchLocTable!$A$2:$B$47,2,FALSE)," ")</f>
        <v>Hooker</v>
      </c>
      <c r="B2236" s="366" t="str">
        <f>VLOOKUP(VALUE(D2236),$D$3:F$106,3,FALSE)</f>
        <v>Special Education</v>
      </c>
      <c r="C2236" t="s">
        <v>314</v>
      </c>
      <c r="D2236">
        <v>827</v>
      </c>
      <c r="E2236" t="s">
        <v>821</v>
      </c>
      <c r="F2236" t="s">
        <v>318</v>
      </c>
      <c r="G2236" t="s">
        <v>319</v>
      </c>
      <c r="H2236" s="502">
        <v>51140</v>
      </c>
      <c r="I2236" s="415">
        <v>2000</v>
      </c>
      <c r="J2236" s="415">
        <v>0</v>
      </c>
      <c r="K2236" s="415">
        <v>1100</v>
      </c>
      <c r="L2236" s="415">
        <v>900</v>
      </c>
      <c r="M2236" s="415">
        <v>1100</v>
      </c>
      <c r="N2236" s="415">
        <v>900</v>
      </c>
      <c r="O2236" s="415">
        <v>900</v>
      </c>
      <c r="P2236" s="415">
        <v>900</v>
      </c>
      <c r="Q2236" s="481">
        <f t="shared" si="80"/>
        <v>-2000</v>
      </c>
    </row>
    <row r="2237" spans="1:17" outlineLevel="2" x14ac:dyDescent="0.3">
      <c r="A2237" s="366" t="str">
        <f>IFERROR(VLOOKUP(RIGHT(E2237,3)+0,[1]SchLocTable!$A$2:$B$47,2,FALSE)," ")</f>
        <v>Hooker</v>
      </c>
      <c r="B2237" s="366" t="str">
        <f>VLOOKUP(VALUE(D2237),$D$3:F$106,3,FALSE)</f>
        <v>Special Education</v>
      </c>
      <c r="C2237" t="s">
        <v>314</v>
      </c>
      <c r="D2237">
        <v>827</v>
      </c>
      <c r="E2237" t="s">
        <v>821</v>
      </c>
      <c r="F2237" t="s">
        <v>320</v>
      </c>
      <c r="G2237" t="s">
        <v>319</v>
      </c>
      <c r="H2237" s="502">
        <v>52360</v>
      </c>
      <c r="I2237" s="415">
        <v>4031.2726272600003</v>
      </c>
      <c r="J2237" s="415">
        <v>1883</v>
      </c>
      <c r="K2237" s="415">
        <v>1808.76</v>
      </c>
      <c r="L2237" s="415">
        <v>1494.18</v>
      </c>
      <c r="M2237" s="415">
        <v>3878.99</v>
      </c>
      <c r="N2237" s="415">
        <v>3736.39</v>
      </c>
      <c r="O2237" s="415">
        <v>4026.89</v>
      </c>
      <c r="P2237" s="415">
        <v>4026.39</v>
      </c>
      <c r="Q2237" s="481">
        <f t="shared" si="80"/>
        <v>-2148.2726272600003</v>
      </c>
    </row>
    <row r="2238" spans="1:17" outlineLevel="2" x14ac:dyDescent="0.3">
      <c r="A2238" s="366" t="str">
        <f>IFERROR(VLOOKUP(RIGHT(E2238,3)+0,[1]SchLocTable!$A$2:$B$47,2,FALSE)," ")</f>
        <v>Batalla</v>
      </c>
      <c r="B2238" s="366" t="str">
        <f>VLOOKUP(VALUE(D2238),$D$3:F$106,3,FALSE)</f>
        <v>Special Education</v>
      </c>
      <c r="C2238" t="s">
        <v>314</v>
      </c>
      <c r="D2238">
        <v>827</v>
      </c>
      <c r="E2238" t="s">
        <v>822</v>
      </c>
      <c r="F2238" t="s">
        <v>316</v>
      </c>
      <c r="G2238">
        <v>4</v>
      </c>
      <c r="H2238" s="502">
        <v>51000</v>
      </c>
      <c r="I2238" s="415">
        <v>584639.95521000004</v>
      </c>
      <c r="J2238" s="415">
        <v>265299</v>
      </c>
      <c r="K2238" s="415">
        <v>256814.88</v>
      </c>
      <c r="L2238" s="415">
        <v>129004.65</v>
      </c>
      <c r="M2238" s="415">
        <v>274289.56</v>
      </c>
      <c r="N2238" s="415">
        <v>308604.11</v>
      </c>
      <c r="O2238" s="415">
        <v>338857.27</v>
      </c>
      <c r="P2238" s="415">
        <v>278687.24</v>
      </c>
      <c r="Q2238" s="481">
        <f t="shared" si="80"/>
        <v>-319340.95521000004</v>
      </c>
    </row>
    <row r="2239" spans="1:17" outlineLevel="2" x14ac:dyDescent="0.3">
      <c r="A2239" s="366" t="str">
        <f>IFERROR(VLOOKUP(RIGHT(E2239,3)+0,[1]SchLocTable!$A$2:$B$47,2,FALSE)," ")</f>
        <v>Batalla</v>
      </c>
      <c r="B2239" s="366" t="str">
        <f>VLOOKUP(VALUE(D2239),$D$3:F$106,3,FALSE)</f>
        <v>Special Education</v>
      </c>
      <c r="C2239" t="s">
        <v>314</v>
      </c>
      <c r="D2239">
        <v>827</v>
      </c>
      <c r="E2239" t="s">
        <v>822</v>
      </c>
      <c r="F2239" t="s">
        <v>321</v>
      </c>
      <c r="G2239" t="s">
        <v>319</v>
      </c>
      <c r="H2239" s="502">
        <v>52917</v>
      </c>
      <c r="I2239" s="415">
        <v>126295.72799999999</v>
      </c>
      <c r="J2239" s="415">
        <v>26074.44</v>
      </c>
      <c r="K2239" s="415">
        <v>23688</v>
      </c>
      <c r="L2239" s="415">
        <v>23816.81</v>
      </c>
      <c r="M2239" s="415">
        <v>58532.5</v>
      </c>
      <c r="N2239" s="415">
        <v>51688.04</v>
      </c>
      <c r="O2239" s="415">
        <v>67075.570000000007</v>
      </c>
      <c r="P2239" s="415">
        <v>46324.32</v>
      </c>
      <c r="Q2239" s="481">
        <f t="shared" ref="Q2239:Q2302" si="81">J2239-I2239</f>
        <v>-100221.28799999999</v>
      </c>
    </row>
    <row r="2240" spans="1:17" outlineLevel="2" x14ac:dyDescent="0.3">
      <c r="A2240" s="366" t="str">
        <f>IFERROR(VLOOKUP(RIGHT(E2240,3)+0,[1]SchLocTable!$A$2:$B$47,2,FALSE)," ")</f>
        <v>Batalla</v>
      </c>
      <c r="B2240" s="366" t="str">
        <f>VLOOKUP(VALUE(D2240),$D$3:F$106,3,FALSE)</f>
        <v>Special Education</v>
      </c>
      <c r="C2240" t="s">
        <v>314</v>
      </c>
      <c r="D2240">
        <v>827</v>
      </c>
      <c r="E2240" t="s">
        <v>822</v>
      </c>
      <c r="F2240" t="s">
        <v>318</v>
      </c>
      <c r="G2240" t="s">
        <v>319</v>
      </c>
      <c r="H2240" s="502">
        <v>51140</v>
      </c>
      <c r="I2240" s="415">
        <v>1300</v>
      </c>
      <c r="J2240" s="415">
        <v>0</v>
      </c>
      <c r="K2240" s="415">
        <v>1300</v>
      </c>
      <c r="L2240" s="415">
        <v>1300</v>
      </c>
      <c r="M2240" s="415">
        <v>2400</v>
      </c>
      <c r="N2240" s="415">
        <v>2400</v>
      </c>
      <c r="O2240" s="415">
        <v>5000</v>
      </c>
      <c r="P2240" s="415">
        <v>3500</v>
      </c>
      <c r="Q2240" s="481">
        <f t="shared" si="81"/>
        <v>-1300</v>
      </c>
    </row>
    <row r="2241" spans="1:17" outlineLevel="2" x14ac:dyDescent="0.3">
      <c r="A2241" s="366" t="str">
        <f>IFERROR(VLOOKUP(RIGHT(E2241,3)+0,[1]SchLocTable!$A$2:$B$47,2,FALSE)," ")</f>
        <v>Batalla</v>
      </c>
      <c r="B2241" s="366" t="str">
        <f>VLOOKUP(VALUE(D2241),$D$3:F$106,3,FALSE)</f>
        <v>Special Education</v>
      </c>
      <c r="C2241" t="s">
        <v>314</v>
      </c>
      <c r="D2241">
        <v>827</v>
      </c>
      <c r="E2241" t="s">
        <v>822</v>
      </c>
      <c r="F2241" t="s">
        <v>320</v>
      </c>
      <c r="G2241" t="s">
        <v>319</v>
      </c>
      <c r="H2241" s="502">
        <v>52360</v>
      </c>
      <c r="I2241" s="415">
        <v>8477.2793505450009</v>
      </c>
      <c r="J2241" s="415">
        <v>3725</v>
      </c>
      <c r="K2241" s="415">
        <v>3624.13</v>
      </c>
      <c r="L2241" s="415">
        <v>1830.46</v>
      </c>
      <c r="M2241" s="415">
        <v>3741.66</v>
      </c>
      <c r="N2241" s="415">
        <v>4307.6499999999996</v>
      </c>
      <c r="O2241" s="415">
        <v>4896.53</v>
      </c>
      <c r="P2241" s="415">
        <v>3919.21</v>
      </c>
      <c r="Q2241" s="481">
        <f t="shared" si="81"/>
        <v>-4752.2793505450009</v>
      </c>
    </row>
    <row r="2242" spans="1:17" outlineLevel="2" x14ac:dyDescent="0.3">
      <c r="A2242" s="366" t="str">
        <f>IFERROR(VLOOKUP(RIGHT(E2242,3)+0,[1]SchLocTable!$A$2:$B$47,2,FALSE)," ")</f>
        <v>Batalla</v>
      </c>
      <c r="B2242" s="366" t="str">
        <f>VLOOKUP(VALUE(D2242),$D$3:F$106,3,FALSE)</f>
        <v>Special Education</v>
      </c>
      <c r="C2242" t="s">
        <v>314</v>
      </c>
      <c r="D2242">
        <v>827</v>
      </c>
      <c r="E2242" t="s">
        <v>822</v>
      </c>
      <c r="F2242" t="s">
        <v>324</v>
      </c>
      <c r="G2242" t="s">
        <v>319</v>
      </c>
      <c r="H2242" s="502">
        <v>52385</v>
      </c>
      <c r="I2242" s="415">
        <v>6898.97</v>
      </c>
      <c r="J2242" s="415">
        <v>0</v>
      </c>
      <c r="K2242" s="415">
        <v>15.5</v>
      </c>
      <c r="L2242" s="415">
        <v>956.9</v>
      </c>
      <c r="M2242" s="415">
        <v>0</v>
      </c>
      <c r="N2242" s="415">
        <v>0</v>
      </c>
      <c r="O2242" s="415">
        <v>0</v>
      </c>
      <c r="P2242" s="415">
        <v>0</v>
      </c>
      <c r="Q2242" s="481">
        <f t="shared" si="81"/>
        <v>-6898.97</v>
      </c>
    </row>
    <row r="2243" spans="1:17" outlineLevel="2" x14ac:dyDescent="0.3">
      <c r="A2243" s="366" t="str">
        <f>IFERROR(VLOOKUP(RIGHT(E2243,3)+0,[1]SchLocTable!$A$2:$B$47,2,FALSE)," ")</f>
        <v>Info Tech HS</v>
      </c>
      <c r="B2243" s="366" t="str">
        <f>VLOOKUP(VALUE(D2243),$D$3:F$106,3,FALSE)</f>
        <v>Special Education</v>
      </c>
      <c r="C2243" t="s">
        <v>314</v>
      </c>
      <c r="D2243">
        <v>827</v>
      </c>
      <c r="E2243" t="s">
        <v>1312</v>
      </c>
      <c r="F2243" t="s">
        <v>316</v>
      </c>
      <c r="G2243" t="s">
        <v>319</v>
      </c>
      <c r="H2243" s="502">
        <v>51000</v>
      </c>
      <c r="I2243" s="415">
        <v>284911.25988000003</v>
      </c>
      <c r="J2243" s="415">
        <v>0</v>
      </c>
      <c r="K2243" s="415">
        <v>0</v>
      </c>
      <c r="L2243" s="415">
        <v>0</v>
      </c>
      <c r="M2243" s="415">
        <v>0</v>
      </c>
      <c r="N2243" s="415">
        <v>0</v>
      </c>
      <c r="O2243" s="415">
        <v>0</v>
      </c>
      <c r="P2243" s="415">
        <v>0</v>
      </c>
      <c r="Q2243" s="481">
        <f t="shared" si="81"/>
        <v>-284911.25988000003</v>
      </c>
    </row>
    <row r="2244" spans="1:17" outlineLevel="2" x14ac:dyDescent="0.3">
      <c r="A2244" s="366" t="str">
        <f>IFERROR(VLOOKUP(RIGHT(E2244,3)+0,[1]SchLocTable!$A$2:$B$47,2,FALSE)," ")</f>
        <v>Info Tech HS</v>
      </c>
      <c r="B2244" s="366" t="str">
        <f>VLOOKUP(VALUE(D2244),$D$3:F$106,3,FALSE)</f>
        <v>Special Education</v>
      </c>
      <c r="C2244" t="s">
        <v>314</v>
      </c>
      <c r="D2244">
        <v>827</v>
      </c>
      <c r="E2244" t="s">
        <v>1312</v>
      </c>
      <c r="F2244" t="s">
        <v>321</v>
      </c>
      <c r="G2244" t="s">
        <v>319</v>
      </c>
      <c r="H2244" s="502">
        <v>52917</v>
      </c>
      <c r="I2244" s="415">
        <v>53288.927999999993</v>
      </c>
      <c r="J2244" s="415">
        <v>0</v>
      </c>
      <c r="K2244" s="415">
        <v>0</v>
      </c>
      <c r="L2244" s="415">
        <v>0</v>
      </c>
      <c r="M2244" s="415">
        <v>0</v>
      </c>
      <c r="N2244" s="415">
        <v>0</v>
      </c>
      <c r="O2244" s="415">
        <v>0</v>
      </c>
      <c r="P2244" s="415">
        <v>0</v>
      </c>
      <c r="Q2244" s="481">
        <f t="shared" si="81"/>
        <v>-53288.927999999993</v>
      </c>
    </row>
    <row r="2245" spans="1:17" outlineLevel="1" x14ac:dyDescent="0.3">
      <c r="A2245" s="366" t="str">
        <f>IFERROR(VLOOKUP(RIGHT(E2245,3)+0,[1]SchLocTable!$A$2:$B$47,2,FALSE)," ")</f>
        <v>Info Tech HS</v>
      </c>
      <c r="B2245" s="366" t="str">
        <f>VLOOKUP(VALUE(D2245),$D$3:F$106,3,FALSE)</f>
        <v>Special Education</v>
      </c>
      <c r="C2245" t="s">
        <v>314</v>
      </c>
      <c r="D2245">
        <v>827</v>
      </c>
      <c r="E2245" t="s">
        <v>1312</v>
      </c>
      <c r="F2245" t="s">
        <v>320</v>
      </c>
      <c r="G2245" t="s">
        <v>319</v>
      </c>
      <c r="H2245" s="502">
        <v>52360</v>
      </c>
      <c r="I2245" s="415">
        <v>4131.2132682600004</v>
      </c>
      <c r="J2245" s="415">
        <v>0</v>
      </c>
      <c r="K2245" s="415">
        <v>0</v>
      </c>
      <c r="L2245" s="415">
        <v>0</v>
      </c>
      <c r="M2245" s="415">
        <v>0</v>
      </c>
      <c r="N2245" s="415">
        <v>0</v>
      </c>
      <c r="O2245" s="415">
        <v>0</v>
      </c>
      <c r="P2245" s="415">
        <v>0</v>
      </c>
      <c r="Q2245" s="481">
        <f t="shared" si="81"/>
        <v>-4131.2132682600004</v>
      </c>
    </row>
    <row r="2246" spans="1:17" outlineLevel="2" x14ac:dyDescent="0.3">
      <c r="A2246" s="366" t="str">
        <f>IFERROR(VLOOKUP(RIGHT(E2246,3)+0,[1]SchLocTable!$A$2:$B$47,2,FALSE)," ")</f>
        <v>BMA HS</v>
      </c>
      <c r="B2246" s="366" t="str">
        <f>VLOOKUP(VALUE(D2246),$D$3:F$106,3,FALSE)</f>
        <v>Special Education</v>
      </c>
      <c r="C2246" t="s">
        <v>314</v>
      </c>
      <c r="D2246">
        <v>827</v>
      </c>
      <c r="E2246" t="s">
        <v>823</v>
      </c>
      <c r="F2246" t="s">
        <v>316</v>
      </c>
      <c r="G2246">
        <v>1</v>
      </c>
      <c r="H2246" s="502">
        <v>51000</v>
      </c>
      <c r="I2246" s="415">
        <v>200190.27600000001</v>
      </c>
      <c r="J2246" s="415">
        <v>105070</v>
      </c>
      <c r="K2246" s="415">
        <v>102757.98</v>
      </c>
      <c r="L2246" s="415">
        <v>100497.02</v>
      </c>
      <c r="M2246" s="415">
        <v>99011.9</v>
      </c>
      <c r="N2246" s="415">
        <v>93223</v>
      </c>
      <c r="O2246" s="415">
        <v>74558.87</v>
      </c>
      <c r="P2246" s="415">
        <v>87497.02</v>
      </c>
      <c r="Q2246" s="481">
        <f t="shared" si="81"/>
        <v>-95120.276000000013</v>
      </c>
    </row>
    <row r="2247" spans="1:17" outlineLevel="2" x14ac:dyDescent="0.3">
      <c r="A2247" s="366" t="str">
        <f>IFERROR(VLOOKUP(RIGHT(E2247,3)+0,[1]SchLocTable!$A$2:$B$47,2,FALSE)," ")</f>
        <v>BMA HS</v>
      </c>
      <c r="B2247" s="366" t="str">
        <f>VLOOKUP(VALUE(D2247),$D$3:F$106,3,FALSE)</f>
        <v>Special Education</v>
      </c>
      <c r="C2247" t="s">
        <v>314</v>
      </c>
      <c r="D2247">
        <v>827</v>
      </c>
      <c r="E2247" t="s">
        <v>823</v>
      </c>
      <c r="F2247" t="s">
        <v>321</v>
      </c>
      <c r="G2247" t="s">
        <v>319</v>
      </c>
      <c r="H2247" s="502">
        <v>52917</v>
      </c>
      <c r="I2247" s="415">
        <v>31289.327999999998</v>
      </c>
      <c r="J2247" s="415">
        <v>13037.22</v>
      </c>
      <c r="K2247" s="415">
        <v>11844</v>
      </c>
      <c r="L2247" s="415">
        <v>11684.82</v>
      </c>
      <c r="M2247" s="415">
        <v>10956.75</v>
      </c>
      <c r="N2247" s="415">
        <v>10232.879999999999</v>
      </c>
      <c r="O2247" s="415">
        <v>9345.44</v>
      </c>
      <c r="P2247" s="415">
        <v>9245.67</v>
      </c>
      <c r="Q2247" s="481">
        <f t="shared" si="81"/>
        <v>-18252.108</v>
      </c>
    </row>
    <row r="2248" spans="1:17" outlineLevel="2" x14ac:dyDescent="0.3">
      <c r="A2248" s="366" t="str">
        <f>IFERROR(VLOOKUP(RIGHT(E2248,3)+0,[1]SchLocTable!$A$2:$B$47,2,FALSE)," ")</f>
        <v>BMA HS</v>
      </c>
      <c r="B2248" s="366" t="str">
        <f>VLOOKUP(VALUE(D2248),$D$3:F$106,3,FALSE)</f>
        <v>Special Education</v>
      </c>
      <c r="C2248" t="s">
        <v>314</v>
      </c>
      <c r="D2248">
        <v>827</v>
      </c>
      <c r="E2248" t="s">
        <v>823</v>
      </c>
      <c r="F2248" t="s">
        <v>318</v>
      </c>
      <c r="G2248" t="s">
        <v>319</v>
      </c>
      <c r="H2248" s="502">
        <v>51140</v>
      </c>
      <c r="I2248" s="415">
        <v>1100</v>
      </c>
      <c r="J2248" s="415">
        <v>0</v>
      </c>
      <c r="K2248" s="415">
        <v>1100</v>
      </c>
      <c r="L2248" s="415">
        <v>2000</v>
      </c>
      <c r="M2248" s="415">
        <v>1800</v>
      </c>
      <c r="N2248" s="415">
        <v>900</v>
      </c>
      <c r="O2248" s="415">
        <v>900</v>
      </c>
      <c r="P2248" s="415">
        <v>900</v>
      </c>
      <c r="Q2248" s="481">
        <f t="shared" si="81"/>
        <v>-1100</v>
      </c>
    </row>
    <row r="2249" spans="1:17" outlineLevel="2" x14ac:dyDescent="0.3">
      <c r="A2249" s="366" t="str">
        <f>IFERROR(VLOOKUP(RIGHT(E2249,3)+0,[1]SchLocTable!$A$2:$B$47,2,FALSE)," ")</f>
        <v>BMA HS</v>
      </c>
      <c r="B2249" s="366" t="str">
        <f>VLOOKUP(VALUE(D2249),$D$3:F$106,3,FALSE)</f>
        <v>Special Education</v>
      </c>
      <c r="C2249" t="s">
        <v>314</v>
      </c>
      <c r="D2249">
        <v>827</v>
      </c>
      <c r="E2249" t="s">
        <v>823</v>
      </c>
      <c r="F2249" t="s">
        <v>320</v>
      </c>
      <c r="G2249" t="s">
        <v>319</v>
      </c>
      <c r="H2249" s="502">
        <v>52360</v>
      </c>
      <c r="I2249" s="415">
        <v>2902.7590020000002</v>
      </c>
      <c r="J2249" s="415">
        <v>1469</v>
      </c>
      <c r="K2249" s="415">
        <v>1455.4</v>
      </c>
      <c r="L2249" s="415">
        <v>1437.82</v>
      </c>
      <c r="M2249" s="415">
        <v>1404.58</v>
      </c>
      <c r="N2249" s="415">
        <v>1324.84</v>
      </c>
      <c r="O2249" s="415">
        <v>1058.6500000000001</v>
      </c>
      <c r="P2249" s="415">
        <v>1247.1199999999999</v>
      </c>
      <c r="Q2249" s="481">
        <f t="shared" si="81"/>
        <v>-1433.7590020000002</v>
      </c>
    </row>
    <row r="2250" spans="1:17" outlineLevel="2" x14ac:dyDescent="0.3">
      <c r="A2250" s="366" t="str">
        <f>IFERROR(VLOOKUP(RIGHT(E2250,3)+0,[1]SchLocTable!$A$2:$B$47,2,FALSE)," ")</f>
        <v>Park City Magnet</v>
      </c>
      <c r="B2250" s="366" t="str">
        <f>VLOOKUP(VALUE(D2250),$D$3:F$106,3,FALSE)</f>
        <v>Special Education</v>
      </c>
      <c r="C2250" t="s">
        <v>314</v>
      </c>
      <c r="D2250">
        <v>827</v>
      </c>
      <c r="E2250" t="s">
        <v>824</v>
      </c>
      <c r="F2250" t="s">
        <v>316</v>
      </c>
      <c r="G2250">
        <v>2</v>
      </c>
      <c r="H2250" s="502">
        <v>51000</v>
      </c>
      <c r="I2250" s="415">
        <v>345159.65620999999</v>
      </c>
      <c r="J2250" s="415">
        <v>159369</v>
      </c>
      <c r="K2250" s="415">
        <v>155319.93</v>
      </c>
      <c r="L2250" s="415">
        <v>151567.94</v>
      </c>
      <c r="M2250" s="415">
        <v>264987.84000000003</v>
      </c>
      <c r="N2250" s="415">
        <v>231216.86</v>
      </c>
      <c r="O2250" s="415">
        <v>179213.84</v>
      </c>
      <c r="P2250" s="415">
        <v>176392.06</v>
      </c>
      <c r="Q2250" s="481">
        <f t="shared" si="81"/>
        <v>-185790.65620999999</v>
      </c>
    </row>
    <row r="2251" spans="1:17" outlineLevel="2" x14ac:dyDescent="0.3">
      <c r="A2251" s="366" t="str">
        <f>IFERROR(VLOOKUP(RIGHT(E2251,3)+0,[1]SchLocTable!$A$2:$B$47,2,FALSE)," ")</f>
        <v>Park City Magnet</v>
      </c>
      <c r="B2251" s="366" t="str">
        <f>VLOOKUP(VALUE(D2251),$D$3:F$106,3,FALSE)</f>
        <v>Special Education</v>
      </c>
      <c r="C2251" t="s">
        <v>314</v>
      </c>
      <c r="D2251">
        <v>827</v>
      </c>
      <c r="E2251" t="s">
        <v>824</v>
      </c>
      <c r="F2251" t="s">
        <v>321</v>
      </c>
      <c r="G2251" t="s">
        <v>319</v>
      </c>
      <c r="H2251" s="502">
        <v>52917</v>
      </c>
      <c r="I2251" s="415">
        <v>93264.948000000004</v>
      </c>
      <c r="J2251" s="415">
        <v>47589</v>
      </c>
      <c r="K2251" s="415">
        <v>35075.879999999997</v>
      </c>
      <c r="L2251" s="415">
        <v>34606.949999999997</v>
      </c>
      <c r="M2251" s="415">
        <v>69741.42</v>
      </c>
      <c r="N2251" s="415">
        <v>60718.26</v>
      </c>
      <c r="O2251" s="415">
        <v>52658.57</v>
      </c>
      <c r="P2251" s="415">
        <v>49571.34</v>
      </c>
      <c r="Q2251" s="481">
        <f t="shared" si="81"/>
        <v>-45675.948000000004</v>
      </c>
    </row>
    <row r="2252" spans="1:17" outlineLevel="2" x14ac:dyDescent="0.3">
      <c r="A2252" s="366" t="str">
        <f>IFERROR(VLOOKUP(RIGHT(E2252,3)+0,[1]SchLocTable!$A$2:$B$47,2,FALSE)," ")</f>
        <v>Park City Magnet</v>
      </c>
      <c r="B2252" s="366" t="str">
        <f>VLOOKUP(VALUE(D2252),$D$3:F$106,3,FALSE)</f>
        <v>Special Education</v>
      </c>
      <c r="C2252" t="s">
        <v>314</v>
      </c>
      <c r="D2252">
        <v>827</v>
      </c>
      <c r="E2252" t="s">
        <v>824</v>
      </c>
      <c r="F2252" t="s">
        <v>318</v>
      </c>
      <c r="G2252" t="s">
        <v>319</v>
      </c>
      <c r="H2252" s="502">
        <v>51140</v>
      </c>
      <c r="I2252" s="415">
        <v>1100</v>
      </c>
      <c r="J2252" s="415">
        <v>0</v>
      </c>
      <c r="K2252" s="415">
        <v>900</v>
      </c>
      <c r="L2252" s="415">
        <v>3100</v>
      </c>
      <c r="M2252" s="415">
        <v>4000</v>
      </c>
      <c r="N2252" s="415">
        <v>1800</v>
      </c>
      <c r="O2252" s="415">
        <v>1800</v>
      </c>
      <c r="P2252" s="415">
        <v>1800</v>
      </c>
      <c r="Q2252" s="481">
        <f t="shared" si="81"/>
        <v>-1100</v>
      </c>
    </row>
    <row r="2253" spans="1:17" outlineLevel="2" x14ac:dyDescent="0.3">
      <c r="A2253" s="366" t="str">
        <f>IFERROR(VLOOKUP(RIGHT(E2253,3)+0,[1]SchLocTable!$A$2:$B$47,2,FALSE)," ")</f>
        <v>Park City Magnet</v>
      </c>
      <c r="B2253" s="366" t="str">
        <f>VLOOKUP(VALUE(D2253),$D$3:F$106,3,FALSE)</f>
        <v>Special Education</v>
      </c>
      <c r="C2253" t="s">
        <v>314</v>
      </c>
      <c r="D2253">
        <v>827</v>
      </c>
      <c r="E2253" t="s">
        <v>824</v>
      </c>
      <c r="F2253" t="s">
        <v>320</v>
      </c>
      <c r="G2253" t="s">
        <v>319</v>
      </c>
      <c r="H2253" s="502">
        <v>52360</v>
      </c>
      <c r="I2253" s="415">
        <v>5004.8150150450001</v>
      </c>
      <c r="J2253" s="415">
        <v>2117</v>
      </c>
      <c r="K2253" s="415">
        <v>2115.4699999999998</v>
      </c>
      <c r="L2253" s="415">
        <v>2080.54</v>
      </c>
      <c r="M2253" s="415">
        <v>3736.31</v>
      </c>
      <c r="N2253" s="415">
        <v>3141.38</v>
      </c>
      <c r="O2253" s="415">
        <v>2424.48</v>
      </c>
      <c r="P2253" s="415">
        <v>2397.7399999999998</v>
      </c>
      <c r="Q2253" s="481">
        <f t="shared" si="81"/>
        <v>-2887.8150150450001</v>
      </c>
    </row>
    <row r="2254" spans="1:17" outlineLevel="2" x14ac:dyDescent="0.3">
      <c r="A2254" s="366" t="str">
        <f>IFERROR(VLOOKUP(RIGHT(E2254,3)+0,[1]SchLocTable!$A$2:$B$47,2,FALSE)," ")</f>
        <v>Park City Magnet</v>
      </c>
      <c r="B2254" s="366" t="str">
        <f>VLOOKUP(VALUE(D2254),$D$3:F$106,3,FALSE)</f>
        <v>Special Education</v>
      </c>
      <c r="C2254" t="s">
        <v>314</v>
      </c>
      <c r="D2254">
        <v>827</v>
      </c>
      <c r="E2254" t="s">
        <v>824</v>
      </c>
      <c r="F2254" t="s">
        <v>324</v>
      </c>
      <c r="G2254" t="s">
        <v>319</v>
      </c>
      <c r="H2254" s="502">
        <v>52385</v>
      </c>
      <c r="I2254" s="415">
        <v>0</v>
      </c>
      <c r="J2254" s="415">
        <v>0</v>
      </c>
      <c r="K2254" s="415">
        <v>0</v>
      </c>
      <c r="L2254" s="415">
        <v>46.5</v>
      </c>
      <c r="M2254" s="415">
        <v>0</v>
      </c>
      <c r="N2254" s="415">
        <v>0</v>
      </c>
      <c r="O2254" s="415">
        <v>0</v>
      </c>
      <c r="P2254" s="415">
        <v>0</v>
      </c>
      <c r="Q2254" s="481">
        <f t="shared" si="81"/>
        <v>0</v>
      </c>
    </row>
    <row r="2255" spans="1:17" outlineLevel="2" x14ac:dyDescent="0.3">
      <c r="A2255" s="366" t="str">
        <f>IFERROR(VLOOKUP(RIGHT(E2255,3)+0,[1]SchLocTable!$A$2:$B$47,2,FALSE)," ")</f>
        <v>Park City Magnet</v>
      </c>
      <c r="B2255" s="366" t="str">
        <f>VLOOKUP(VALUE(D2255),$D$3:F$106,3,FALSE)</f>
        <v>Special Education</v>
      </c>
      <c r="C2255" t="s">
        <v>314</v>
      </c>
      <c r="D2255">
        <v>827</v>
      </c>
      <c r="E2255" t="s">
        <v>824</v>
      </c>
      <c r="F2255" t="s">
        <v>329</v>
      </c>
      <c r="G2255" t="s">
        <v>319</v>
      </c>
      <c r="H2255" s="502">
        <v>51154</v>
      </c>
      <c r="I2255" s="415">
        <v>0</v>
      </c>
      <c r="J2255" s="415">
        <v>0</v>
      </c>
      <c r="K2255" s="415">
        <v>0</v>
      </c>
      <c r="L2255" s="415">
        <v>0</v>
      </c>
      <c r="M2255" s="415">
        <v>11050</v>
      </c>
      <c r="N2255" s="415">
        <v>0</v>
      </c>
      <c r="O2255" s="415">
        <v>0</v>
      </c>
      <c r="P2255" s="415">
        <v>0</v>
      </c>
      <c r="Q2255" s="481">
        <f t="shared" si="81"/>
        <v>0</v>
      </c>
    </row>
    <row r="2256" spans="1:17" outlineLevel="2" x14ac:dyDescent="0.3">
      <c r="A2256" s="366" t="str">
        <f>IFERROR(VLOOKUP(RIGHT(E2256,3)+0,[1]SchLocTable!$A$2:$B$47,2,FALSE)," ")</f>
        <v>Zoo Science HS</v>
      </c>
      <c r="B2256" s="366" t="str">
        <f>VLOOKUP(VALUE(D2256),$D$3:F$106,3,FALSE)</f>
        <v>Special Education</v>
      </c>
      <c r="C2256" t="s">
        <v>314</v>
      </c>
      <c r="D2256">
        <v>827</v>
      </c>
      <c r="E2256" t="s">
        <v>1310</v>
      </c>
      <c r="F2256" t="s">
        <v>316</v>
      </c>
      <c r="G2256" t="s">
        <v>319</v>
      </c>
      <c r="H2256" s="502">
        <v>51000</v>
      </c>
      <c r="I2256" s="415">
        <v>77228.467940000002</v>
      </c>
      <c r="J2256" s="415">
        <v>0</v>
      </c>
      <c r="K2256" s="415">
        <v>0</v>
      </c>
      <c r="L2256" s="415">
        <v>0</v>
      </c>
      <c r="M2256" s="415">
        <v>0</v>
      </c>
      <c r="N2256" s="415">
        <v>0</v>
      </c>
      <c r="O2256" s="415">
        <v>0</v>
      </c>
      <c r="P2256" s="415">
        <v>0</v>
      </c>
      <c r="Q2256" s="481">
        <f t="shared" si="81"/>
        <v>-77228.467940000002</v>
      </c>
    </row>
    <row r="2257" spans="1:17" outlineLevel="2" x14ac:dyDescent="0.3">
      <c r="A2257" s="366" t="str">
        <f>IFERROR(VLOOKUP(RIGHT(E2257,3)+0,[1]SchLocTable!$A$2:$B$47,2,FALSE)," ")</f>
        <v>Zoo Science HS</v>
      </c>
      <c r="B2257" s="366" t="str">
        <f>VLOOKUP(VALUE(D2257),$D$3:F$106,3,FALSE)</f>
        <v>Special Education</v>
      </c>
      <c r="C2257" t="s">
        <v>314</v>
      </c>
      <c r="D2257">
        <v>827</v>
      </c>
      <c r="E2257" t="s">
        <v>1310</v>
      </c>
      <c r="F2257" t="s">
        <v>321</v>
      </c>
      <c r="G2257" t="s">
        <v>319</v>
      </c>
      <c r="H2257" s="502">
        <v>52917</v>
      </c>
      <c r="I2257" s="415">
        <v>15644.663999999999</v>
      </c>
      <c r="J2257" s="415">
        <v>0</v>
      </c>
      <c r="K2257" s="415">
        <v>0</v>
      </c>
      <c r="L2257" s="415">
        <v>0</v>
      </c>
      <c r="M2257" s="415">
        <v>0</v>
      </c>
      <c r="N2257" s="415">
        <v>0</v>
      </c>
      <c r="O2257" s="415">
        <v>0</v>
      </c>
      <c r="P2257" s="415">
        <v>0</v>
      </c>
      <c r="Q2257" s="481">
        <f t="shared" si="81"/>
        <v>-15644.663999999999</v>
      </c>
    </row>
    <row r="2258" spans="1:17" outlineLevel="2" x14ac:dyDescent="0.3">
      <c r="A2258" s="366" t="str">
        <f>IFERROR(VLOOKUP(RIGHT(E2258,3)+0,[1]SchLocTable!$A$2:$B$47,2,FALSE)," ")</f>
        <v>Zoo Science HS</v>
      </c>
      <c r="B2258" s="366" t="str">
        <f>VLOOKUP(VALUE(D2258),$D$3:F$106,3,FALSE)</f>
        <v>Special Education</v>
      </c>
      <c r="C2258" t="s">
        <v>314</v>
      </c>
      <c r="D2258">
        <v>827</v>
      </c>
      <c r="E2258" t="s">
        <v>1310</v>
      </c>
      <c r="F2258" t="s">
        <v>320</v>
      </c>
      <c r="G2258" t="s">
        <v>319</v>
      </c>
      <c r="H2258" s="502">
        <v>52360</v>
      </c>
      <c r="I2258" s="415">
        <v>1119.8127851300001</v>
      </c>
      <c r="J2258" s="415">
        <v>0</v>
      </c>
      <c r="K2258" s="415">
        <v>0</v>
      </c>
      <c r="L2258" s="415">
        <v>0</v>
      </c>
      <c r="M2258" s="415">
        <v>0</v>
      </c>
      <c r="N2258" s="415">
        <v>0</v>
      </c>
      <c r="O2258" s="415">
        <v>0</v>
      </c>
      <c r="P2258" s="415">
        <v>0</v>
      </c>
      <c r="Q2258" s="481">
        <f t="shared" si="81"/>
        <v>-1119.8127851300001</v>
      </c>
    </row>
    <row r="2259" spans="1:17" outlineLevel="2" x14ac:dyDescent="0.3">
      <c r="A2259" s="366" t="str">
        <f>IFERROR(VLOOKUP(RIGHT(E2259,3)+0,[1]SchLocTable!$A$2:$B$47,2,FALSE)," ")</f>
        <v>Madison</v>
      </c>
      <c r="B2259" s="366" t="str">
        <f>VLOOKUP(VALUE(D2259),$D$3:F$106,3,FALSE)</f>
        <v>Special Education</v>
      </c>
      <c r="C2259" t="s">
        <v>314</v>
      </c>
      <c r="D2259">
        <v>827</v>
      </c>
      <c r="E2259" t="s">
        <v>825</v>
      </c>
      <c r="F2259" t="s">
        <v>316</v>
      </c>
      <c r="G2259">
        <v>6</v>
      </c>
      <c r="H2259" s="502">
        <v>51000</v>
      </c>
      <c r="I2259" s="415">
        <v>610500.36372000002</v>
      </c>
      <c r="J2259" s="415">
        <v>374317</v>
      </c>
      <c r="K2259" s="415">
        <v>407451.35</v>
      </c>
      <c r="L2259" s="415">
        <v>436337.2</v>
      </c>
      <c r="M2259" s="415">
        <v>476956.33</v>
      </c>
      <c r="N2259" s="415">
        <v>466882.99</v>
      </c>
      <c r="O2259" s="415">
        <v>522448.93</v>
      </c>
      <c r="P2259" s="415">
        <v>519174.44</v>
      </c>
      <c r="Q2259" s="481">
        <f t="shared" si="81"/>
        <v>-236183.36372000002</v>
      </c>
    </row>
    <row r="2260" spans="1:17" outlineLevel="2" x14ac:dyDescent="0.3">
      <c r="A2260" s="366" t="str">
        <f>IFERROR(VLOOKUP(RIGHT(E2260,3)+0,[1]SchLocTable!$A$2:$B$47,2,FALSE)," ")</f>
        <v>Madison</v>
      </c>
      <c r="B2260" s="366" t="str">
        <f>VLOOKUP(VALUE(D2260),$D$3:F$106,3,FALSE)</f>
        <v>Special Education</v>
      </c>
      <c r="C2260" t="s">
        <v>314</v>
      </c>
      <c r="D2260">
        <v>827</v>
      </c>
      <c r="E2260" t="s">
        <v>825</v>
      </c>
      <c r="F2260" t="s">
        <v>321</v>
      </c>
      <c r="G2260" t="s">
        <v>319</v>
      </c>
      <c r="H2260" s="502">
        <v>52917</v>
      </c>
      <c r="I2260" s="415">
        <v>187037.27999999997</v>
      </c>
      <c r="J2260" s="415">
        <v>111248</v>
      </c>
      <c r="K2260" s="415">
        <v>94832.76</v>
      </c>
      <c r="L2260" s="415">
        <v>127685.82</v>
      </c>
      <c r="M2260" s="415">
        <v>118864.63</v>
      </c>
      <c r="N2260" s="415">
        <v>100679.25</v>
      </c>
      <c r="O2260" s="415">
        <v>101378.75</v>
      </c>
      <c r="P2260" s="415">
        <v>116775.19</v>
      </c>
      <c r="Q2260" s="481">
        <f t="shared" si="81"/>
        <v>-75789.27999999997</v>
      </c>
    </row>
    <row r="2261" spans="1:17" outlineLevel="2" x14ac:dyDescent="0.3">
      <c r="A2261" s="366" t="str">
        <f>IFERROR(VLOOKUP(RIGHT(E2261,3)+0,[1]SchLocTable!$A$2:$B$47,2,FALSE)," ")</f>
        <v>Madison</v>
      </c>
      <c r="B2261" s="366" t="str">
        <f>VLOOKUP(VALUE(D2261),$D$3:F$106,3,FALSE)</f>
        <v>Special Education</v>
      </c>
      <c r="C2261" t="s">
        <v>314</v>
      </c>
      <c r="D2261">
        <v>827</v>
      </c>
      <c r="E2261" t="s">
        <v>825</v>
      </c>
      <c r="F2261" t="s">
        <v>318</v>
      </c>
      <c r="G2261" t="s">
        <v>319</v>
      </c>
      <c r="H2261" s="502">
        <v>51140</v>
      </c>
      <c r="I2261" s="415">
        <v>900</v>
      </c>
      <c r="J2261" s="415">
        <v>0</v>
      </c>
      <c r="K2261" s="415">
        <v>900</v>
      </c>
      <c r="L2261" s="415">
        <v>2200</v>
      </c>
      <c r="M2261" s="415">
        <v>6300</v>
      </c>
      <c r="N2261" s="415">
        <v>3500</v>
      </c>
      <c r="O2261" s="415">
        <v>3500</v>
      </c>
      <c r="P2261" s="415">
        <v>3500</v>
      </c>
      <c r="Q2261" s="481">
        <f t="shared" si="81"/>
        <v>-900</v>
      </c>
    </row>
    <row r="2262" spans="1:17" outlineLevel="2" x14ac:dyDescent="0.3">
      <c r="A2262" s="366" t="str">
        <f>IFERROR(VLOOKUP(RIGHT(E2262,3)+0,[1]SchLocTable!$A$2:$B$47,2,FALSE)," ")</f>
        <v>Madison</v>
      </c>
      <c r="B2262" s="366" t="str">
        <f>VLOOKUP(VALUE(D2262),$D$3:F$106,3,FALSE)</f>
        <v>Special Education</v>
      </c>
      <c r="C2262" t="s">
        <v>314</v>
      </c>
      <c r="D2262">
        <v>827</v>
      </c>
      <c r="E2262" t="s">
        <v>825</v>
      </c>
      <c r="F2262" t="s">
        <v>320</v>
      </c>
      <c r="G2262" t="s">
        <v>319</v>
      </c>
      <c r="H2262" s="502">
        <v>52360</v>
      </c>
      <c r="I2262" s="415">
        <v>8852.2552739399998</v>
      </c>
      <c r="J2262" s="415">
        <v>4964</v>
      </c>
      <c r="K2262" s="415">
        <v>5396.58</v>
      </c>
      <c r="L2262" s="415">
        <v>5821.67</v>
      </c>
      <c r="M2262" s="415">
        <v>5644.03</v>
      </c>
      <c r="N2262" s="415">
        <v>4930.34</v>
      </c>
      <c r="O2262" s="415">
        <v>5792.17</v>
      </c>
      <c r="P2262" s="415">
        <v>5747.7</v>
      </c>
      <c r="Q2262" s="481">
        <f t="shared" si="81"/>
        <v>-3888.2552739399998</v>
      </c>
    </row>
    <row r="2263" spans="1:17" outlineLevel="2" x14ac:dyDescent="0.3">
      <c r="A2263" s="366" t="str">
        <f>IFERROR(VLOOKUP(RIGHT(E2263,3)+0,[1]SchLocTable!$A$2:$B$47,2,FALSE)," ")</f>
        <v>Madison</v>
      </c>
      <c r="B2263" s="366" t="str">
        <f>VLOOKUP(VALUE(D2263),$D$3:F$106,3,FALSE)</f>
        <v>Special Education</v>
      </c>
      <c r="C2263" t="s">
        <v>314</v>
      </c>
      <c r="D2263">
        <v>827</v>
      </c>
      <c r="E2263" t="s">
        <v>825</v>
      </c>
      <c r="F2263" t="s">
        <v>324</v>
      </c>
      <c r="G2263" t="s">
        <v>319</v>
      </c>
      <c r="H2263" s="502">
        <v>52385</v>
      </c>
      <c r="I2263" s="415">
        <v>0</v>
      </c>
      <c r="J2263" s="415">
        <v>0</v>
      </c>
      <c r="K2263" s="415">
        <v>1995.71</v>
      </c>
      <c r="L2263" s="415">
        <v>0</v>
      </c>
      <c r="M2263" s="415">
        <v>0</v>
      </c>
      <c r="N2263" s="415">
        <v>0</v>
      </c>
      <c r="O2263" s="415">
        <v>656.39</v>
      </c>
      <c r="P2263" s="415">
        <v>0</v>
      </c>
      <c r="Q2263" s="481">
        <f t="shared" si="81"/>
        <v>0</v>
      </c>
    </row>
    <row r="2264" spans="1:17" outlineLevel="2" x14ac:dyDescent="0.3">
      <c r="A2264" s="366" t="str">
        <f>IFERROR(VLOOKUP(RIGHT(E2264,3)+0,[1]SchLocTable!$A$2:$B$47,2,FALSE)," ")</f>
        <v>Madison</v>
      </c>
      <c r="B2264" s="366" t="str">
        <f>VLOOKUP(VALUE(D2264),$D$3:F$106,3,FALSE)</f>
        <v>Special Education</v>
      </c>
      <c r="C2264" t="s">
        <v>314</v>
      </c>
      <c r="D2264">
        <v>827</v>
      </c>
      <c r="E2264" t="s">
        <v>825</v>
      </c>
      <c r="F2264" t="s">
        <v>329</v>
      </c>
      <c r="G2264" t="s">
        <v>319</v>
      </c>
      <c r="H2264" s="502">
        <v>51154</v>
      </c>
      <c r="I2264" s="415">
        <v>0</v>
      </c>
      <c r="J2264" s="415">
        <v>0</v>
      </c>
      <c r="K2264" s="415">
        <v>0</v>
      </c>
      <c r="L2264" s="415">
        <v>8450</v>
      </c>
      <c r="M2264" s="415">
        <v>22750</v>
      </c>
      <c r="N2264" s="415">
        <v>0</v>
      </c>
      <c r="O2264" s="415">
        <v>0</v>
      </c>
      <c r="P2264" s="415">
        <v>0</v>
      </c>
      <c r="Q2264" s="481">
        <f t="shared" si="81"/>
        <v>0</v>
      </c>
    </row>
    <row r="2265" spans="1:17" outlineLevel="2" x14ac:dyDescent="0.3">
      <c r="A2265" s="366" t="str">
        <f>IFERROR(VLOOKUP(RIGHT(E2265,3)+0,[1]SchLocTable!$A$2:$B$47,2,FALSE)," ")</f>
        <v>Classical Studies Academy</v>
      </c>
      <c r="B2265" s="366" t="str">
        <f>VLOOKUP(VALUE(D2265),$D$3:F$106,3,FALSE)</f>
        <v>Special Education</v>
      </c>
      <c r="C2265" t="s">
        <v>314</v>
      </c>
      <c r="D2265">
        <v>827</v>
      </c>
      <c r="E2265" t="s">
        <v>826</v>
      </c>
      <c r="F2265" t="s">
        <v>316</v>
      </c>
      <c r="G2265">
        <v>2</v>
      </c>
      <c r="H2265" s="502">
        <v>51000</v>
      </c>
      <c r="I2265" s="415">
        <v>199215.01105999999</v>
      </c>
      <c r="J2265" s="415">
        <v>189548</v>
      </c>
      <c r="K2265" s="415">
        <v>183080.04</v>
      </c>
      <c r="L2265" s="415">
        <v>126462.92</v>
      </c>
      <c r="M2265" s="415">
        <v>158123.99</v>
      </c>
      <c r="N2265" s="415">
        <v>124861.64</v>
      </c>
      <c r="O2265" s="415">
        <v>50320.92</v>
      </c>
      <c r="P2265" s="415">
        <v>99269.04</v>
      </c>
      <c r="Q2265" s="481">
        <f t="shared" si="81"/>
        <v>-9667.0110599999898</v>
      </c>
    </row>
    <row r="2266" spans="1:17" outlineLevel="2" x14ac:dyDescent="0.3">
      <c r="A2266" s="366" t="str">
        <f>IFERROR(VLOOKUP(RIGHT(E2266,3)+0,[1]SchLocTable!$A$2:$B$47,2,FALSE)," ")</f>
        <v>Classical Studies Academy</v>
      </c>
      <c r="B2266" s="366" t="str">
        <f>VLOOKUP(VALUE(D2266),$D$3:F$106,3,FALSE)</f>
        <v>Special Education</v>
      </c>
      <c r="C2266" t="s">
        <v>314</v>
      </c>
      <c r="D2266">
        <v>827</v>
      </c>
      <c r="E2266" t="s">
        <v>826</v>
      </c>
      <c r="F2266" t="s">
        <v>321</v>
      </c>
      <c r="G2266" t="s">
        <v>319</v>
      </c>
      <c r="H2266" s="502">
        <v>52917</v>
      </c>
      <c r="I2266" s="415">
        <v>46330.955999999998</v>
      </c>
      <c r="J2266" s="415">
        <v>38609.129999999997</v>
      </c>
      <c r="K2266" s="415">
        <v>35075.879999999997</v>
      </c>
      <c r="L2266" s="415">
        <v>44127.45</v>
      </c>
      <c r="M2266" s="415">
        <v>51194.82</v>
      </c>
      <c r="N2266" s="415">
        <v>25097.47</v>
      </c>
      <c r="O2266" s="415">
        <v>9817.68</v>
      </c>
      <c r="P2266" s="415">
        <v>18491.34</v>
      </c>
      <c r="Q2266" s="481">
        <f t="shared" si="81"/>
        <v>-7721.8260000000009</v>
      </c>
    </row>
    <row r="2267" spans="1:17" outlineLevel="2" x14ac:dyDescent="0.3">
      <c r="A2267" s="366" t="str">
        <f>IFERROR(VLOOKUP(RIGHT(E2267,3)+0,[1]SchLocTable!$A$2:$B$47,2,FALSE)," ")</f>
        <v>Classical Studies Academy</v>
      </c>
      <c r="B2267" s="366" t="str">
        <f>VLOOKUP(VALUE(D2267),$D$3:F$106,3,FALSE)</f>
        <v>Special Education</v>
      </c>
      <c r="C2267" t="s">
        <v>314</v>
      </c>
      <c r="D2267">
        <v>827</v>
      </c>
      <c r="E2267" t="s">
        <v>826</v>
      </c>
      <c r="F2267" t="s">
        <v>318</v>
      </c>
      <c r="G2267" t="s">
        <v>319</v>
      </c>
      <c r="H2267" s="502">
        <v>51140</v>
      </c>
      <c r="I2267" s="415">
        <v>900</v>
      </c>
      <c r="J2267" s="415">
        <v>0</v>
      </c>
      <c r="K2267" s="415">
        <v>900</v>
      </c>
      <c r="L2267" s="415">
        <v>0</v>
      </c>
      <c r="M2267" s="415">
        <v>0</v>
      </c>
      <c r="N2267" s="415">
        <v>0</v>
      </c>
      <c r="O2267" s="415">
        <v>0</v>
      </c>
      <c r="P2267" s="415">
        <v>0</v>
      </c>
      <c r="Q2267" s="481">
        <f t="shared" si="81"/>
        <v>-900</v>
      </c>
    </row>
    <row r="2268" spans="1:17" outlineLevel="2" x14ac:dyDescent="0.3">
      <c r="A2268" s="366" t="str">
        <f>IFERROR(VLOOKUP(RIGHT(E2268,3)+0,[1]SchLocTable!$A$2:$B$47,2,FALSE)," ")</f>
        <v>Classical Studies Academy</v>
      </c>
      <c r="B2268" s="366" t="str">
        <f>VLOOKUP(VALUE(D2268),$D$3:F$106,3,FALSE)</f>
        <v>Special Education</v>
      </c>
      <c r="C2268" t="s">
        <v>314</v>
      </c>
      <c r="D2268">
        <v>827</v>
      </c>
      <c r="E2268" t="s">
        <v>826</v>
      </c>
      <c r="F2268" t="s">
        <v>320</v>
      </c>
      <c r="G2268" t="s">
        <v>319</v>
      </c>
      <c r="H2268" s="502">
        <v>52360</v>
      </c>
      <c r="I2268" s="415">
        <v>2888.6176603700001</v>
      </c>
      <c r="J2268" s="415">
        <v>2552</v>
      </c>
      <c r="K2268" s="415">
        <v>2518</v>
      </c>
      <c r="L2268" s="415">
        <v>1650.82</v>
      </c>
      <c r="M2268" s="415">
        <v>2086.25</v>
      </c>
      <c r="N2268" s="415">
        <v>1712.2</v>
      </c>
      <c r="O2268" s="415">
        <v>692.36</v>
      </c>
      <c r="P2268" s="415">
        <v>1370.13</v>
      </c>
      <c r="Q2268" s="481">
        <f t="shared" si="81"/>
        <v>-336.61766037000007</v>
      </c>
    </row>
    <row r="2269" spans="1:17" outlineLevel="2" x14ac:dyDescent="0.3">
      <c r="A2269" s="366" t="str">
        <f>IFERROR(VLOOKUP(RIGHT(E2269,3)+0,[1]SchLocTable!$A$2:$B$47,2,FALSE)," ")</f>
        <v>Tisdale</v>
      </c>
      <c r="B2269" s="366" t="str">
        <f>VLOOKUP(VALUE(D2269),$D$3:F$106,3,FALSE)</f>
        <v>Special Education</v>
      </c>
      <c r="C2269" t="s">
        <v>314</v>
      </c>
      <c r="D2269">
        <v>827</v>
      </c>
      <c r="E2269" t="s">
        <v>827</v>
      </c>
      <c r="F2269" t="s">
        <v>316</v>
      </c>
      <c r="G2269">
        <v>8</v>
      </c>
      <c r="H2269" s="502">
        <v>51000</v>
      </c>
      <c r="I2269" s="415">
        <v>1052872.02018</v>
      </c>
      <c r="J2269" s="415">
        <v>689886</v>
      </c>
      <c r="K2269" s="415">
        <v>659162.21</v>
      </c>
      <c r="L2269" s="415">
        <v>467699.18</v>
      </c>
      <c r="M2269" s="415">
        <v>556426.93999999994</v>
      </c>
      <c r="N2269" s="415">
        <v>614313.86</v>
      </c>
      <c r="O2269" s="415">
        <v>569054.85</v>
      </c>
      <c r="P2269" s="415">
        <v>484937.58</v>
      </c>
      <c r="Q2269" s="481">
        <f t="shared" si="81"/>
        <v>-362986.02017999999</v>
      </c>
    </row>
    <row r="2270" spans="1:17" outlineLevel="2" x14ac:dyDescent="0.3">
      <c r="A2270" s="366" t="str">
        <f>IFERROR(VLOOKUP(RIGHT(E2270,3)+0,[1]SchLocTable!$A$2:$B$47,2,FALSE)," ")</f>
        <v>Tisdale</v>
      </c>
      <c r="B2270" s="366" t="str">
        <f>VLOOKUP(VALUE(D2270),$D$3:F$106,3,FALSE)</f>
        <v>Special Education</v>
      </c>
      <c r="C2270" t="s">
        <v>314</v>
      </c>
      <c r="D2270">
        <v>827</v>
      </c>
      <c r="E2270" t="s">
        <v>827</v>
      </c>
      <c r="F2270" t="s">
        <v>321</v>
      </c>
      <c r="G2270" t="s">
        <v>319</v>
      </c>
      <c r="H2270" s="502">
        <v>52917</v>
      </c>
      <c r="I2270" s="415">
        <v>308734.77600000001</v>
      </c>
      <c r="J2270" s="415">
        <v>135492</v>
      </c>
      <c r="K2270" s="415">
        <v>106818.99</v>
      </c>
      <c r="L2270" s="415">
        <v>69113.69</v>
      </c>
      <c r="M2270" s="415">
        <v>67180.3</v>
      </c>
      <c r="N2270" s="415">
        <v>110542.51</v>
      </c>
      <c r="O2270" s="415">
        <v>86536.06</v>
      </c>
      <c r="P2270" s="415">
        <v>70820.47</v>
      </c>
      <c r="Q2270" s="481">
        <f t="shared" si="81"/>
        <v>-173242.77600000001</v>
      </c>
    </row>
    <row r="2271" spans="1:17" outlineLevel="2" x14ac:dyDescent="0.3">
      <c r="A2271" s="366" t="str">
        <f>IFERROR(VLOOKUP(RIGHT(E2271,3)+0,[1]SchLocTable!$A$2:$B$47,2,FALSE)," ")</f>
        <v>Tisdale</v>
      </c>
      <c r="B2271" s="366" t="str">
        <f>VLOOKUP(VALUE(D2271),$D$3:F$106,3,FALSE)</f>
        <v>Special Education</v>
      </c>
      <c r="C2271" t="s">
        <v>314</v>
      </c>
      <c r="D2271">
        <v>827</v>
      </c>
      <c r="E2271" t="s">
        <v>827</v>
      </c>
      <c r="F2271" t="s">
        <v>318</v>
      </c>
      <c r="G2271" t="s">
        <v>319</v>
      </c>
      <c r="H2271" s="502">
        <v>51140</v>
      </c>
      <c r="I2271" s="415">
        <v>2900</v>
      </c>
      <c r="J2271" s="415">
        <v>0</v>
      </c>
      <c r="K2271" s="415">
        <v>2000</v>
      </c>
      <c r="L2271" s="415">
        <v>2000</v>
      </c>
      <c r="M2271" s="415">
        <v>7600</v>
      </c>
      <c r="N2271" s="415">
        <v>3100</v>
      </c>
      <c r="O2271" s="415">
        <v>3100</v>
      </c>
      <c r="P2271" s="415">
        <v>3100</v>
      </c>
      <c r="Q2271" s="481">
        <f t="shared" si="81"/>
        <v>-2900</v>
      </c>
    </row>
    <row r="2272" spans="1:17" outlineLevel="2" x14ac:dyDescent="0.3">
      <c r="A2272" s="366" t="str">
        <f>IFERROR(VLOOKUP(RIGHT(E2272,3)+0,[1]SchLocTable!$A$2:$B$47,2,FALSE)," ")</f>
        <v>Tisdale</v>
      </c>
      <c r="B2272" s="366" t="str">
        <f>VLOOKUP(VALUE(D2272),$D$3:F$106,3,FALSE)</f>
        <v>Special Education</v>
      </c>
      <c r="C2272" t="s">
        <v>314</v>
      </c>
      <c r="D2272">
        <v>827</v>
      </c>
      <c r="E2272" t="s">
        <v>827</v>
      </c>
      <c r="F2272" t="s">
        <v>320</v>
      </c>
      <c r="G2272" t="s">
        <v>319</v>
      </c>
      <c r="H2272" s="502">
        <v>52360</v>
      </c>
      <c r="I2272" s="415">
        <v>15266.644292609999</v>
      </c>
      <c r="J2272" s="415">
        <v>9452</v>
      </c>
      <c r="K2272" s="415">
        <v>9132.67</v>
      </c>
      <c r="L2272" s="415">
        <v>6510.08</v>
      </c>
      <c r="M2272" s="415">
        <v>7650.42</v>
      </c>
      <c r="N2272" s="415">
        <v>7130.36</v>
      </c>
      <c r="O2272" s="415">
        <v>6646.56</v>
      </c>
      <c r="P2272" s="415">
        <v>5458.47</v>
      </c>
      <c r="Q2272" s="481">
        <f t="shared" si="81"/>
        <v>-5814.644292609999</v>
      </c>
    </row>
    <row r="2273" spans="1:17" outlineLevel="2" x14ac:dyDescent="0.3">
      <c r="A2273" s="366" t="str">
        <f>IFERROR(VLOOKUP(RIGHT(E2273,3)+0,[1]SchLocTable!$A$2:$B$47,2,FALSE)," ")</f>
        <v>Tisdale</v>
      </c>
      <c r="B2273" s="366" t="str">
        <f>VLOOKUP(VALUE(D2273),$D$3:F$106,3,FALSE)</f>
        <v>Special Education</v>
      </c>
      <c r="C2273" t="s">
        <v>314</v>
      </c>
      <c r="D2273">
        <v>827</v>
      </c>
      <c r="E2273" t="s">
        <v>827</v>
      </c>
      <c r="F2273" t="s">
        <v>324</v>
      </c>
      <c r="G2273" t="s">
        <v>319</v>
      </c>
      <c r="H2273" s="502">
        <v>52385</v>
      </c>
      <c r="I2273" s="415">
        <v>0</v>
      </c>
      <c r="J2273" s="415">
        <v>0</v>
      </c>
      <c r="K2273" s="415">
        <v>1147</v>
      </c>
      <c r="L2273" s="415">
        <v>728.5</v>
      </c>
      <c r="M2273" s="415">
        <v>1053.08</v>
      </c>
      <c r="N2273" s="415">
        <v>815.94</v>
      </c>
      <c r="O2273" s="415">
        <v>0</v>
      </c>
      <c r="P2273" s="415">
        <v>0</v>
      </c>
      <c r="Q2273" s="481">
        <f t="shared" si="81"/>
        <v>0</v>
      </c>
    </row>
    <row r="2274" spans="1:17" outlineLevel="2" x14ac:dyDescent="0.3">
      <c r="A2274" s="366" t="str">
        <f>IFERROR(VLOOKUP(RIGHT(E2274,3)+0,[1]SchLocTable!$A$2:$B$47,2,FALSE)," ")</f>
        <v>Tisdale</v>
      </c>
      <c r="B2274" s="366" t="str">
        <f>VLOOKUP(VALUE(D2274),$D$3:F$106,3,FALSE)</f>
        <v>Special Education</v>
      </c>
      <c r="C2274" t="s">
        <v>314</v>
      </c>
      <c r="D2274">
        <v>827</v>
      </c>
      <c r="E2274" t="s">
        <v>827</v>
      </c>
      <c r="F2274" t="s">
        <v>533</v>
      </c>
      <c r="G2274" t="s">
        <v>319</v>
      </c>
      <c r="H2274" s="502">
        <v>52397</v>
      </c>
      <c r="I2274" s="415">
        <v>0</v>
      </c>
      <c r="J2274" s="415">
        <v>0</v>
      </c>
      <c r="K2274" s="415">
        <v>0</v>
      </c>
      <c r="L2274" s="415">
        <v>0</v>
      </c>
      <c r="M2274" s="415">
        <v>4114</v>
      </c>
      <c r="N2274" s="415">
        <v>0</v>
      </c>
      <c r="O2274" s="415">
        <v>0</v>
      </c>
      <c r="P2274" s="415">
        <v>0</v>
      </c>
      <c r="Q2274" s="481">
        <f t="shared" si="81"/>
        <v>0</v>
      </c>
    </row>
    <row r="2275" spans="1:17" outlineLevel="2" x14ac:dyDescent="0.3">
      <c r="A2275" s="366" t="str">
        <f>IFERROR(VLOOKUP(RIGHT(E2275,3)+0,[1]SchLocTable!$A$2:$B$47,2,FALSE)," ")</f>
        <v>Tisdale</v>
      </c>
      <c r="B2275" s="366" t="str">
        <f>VLOOKUP(VALUE(D2275),$D$3:F$106,3,FALSE)</f>
        <v>Special Education</v>
      </c>
      <c r="C2275" t="s">
        <v>314</v>
      </c>
      <c r="D2275">
        <v>827</v>
      </c>
      <c r="E2275" t="s">
        <v>827</v>
      </c>
      <c r="F2275" t="s">
        <v>329</v>
      </c>
      <c r="G2275" t="s">
        <v>319</v>
      </c>
      <c r="H2275" s="502">
        <v>51154</v>
      </c>
      <c r="I2275" s="415">
        <v>0</v>
      </c>
      <c r="J2275" s="415">
        <v>0</v>
      </c>
      <c r="K2275" s="415">
        <v>0</v>
      </c>
      <c r="L2275" s="415">
        <v>0</v>
      </c>
      <c r="M2275" s="415">
        <v>11375</v>
      </c>
      <c r="N2275" s="415">
        <v>0</v>
      </c>
      <c r="O2275" s="415">
        <v>0</v>
      </c>
      <c r="P2275" s="415">
        <v>0</v>
      </c>
      <c r="Q2275" s="481">
        <f t="shared" si="81"/>
        <v>0</v>
      </c>
    </row>
    <row r="2276" spans="1:17" outlineLevel="2" x14ac:dyDescent="0.3">
      <c r="A2276" s="366" t="str">
        <f>IFERROR(VLOOKUP(RIGHT(E2276,3)+0,[1]SchLocTable!$A$2:$B$47,2,FALSE)," ")</f>
        <v>Read</v>
      </c>
      <c r="B2276" s="366" t="str">
        <f>VLOOKUP(VALUE(D2276),$D$3:F$106,3,FALSE)</f>
        <v>Special Education</v>
      </c>
      <c r="C2276" t="s">
        <v>314</v>
      </c>
      <c r="D2276">
        <v>827</v>
      </c>
      <c r="E2276" t="s">
        <v>828</v>
      </c>
      <c r="F2276" t="s">
        <v>316</v>
      </c>
      <c r="G2276">
        <v>5</v>
      </c>
      <c r="H2276" s="502">
        <v>51000</v>
      </c>
      <c r="I2276" s="415">
        <v>425562.18619000004</v>
      </c>
      <c r="J2276" s="415">
        <v>343966</v>
      </c>
      <c r="K2276" s="415">
        <v>354614.02</v>
      </c>
      <c r="L2276" s="415">
        <v>310494.71999999997</v>
      </c>
      <c r="M2276" s="415">
        <v>230795.26</v>
      </c>
      <c r="N2276" s="415">
        <v>324026.87</v>
      </c>
      <c r="O2276" s="415">
        <v>310736.92</v>
      </c>
      <c r="P2276" s="415">
        <v>305852.71000000002</v>
      </c>
      <c r="Q2276" s="481">
        <f t="shared" si="81"/>
        <v>-81596.186190000037</v>
      </c>
    </row>
    <row r="2277" spans="1:17" outlineLevel="2" x14ac:dyDescent="0.3">
      <c r="A2277" s="366" t="str">
        <f>IFERROR(VLOOKUP(RIGHT(E2277,3)+0,[1]SchLocTable!$A$2:$B$47,2,FALSE)," ")</f>
        <v>Read</v>
      </c>
      <c r="B2277" s="366" t="str">
        <f>VLOOKUP(VALUE(D2277),$D$3:F$106,3,FALSE)</f>
        <v>Special Education</v>
      </c>
      <c r="C2277" t="s">
        <v>314</v>
      </c>
      <c r="D2277">
        <v>827</v>
      </c>
      <c r="E2277" t="s">
        <v>828</v>
      </c>
      <c r="F2277" t="s">
        <v>321</v>
      </c>
      <c r="G2277" t="s">
        <v>319</v>
      </c>
      <c r="H2277" s="502">
        <v>52917</v>
      </c>
      <c r="I2277" s="415">
        <v>68933.59199999999</v>
      </c>
      <c r="J2277" s="415">
        <v>38661</v>
      </c>
      <c r="K2277" s="415">
        <v>32426.1</v>
      </c>
      <c r="L2277" s="415">
        <v>28076.37</v>
      </c>
      <c r="M2277" s="415">
        <v>26335.47</v>
      </c>
      <c r="N2277" s="415">
        <v>34863.64</v>
      </c>
      <c r="O2277" s="415">
        <v>33398.75</v>
      </c>
      <c r="P2277" s="415">
        <v>37181.300000000003</v>
      </c>
      <c r="Q2277" s="481">
        <f t="shared" si="81"/>
        <v>-30272.59199999999</v>
      </c>
    </row>
    <row r="2278" spans="1:17" outlineLevel="2" x14ac:dyDescent="0.3">
      <c r="A2278" s="366" t="str">
        <f>IFERROR(VLOOKUP(RIGHT(E2278,3)+0,[1]SchLocTable!$A$2:$B$47,2,FALSE)," ")</f>
        <v>Read</v>
      </c>
      <c r="B2278" s="366" t="str">
        <f>VLOOKUP(VALUE(D2278),$D$3:F$106,3,FALSE)</f>
        <v>Special Education</v>
      </c>
      <c r="C2278" t="s">
        <v>314</v>
      </c>
      <c r="D2278">
        <v>827</v>
      </c>
      <c r="E2278" t="s">
        <v>828</v>
      </c>
      <c r="F2278" t="s">
        <v>318</v>
      </c>
      <c r="G2278" t="s">
        <v>319</v>
      </c>
      <c r="H2278" s="502">
        <v>51140</v>
      </c>
      <c r="I2278" s="415">
        <v>1100</v>
      </c>
      <c r="J2278" s="415">
        <v>0</v>
      </c>
      <c r="K2278" s="415">
        <v>1100</v>
      </c>
      <c r="L2278" s="415">
        <v>900</v>
      </c>
      <c r="M2278" s="415">
        <v>900</v>
      </c>
      <c r="N2278" s="415">
        <v>900</v>
      </c>
      <c r="O2278" s="415">
        <v>900</v>
      </c>
      <c r="P2278" s="415">
        <v>900</v>
      </c>
      <c r="Q2278" s="481">
        <f t="shared" si="81"/>
        <v>-1100</v>
      </c>
    </row>
    <row r="2279" spans="1:17" outlineLevel="2" x14ac:dyDescent="0.3">
      <c r="A2279" s="366" t="str">
        <f>IFERROR(VLOOKUP(RIGHT(E2279,3)+0,[1]SchLocTable!$A$2:$B$47,2,FALSE)," ")</f>
        <v>Read</v>
      </c>
      <c r="B2279" s="366" t="str">
        <f>VLOOKUP(VALUE(D2279),$D$3:F$106,3,FALSE)</f>
        <v>Special Education</v>
      </c>
      <c r="C2279" t="s">
        <v>314</v>
      </c>
      <c r="D2279">
        <v>827</v>
      </c>
      <c r="E2279" t="s">
        <v>828</v>
      </c>
      <c r="F2279" t="s">
        <v>320</v>
      </c>
      <c r="G2279" t="s">
        <v>319</v>
      </c>
      <c r="H2279" s="502">
        <v>52360</v>
      </c>
      <c r="I2279" s="415">
        <v>6170.6516997550007</v>
      </c>
      <c r="J2279" s="415">
        <v>4833</v>
      </c>
      <c r="K2279" s="415">
        <v>5019.12</v>
      </c>
      <c r="L2279" s="415">
        <v>4407.8100000000004</v>
      </c>
      <c r="M2279" s="415">
        <v>3253.2</v>
      </c>
      <c r="N2279" s="415">
        <v>4575.1000000000004</v>
      </c>
      <c r="O2279" s="415">
        <v>4391.6499999999996</v>
      </c>
      <c r="P2279" s="415">
        <v>4308.3</v>
      </c>
      <c r="Q2279" s="481">
        <f t="shared" si="81"/>
        <v>-1337.6516997550007</v>
      </c>
    </row>
    <row r="2280" spans="1:17" outlineLevel="2" x14ac:dyDescent="0.3">
      <c r="A2280" s="366" t="str">
        <f>IFERROR(VLOOKUP(RIGHT(E2280,3)+0,[1]SchLocTable!$A$2:$B$47,2,FALSE)," ")</f>
        <v>Read</v>
      </c>
      <c r="B2280" s="366" t="str">
        <f>VLOOKUP(VALUE(D2280),$D$3:F$106,3,FALSE)</f>
        <v>Special Education</v>
      </c>
      <c r="C2280" t="s">
        <v>314</v>
      </c>
      <c r="D2280">
        <v>827</v>
      </c>
      <c r="E2280" t="s">
        <v>828</v>
      </c>
      <c r="F2280" t="s">
        <v>324</v>
      </c>
      <c r="G2280" t="s">
        <v>319</v>
      </c>
      <c r="H2280" s="502">
        <v>52385</v>
      </c>
      <c r="I2280" s="415">
        <v>0</v>
      </c>
      <c r="J2280" s="415">
        <v>0</v>
      </c>
      <c r="K2280" s="415">
        <v>317.75</v>
      </c>
      <c r="L2280" s="415">
        <v>364.25</v>
      </c>
      <c r="M2280" s="415">
        <v>0</v>
      </c>
      <c r="N2280" s="415">
        <v>0</v>
      </c>
      <c r="O2280" s="415">
        <v>0</v>
      </c>
      <c r="P2280" s="415">
        <v>0</v>
      </c>
      <c r="Q2280" s="481">
        <f t="shared" si="81"/>
        <v>0</v>
      </c>
    </row>
    <row r="2281" spans="1:17" outlineLevel="2" x14ac:dyDescent="0.3">
      <c r="A2281" s="366" t="str">
        <f>IFERROR(VLOOKUP(RIGHT(E2281,3)+0,[1]SchLocTable!$A$2:$B$47,2,FALSE)," ")</f>
        <v>Roosevelt</v>
      </c>
      <c r="B2281" s="366" t="str">
        <f>VLOOKUP(VALUE(D2281),$D$3:F$106,3,FALSE)</f>
        <v>Special Education</v>
      </c>
      <c r="C2281" t="s">
        <v>314</v>
      </c>
      <c r="D2281">
        <v>827</v>
      </c>
      <c r="E2281" t="s">
        <v>829</v>
      </c>
      <c r="F2281" t="s">
        <v>316</v>
      </c>
      <c r="G2281">
        <v>1</v>
      </c>
      <c r="H2281" s="502">
        <v>51000</v>
      </c>
      <c r="I2281" s="415">
        <v>208099.56599</v>
      </c>
      <c r="J2281" s="415">
        <v>105070</v>
      </c>
      <c r="K2281" s="415">
        <v>102757.98</v>
      </c>
      <c r="L2281" s="415">
        <v>127378.07</v>
      </c>
      <c r="M2281" s="415">
        <v>117393.01</v>
      </c>
      <c r="N2281" s="415">
        <v>0</v>
      </c>
      <c r="O2281" s="415">
        <v>119640.3</v>
      </c>
      <c r="P2281" s="415">
        <v>172489.04</v>
      </c>
      <c r="Q2281" s="481">
        <f t="shared" si="81"/>
        <v>-103029.56599</v>
      </c>
    </row>
    <row r="2282" spans="1:17" outlineLevel="2" x14ac:dyDescent="0.3">
      <c r="A2282" s="366" t="str">
        <f>IFERROR(VLOOKUP(RIGHT(E2282,3)+0,[1]SchLocTable!$A$2:$B$47,2,FALSE)," ")</f>
        <v>Roosevelt</v>
      </c>
      <c r="B2282" s="366" t="str">
        <f>VLOOKUP(VALUE(D2282),$D$3:F$106,3,FALSE)</f>
        <v>Special Education</v>
      </c>
      <c r="C2282" t="s">
        <v>314</v>
      </c>
      <c r="D2282">
        <v>827</v>
      </c>
      <c r="E2282" t="s">
        <v>829</v>
      </c>
      <c r="F2282" t="s">
        <v>321</v>
      </c>
      <c r="G2282" t="s">
        <v>319</v>
      </c>
      <c r="H2282" s="502">
        <v>52917</v>
      </c>
      <c r="I2282" s="415">
        <v>70825.607999999993</v>
      </c>
      <c r="J2282" s="415">
        <v>17158</v>
      </c>
      <c r="K2282" s="415">
        <v>12722.64</v>
      </c>
      <c r="L2282" s="415">
        <v>18419.310000000001</v>
      </c>
      <c r="M2282" s="415">
        <v>11812.92</v>
      </c>
      <c r="N2282" s="415">
        <v>0</v>
      </c>
      <c r="O2282" s="415">
        <v>16801.919999999998</v>
      </c>
      <c r="P2282" s="415">
        <v>28806.42</v>
      </c>
      <c r="Q2282" s="481">
        <f t="shared" si="81"/>
        <v>-53667.607999999993</v>
      </c>
    </row>
    <row r="2283" spans="1:17" outlineLevel="2" x14ac:dyDescent="0.3">
      <c r="A2283" s="366" t="str">
        <f>IFERROR(VLOOKUP(RIGHT(E2283,3)+0,[1]SchLocTable!$A$2:$B$47,2,FALSE)," ")</f>
        <v>Roosevelt</v>
      </c>
      <c r="B2283" s="366" t="str">
        <f>VLOOKUP(VALUE(D2283),$D$3:F$106,3,FALSE)</f>
        <v>Special Education</v>
      </c>
      <c r="C2283" t="s">
        <v>314</v>
      </c>
      <c r="D2283">
        <v>827</v>
      </c>
      <c r="E2283" t="s">
        <v>829</v>
      </c>
      <c r="F2283" t="s">
        <v>318</v>
      </c>
      <c r="G2283" t="s">
        <v>319</v>
      </c>
      <c r="H2283" s="502">
        <v>51140</v>
      </c>
      <c r="I2283" s="415">
        <v>900</v>
      </c>
      <c r="J2283" s="415">
        <v>0</v>
      </c>
      <c r="K2283" s="415">
        <v>900</v>
      </c>
      <c r="L2283" s="415">
        <v>900</v>
      </c>
      <c r="M2283" s="415">
        <v>900</v>
      </c>
      <c r="N2283" s="415">
        <v>0</v>
      </c>
      <c r="O2283" s="415">
        <v>900</v>
      </c>
      <c r="P2283" s="415">
        <v>900</v>
      </c>
      <c r="Q2283" s="481">
        <f t="shared" si="81"/>
        <v>-900</v>
      </c>
    </row>
    <row r="2284" spans="1:17" outlineLevel="2" x14ac:dyDescent="0.3">
      <c r="A2284" s="366" t="str">
        <f>IFERROR(VLOOKUP(RIGHT(E2284,3)+0,[1]SchLocTable!$A$2:$B$47,2,FALSE)," ")</f>
        <v>Roosevelt</v>
      </c>
      <c r="B2284" s="366" t="str">
        <f>VLOOKUP(VALUE(D2284),$D$3:F$106,3,FALSE)</f>
        <v>Special Education</v>
      </c>
      <c r="C2284" t="s">
        <v>314</v>
      </c>
      <c r="D2284">
        <v>827</v>
      </c>
      <c r="E2284" t="s">
        <v>829</v>
      </c>
      <c r="F2284" t="s">
        <v>320</v>
      </c>
      <c r="G2284" t="s">
        <v>319</v>
      </c>
      <c r="H2284" s="502">
        <v>52360</v>
      </c>
      <c r="I2284" s="415">
        <v>3017.4437068550001</v>
      </c>
      <c r="J2284" s="415">
        <v>1463</v>
      </c>
      <c r="K2284" s="415">
        <v>1450.14</v>
      </c>
      <c r="L2284" s="415">
        <v>1785.23</v>
      </c>
      <c r="M2284" s="415">
        <v>1668.97</v>
      </c>
      <c r="N2284" s="415">
        <v>0</v>
      </c>
      <c r="O2284" s="415">
        <v>1684.01</v>
      </c>
      <c r="P2284" s="415">
        <v>2390.35</v>
      </c>
      <c r="Q2284" s="481">
        <f t="shared" si="81"/>
        <v>-1554.4437068550001</v>
      </c>
    </row>
    <row r="2285" spans="1:17" outlineLevel="2" x14ac:dyDescent="0.3">
      <c r="A2285" s="366" t="str">
        <f>IFERROR(VLOOKUP(RIGHT(E2285,3)+0,[1]SchLocTable!$A$2:$B$47,2,FALSE)," ")</f>
        <v>Roosevelt</v>
      </c>
      <c r="B2285" s="366" t="str">
        <f>VLOOKUP(VALUE(D2285),$D$3:F$106,3,FALSE)</f>
        <v>Special Education</v>
      </c>
      <c r="C2285" t="s">
        <v>314</v>
      </c>
      <c r="D2285">
        <v>827</v>
      </c>
      <c r="E2285" t="s">
        <v>829</v>
      </c>
      <c r="F2285" t="s">
        <v>324</v>
      </c>
      <c r="G2285" t="s">
        <v>319</v>
      </c>
      <c r="H2285" s="502">
        <v>52385</v>
      </c>
      <c r="I2285" s="415">
        <v>0</v>
      </c>
      <c r="J2285" s="415">
        <v>0</v>
      </c>
      <c r="K2285" s="415">
        <v>0</v>
      </c>
      <c r="L2285" s="415">
        <v>0</v>
      </c>
      <c r="M2285" s="415">
        <v>480.5</v>
      </c>
      <c r="N2285" s="415">
        <v>0</v>
      </c>
      <c r="O2285" s="415">
        <v>0</v>
      </c>
      <c r="P2285" s="415">
        <v>0</v>
      </c>
      <c r="Q2285" s="481">
        <f t="shared" si="81"/>
        <v>0</v>
      </c>
    </row>
    <row r="2286" spans="1:17" outlineLevel="2" x14ac:dyDescent="0.3">
      <c r="A2286" s="366" t="str">
        <f>IFERROR(VLOOKUP(RIGHT(E2286,3)+0,[1]SchLocTable!$A$2:$B$47,2,FALSE)," ")</f>
        <v>Bridgeport Learning Center</v>
      </c>
      <c r="B2286" s="366" t="str">
        <f>VLOOKUP(VALUE(D2286),$D$3:F$106,3,FALSE)</f>
        <v>Special Education</v>
      </c>
      <c r="C2286" t="s">
        <v>314</v>
      </c>
      <c r="D2286">
        <v>827</v>
      </c>
      <c r="E2286" t="s">
        <v>830</v>
      </c>
      <c r="F2286" t="s">
        <v>316</v>
      </c>
      <c r="G2286">
        <v>6</v>
      </c>
      <c r="H2286" s="502">
        <v>51000</v>
      </c>
      <c r="I2286" s="415">
        <v>585736.55156000005</v>
      </c>
      <c r="J2286" s="415">
        <v>569232</v>
      </c>
      <c r="K2286" s="415">
        <v>628383.26</v>
      </c>
      <c r="L2286" s="415">
        <v>623822.99</v>
      </c>
      <c r="M2286" s="415">
        <v>671249.19</v>
      </c>
      <c r="N2286" s="415">
        <v>557596.14</v>
      </c>
      <c r="O2286" s="415">
        <v>569894.09</v>
      </c>
      <c r="P2286" s="415">
        <v>560922.05000000005</v>
      </c>
      <c r="Q2286" s="481">
        <f t="shared" si="81"/>
        <v>-16504.551560000051</v>
      </c>
    </row>
    <row r="2287" spans="1:17" outlineLevel="2" x14ac:dyDescent="0.3">
      <c r="A2287" s="366" t="str">
        <f>IFERROR(VLOOKUP(RIGHT(E2287,3)+0,[1]SchLocTable!$A$2:$B$47,2,FALSE)," ")</f>
        <v>Bridgeport Learning Center</v>
      </c>
      <c r="B2287" s="366" t="str">
        <f>VLOOKUP(VALUE(D2287),$D$3:F$106,3,FALSE)</f>
        <v>Special Education</v>
      </c>
      <c r="C2287" t="s">
        <v>314</v>
      </c>
      <c r="D2287">
        <v>827</v>
      </c>
      <c r="E2287" t="s">
        <v>830</v>
      </c>
      <c r="F2287" t="s">
        <v>321</v>
      </c>
      <c r="G2287" t="s">
        <v>319</v>
      </c>
      <c r="H2287" s="502">
        <v>52917</v>
      </c>
      <c r="I2287" s="415">
        <v>62578.655999999995</v>
      </c>
      <c r="J2287" s="415">
        <v>65332.04</v>
      </c>
      <c r="K2287" s="415">
        <v>69372</v>
      </c>
      <c r="L2287" s="415">
        <v>98185.29</v>
      </c>
      <c r="M2287" s="415">
        <v>124525.17</v>
      </c>
      <c r="N2287" s="415">
        <v>85464.28</v>
      </c>
      <c r="O2287" s="415">
        <v>82487.149999999994</v>
      </c>
      <c r="P2287" s="415">
        <v>77660.31</v>
      </c>
      <c r="Q2287" s="481">
        <f t="shared" si="81"/>
        <v>2753.3840000000055</v>
      </c>
    </row>
    <row r="2288" spans="1:17" outlineLevel="2" x14ac:dyDescent="0.3">
      <c r="A2288" s="366" t="str">
        <f>IFERROR(VLOOKUP(RIGHT(E2288,3)+0,[1]SchLocTable!$A$2:$B$47,2,FALSE)," ")</f>
        <v>Bridgeport Learning Center</v>
      </c>
      <c r="B2288" s="366" t="str">
        <f>VLOOKUP(VALUE(D2288),$D$3:F$106,3,FALSE)</f>
        <v>Special Education</v>
      </c>
      <c r="C2288" t="s">
        <v>314</v>
      </c>
      <c r="D2288">
        <v>827</v>
      </c>
      <c r="E2288" t="s">
        <v>830</v>
      </c>
      <c r="F2288" t="s">
        <v>318</v>
      </c>
      <c r="G2288" t="s">
        <v>319</v>
      </c>
      <c r="H2288" s="502">
        <v>51140</v>
      </c>
      <c r="I2288" s="415">
        <v>2000</v>
      </c>
      <c r="J2288" s="415">
        <v>0</v>
      </c>
      <c r="K2288" s="415">
        <v>2900</v>
      </c>
      <c r="L2288" s="415">
        <v>5100</v>
      </c>
      <c r="M2288" s="415">
        <v>2900</v>
      </c>
      <c r="N2288" s="415">
        <v>900</v>
      </c>
      <c r="O2288" s="415">
        <v>900</v>
      </c>
      <c r="P2288" s="415">
        <v>900</v>
      </c>
      <c r="Q2288" s="481">
        <f t="shared" si="81"/>
        <v>-2000</v>
      </c>
    </row>
    <row r="2289" spans="1:17" outlineLevel="2" x14ac:dyDescent="0.3">
      <c r="A2289" s="366" t="str">
        <f>IFERROR(VLOOKUP(RIGHT(E2289,3)+0,[1]SchLocTable!$A$2:$B$47,2,FALSE)," ")</f>
        <v>Bridgeport Learning Center</v>
      </c>
      <c r="B2289" s="366" t="str">
        <f>VLOOKUP(VALUE(D2289),$D$3:F$106,3,FALSE)</f>
        <v>Special Education</v>
      </c>
      <c r="C2289" t="s">
        <v>314</v>
      </c>
      <c r="D2289">
        <v>827</v>
      </c>
      <c r="E2289" t="s">
        <v>830</v>
      </c>
      <c r="F2289" t="s">
        <v>320</v>
      </c>
      <c r="G2289" t="s">
        <v>319</v>
      </c>
      <c r="H2289" s="502">
        <v>52360</v>
      </c>
      <c r="I2289" s="415">
        <v>8493.17999762</v>
      </c>
      <c r="J2289" s="415">
        <v>8217.8799999999992</v>
      </c>
      <c r="K2289" s="415">
        <v>8840.0499999999993</v>
      </c>
      <c r="L2289" s="415">
        <v>8860.5400000000009</v>
      </c>
      <c r="M2289" s="415">
        <v>9256.33</v>
      </c>
      <c r="N2289" s="415">
        <v>7764.18</v>
      </c>
      <c r="O2289" s="415">
        <v>7962.97</v>
      </c>
      <c r="P2289" s="415">
        <v>7855.14</v>
      </c>
      <c r="Q2289" s="481">
        <f t="shared" si="81"/>
        <v>-275.29999762000079</v>
      </c>
    </row>
    <row r="2290" spans="1:17" outlineLevel="2" x14ac:dyDescent="0.3">
      <c r="A2290" s="366" t="str">
        <f>IFERROR(VLOOKUP(RIGHT(E2290,3)+0,[1]SchLocTable!$A$2:$B$47,2,FALSE)," ")</f>
        <v>Bridgeport Learning Center</v>
      </c>
      <c r="B2290" s="366" t="str">
        <f>VLOOKUP(VALUE(D2290),$D$3:F$106,3,FALSE)</f>
        <v>Special Education</v>
      </c>
      <c r="C2290" t="s">
        <v>314</v>
      </c>
      <c r="D2290">
        <v>827</v>
      </c>
      <c r="E2290" t="s">
        <v>830</v>
      </c>
      <c r="F2290" t="s">
        <v>392</v>
      </c>
      <c r="G2290" t="s">
        <v>319</v>
      </c>
      <c r="H2290" s="502">
        <v>52504</v>
      </c>
      <c r="I2290" s="415">
        <v>0</v>
      </c>
      <c r="J2290" s="415">
        <v>0</v>
      </c>
      <c r="K2290" s="415">
        <v>0</v>
      </c>
      <c r="L2290" s="415">
        <v>0</v>
      </c>
      <c r="M2290" s="415">
        <v>0</v>
      </c>
      <c r="N2290" s="415">
        <v>0</v>
      </c>
      <c r="O2290" s="415">
        <v>0</v>
      </c>
      <c r="P2290" s="415">
        <v>0</v>
      </c>
      <c r="Q2290" s="481">
        <f t="shared" si="81"/>
        <v>0</v>
      </c>
    </row>
    <row r="2291" spans="1:17" outlineLevel="2" x14ac:dyDescent="0.3">
      <c r="A2291" s="366" t="str">
        <f>IFERROR(VLOOKUP(RIGHT(E2291,3)+0,[1]SchLocTable!$A$2:$B$47,2,FALSE)," ")</f>
        <v>Bridgeport Learning Center</v>
      </c>
      <c r="B2291" s="366" t="str">
        <f>VLOOKUP(VALUE(D2291),$D$3:F$106,3,FALSE)</f>
        <v>Special Education</v>
      </c>
      <c r="C2291" t="s">
        <v>314</v>
      </c>
      <c r="D2291">
        <v>827</v>
      </c>
      <c r="E2291" t="s">
        <v>830</v>
      </c>
      <c r="F2291" t="s">
        <v>324</v>
      </c>
      <c r="G2291" t="s">
        <v>319</v>
      </c>
      <c r="H2291" s="502">
        <v>52385</v>
      </c>
      <c r="I2291" s="415">
        <v>0</v>
      </c>
      <c r="J2291" s="415">
        <v>0</v>
      </c>
      <c r="K2291" s="415">
        <v>0</v>
      </c>
      <c r="L2291" s="415">
        <v>682</v>
      </c>
      <c r="M2291" s="415">
        <v>0</v>
      </c>
      <c r="N2291" s="415">
        <v>750.68</v>
      </c>
      <c r="O2291" s="415">
        <v>0</v>
      </c>
      <c r="P2291" s="415">
        <v>0</v>
      </c>
      <c r="Q2291" s="481">
        <f t="shared" si="81"/>
        <v>0</v>
      </c>
    </row>
    <row r="2292" spans="1:17" outlineLevel="2" x14ac:dyDescent="0.3">
      <c r="A2292" s="366" t="str">
        <f>IFERROR(VLOOKUP(RIGHT(E2292,3)+0,[1]SchLocTable!$A$2:$B$47,2,FALSE)," ")</f>
        <v>Bridgeport Learning Center</v>
      </c>
      <c r="B2292" s="366" t="str">
        <f>VLOOKUP(VALUE(D2292),$D$3:F$106,3,FALSE)</f>
        <v>Special Education</v>
      </c>
      <c r="C2292" t="s">
        <v>314</v>
      </c>
      <c r="D2292">
        <v>827</v>
      </c>
      <c r="E2292" t="s">
        <v>830</v>
      </c>
      <c r="F2292" t="s">
        <v>329</v>
      </c>
      <c r="G2292" t="s">
        <v>319</v>
      </c>
      <c r="H2292" s="502">
        <v>51154</v>
      </c>
      <c r="I2292" s="415">
        <v>0</v>
      </c>
      <c r="J2292" s="415">
        <v>0</v>
      </c>
      <c r="K2292" s="415">
        <v>0</v>
      </c>
      <c r="L2292" s="415">
        <v>11375</v>
      </c>
      <c r="M2292" s="415">
        <v>0</v>
      </c>
      <c r="N2292" s="415">
        <v>0</v>
      </c>
      <c r="O2292" s="415">
        <v>0</v>
      </c>
      <c r="P2292" s="415">
        <v>0</v>
      </c>
      <c r="Q2292" s="481">
        <f t="shared" si="81"/>
        <v>0</v>
      </c>
    </row>
    <row r="2293" spans="1:17" outlineLevel="2" x14ac:dyDescent="0.3">
      <c r="A2293" s="366" t="str">
        <f>IFERROR(VLOOKUP(RIGHT(E2293,3)+0,[1]SchLocTable!$A$2:$B$47,2,FALSE)," ")</f>
        <v>Waltersville</v>
      </c>
      <c r="B2293" s="366" t="str">
        <f>VLOOKUP(VALUE(D2293),$D$3:F$106,3,FALSE)</f>
        <v>Special Education</v>
      </c>
      <c r="C2293" t="s">
        <v>314</v>
      </c>
      <c r="D2293">
        <v>827</v>
      </c>
      <c r="E2293" t="s">
        <v>831</v>
      </c>
      <c r="F2293" t="s">
        <v>316</v>
      </c>
      <c r="G2293">
        <v>4</v>
      </c>
      <c r="H2293" s="502">
        <v>51000</v>
      </c>
      <c r="I2293" s="415">
        <v>497752.38083999994</v>
      </c>
      <c r="J2293" s="415">
        <v>385478.26</v>
      </c>
      <c r="K2293" s="415">
        <v>580493.28</v>
      </c>
      <c r="L2293" s="415">
        <v>437911.24</v>
      </c>
      <c r="M2293" s="415">
        <v>615622.80000000005</v>
      </c>
      <c r="N2293" s="415">
        <v>558298.07999999996</v>
      </c>
      <c r="O2293" s="415">
        <v>532376.68000000005</v>
      </c>
      <c r="P2293" s="415">
        <v>482939.31</v>
      </c>
      <c r="Q2293" s="481">
        <f t="shared" si="81"/>
        <v>-112274.12083999993</v>
      </c>
    </row>
    <row r="2294" spans="1:17" outlineLevel="2" x14ac:dyDescent="0.3">
      <c r="A2294" s="366" t="str">
        <f>IFERROR(VLOOKUP(RIGHT(E2294,3)+0,[1]SchLocTable!$A$2:$B$47,2,FALSE)," ")</f>
        <v>Waltersville</v>
      </c>
      <c r="B2294" s="366" t="str">
        <f>VLOOKUP(VALUE(D2294),$D$3:F$106,3,FALSE)</f>
        <v>Special Education</v>
      </c>
      <c r="C2294" t="s">
        <v>314</v>
      </c>
      <c r="D2294">
        <v>827</v>
      </c>
      <c r="E2294" t="s">
        <v>831</v>
      </c>
      <c r="F2294" t="s">
        <v>360</v>
      </c>
      <c r="G2294" t="s">
        <v>319</v>
      </c>
      <c r="H2294" s="502">
        <v>52920</v>
      </c>
      <c r="I2294" s="415">
        <v>166.68</v>
      </c>
      <c r="J2294" s="415">
        <v>0</v>
      </c>
      <c r="K2294" s="415">
        <v>0</v>
      </c>
      <c r="L2294" s="415">
        <v>0</v>
      </c>
      <c r="M2294" s="415">
        <v>0</v>
      </c>
      <c r="N2294" s="415">
        <v>0</v>
      </c>
      <c r="O2294" s="415">
        <v>0</v>
      </c>
      <c r="P2294" s="415">
        <v>0</v>
      </c>
      <c r="Q2294" s="481">
        <f t="shared" si="81"/>
        <v>-166.68</v>
      </c>
    </row>
    <row r="2295" spans="1:17" outlineLevel="2" x14ac:dyDescent="0.3">
      <c r="A2295" s="366" t="str">
        <f>IFERROR(VLOOKUP(RIGHT(E2295,3)+0,[1]SchLocTable!$A$2:$B$47,2,FALSE)," ")</f>
        <v>Waltersville</v>
      </c>
      <c r="B2295" s="366" t="str">
        <f>VLOOKUP(VALUE(D2295),$D$3:F$106,3,FALSE)</f>
        <v>Special Education</v>
      </c>
      <c r="C2295" t="s">
        <v>314</v>
      </c>
      <c r="D2295">
        <v>827</v>
      </c>
      <c r="E2295" t="s">
        <v>831</v>
      </c>
      <c r="F2295" t="s">
        <v>321</v>
      </c>
      <c r="G2295" t="s">
        <v>319</v>
      </c>
      <c r="H2295" s="502">
        <v>52917</v>
      </c>
      <c r="I2295" s="415">
        <v>216099.32399999999</v>
      </c>
      <c r="J2295" s="415">
        <v>254111</v>
      </c>
      <c r="K2295" s="415">
        <v>197967.48</v>
      </c>
      <c r="L2295" s="415">
        <v>180452.21</v>
      </c>
      <c r="M2295" s="415">
        <v>205223.76</v>
      </c>
      <c r="N2295" s="415">
        <v>190950.82</v>
      </c>
      <c r="O2295" s="415">
        <v>174362.29</v>
      </c>
      <c r="P2295" s="415">
        <v>127575.19</v>
      </c>
      <c r="Q2295" s="481">
        <f t="shared" si="81"/>
        <v>38011.676000000007</v>
      </c>
    </row>
    <row r="2296" spans="1:17" ht="14.7" customHeight="1" outlineLevel="2" x14ac:dyDescent="0.3">
      <c r="A2296" s="366" t="str">
        <f>IFERROR(VLOOKUP(RIGHT(E2296,3)+0,[1]SchLocTable!$A$2:$B$47,2,FALSE)," ")</f>
        <v>Waltersville</v>
      </c>
      <c r="B2296" s="366" t="str">
        <f>VLOOKUP(VALUE(D2296),$D$3:F$106,3,FALSE)</f>
        <v>Special Education</v>
      </c>
      <c r="C2296" t="s">
        <v>314</v>
      </c>
      <c r="D2296">
        <v>827</v>
      </c>
      <c r="E2296" t="s">
        <v>831</v>
      </c>
      <c r="F2296" t="s">
        <v>318</v>
      </c>
      <c r="G2296" t="s">
        <v>319</v>
      </c>
      <c r="H2296" s="502">
        <v>51140</v>
      </c>
      <c r="I2296" s="415">
        <v>4900</v>
      </c>
      <c r="J2296" s="415">
        <v>0</v>
      </c>
      <c r="K2296" s="415">
        <v>3500</v>
      </c>
      <c r="L2296" s="415">
        <v>3500</v>
      </c>
      <c r="M2296" s="415">
        <v>4400</v>
      </c>
      <c r="N2296" s="415">
        <v>4200</v>
      </c>
      <c r="O2296" s="415">
        <v>5400</v>
      </c>
      <c r="P2296" s="415">
        <v>3900</v>
      </c>
      <c r="Q2296" s="481">
        <f t="shared" si="81"/>
        <v>-4900</v>
      </c>
    </row>
    <row r="2297" spans="1:17" ht="15" customHeight="1" outlineLevel="2" x14ac:dyDescent="0.3">
      <c r="A2297" s="366" t="str">
        <f>IFERROR(VLOOKUP(RIGHT(E2297,3)+0,[1]SchLocTable!$A$2:$B$47,2,FALSE)," ")</f>
        <v>Waltersville</v>
      </c>
      <c r="B2297" s="366" t="str">
        <f>VLOOKUP(VALUE(D2297),$D$3:F$106,3,FALSE)</f>
        <v>Special Education</v>
      </c>
      <c r="C2297" t="s">
        <v>314</v>
      </c>
      <c r="D2297">
        <v>827</v>
      </c>
      <c r="E2297" t="s">
        <v>831</v>
      </c>
      <c r="F2297" t="s">
        <v>320</v>
      </c>
      <c r="G2297" t="s">
        <v>319</v>
      </c>
      <c r="H2297" s="502">
        <v>52360</v>
      </c>
      <c r="I2297" s="415">
        <v>7217.4095221799989</v>
      </c>
      <c r="J2297" s="415">
        <v>5444.76</v>
      </c>
      <c r="K2297" s="415">
        <v>7558.01</v>
      </c>
      <c r="L2297" s="415">
        <v>5588.23</v>
      </c>
      <c r="M2297" s="415">
        <v>8081.85</v>
      </c>
      <c r="N2297" s="415">
        <v>7357.64</v>
      </c>
      <c r="O2297" s="415">
        <v>7224.4</v>
      </c>
      <c r="P2297" s="415">
        <v>6551.85</v>
      </c>
      <c r="Q2297" s="481">
        <f t="shared" si="81"/>
        <v>-1772.6495221799987</v>
      </c>
    </row>
    <row r="2298" spans="1:17" outlineLevel="2" x14ac:dyDescent="0.3">
      <c r="A2298" s="366" t="str">
        <f>IFERROR(VLOOKUP(RIGHT(E2298,3)+0,[1]SchLocTable!$A$2:$B$47,2,FALSE)," ")</f>
        <v>Waltersville</v>
      </c>
      <c r="B2298" s="366" t="str">
        <f>VLOOKUP(VALUE(D2298),$D$3:F$106,3,FALSE)</f>
        <v>Special Education</v>
      </c>
      <c r="C2298" t="s">
        <v>314</v>
      </c>
      <c r="D2298">
        <v>827</v>
      </c>
      <c r="E2298" t="s">
        <v>831</v>
      </c>
      <c r="F2298" t="s">
        <v>324</v>
      </c>
      <c r="G2298" t="s">
        <v>319</v>
      </c>
      <c r="H2298" s="502">
        <v>52385</v>
      </c>
      <c r="I2298" s="415">
        <v>0</v>
      </c>
      <c r="J2298" s="415">
        <v>155</v>
      </c>
      <c r="K2298" s="415">
        <v>568.52</v>
      </c>
      <c r="L2298" s="415">
        <v>0</v>
      </c>
      <c r="M2298" s="415">
        <v>155</v>
      </c>
      <c r="N2298" s="415">
        <v>0</v>
      </c>
      <c r="O2298" s="415">
        <v>0</v>
      </c>
      <c r="P2298" s="415">
        <v>0</v>
      </c>
      <c r="Q2298" s="481">
        <f t="shared" si="81"/>
        <v>155</v>
      </c>
    </row>
    <row r="2299" spans="1:17" outlineLevel="2" x14ac:dyDescent="0.3">
      <c r="A2299" s="366" t="str">
        <f>IFERROR(VLOOKUP(RIGHT(E2299,3)+0,[1]SchLocTable!$A$2:$B$47,2,FALSE)," ")</f>
        <v>Waltersville</v>
      </c>
      <c r="B2299" s="366" t="str">
        <f>VLOOKUP(VALUE(D2299),$D$3:F$106,3,FALSE)</f>
        <v>Special Education</v>
      </c>
      <c r="C2299" t="s">
        <v>314</v>
      </c>
      <c r="D2299">
        <v>827</v>
      </c>
      <c r="E2299" t="s">
        <v>831</v>
      </c>
      <c r="F2299" t="s">
        <v>329</v>
      </c>
      <c r="G2299" t="s">
        <v>319</v>
      </c>
      <c r="H2299" s="502">
        <v>51154</v>
      </c>
      <c r="I2299" s="415">
        <v>5356</v>
      </c>
      <c r="J2299" s="415">
        <v>0</v>
      </c>
      <c r="K2299" s="415">
        <v>0</v>
      </c>
      <c r="L2299" s="415">
        <v>0</v>
      </c>
      <c r="M2299" s="415">
        <v>0</v>
      </c>
      <c r="N2299" s="415">
        <v>0</v>
      </c>
      <c r="O2299" s="415">
        <v>10400</v>
      </c>
      <c r="P2299" s="415">
        <v>0</v>
      </c>
      <c r="Q2299" s="481">
        <f t="shared" si="81"/>
        <v>-5356</v>
      </c>
    </row>
    <row r="2300" spans="1:17" outlineLevel="2" x14ac:dyDescent="0.3">
      <c r="A2300" s="366" t="str">
        <f>IFERROR(VLOOKUP(RIGHT(E2300,3)+0,[1]SchLocTable!$A$2:$B$47,2,FALSE)," ")</f>
        <v>Claytor</v>
      </c>
      <c r="B2300" s="366" t="str">
        <f>VLOOKUP(VALUE(D2300),$D$3:F$106,3,FALSE)</f>
        <v>Special Education</v>
      </c>
      <c r="C2300" t="s">
        <v>314</v>
      </c>
      <c r="D2300">
        <v>827</v>
      </c>
      <c r="E2300" t="s">
        <v>832</v>
      </c>
      <c r="F2300" t="s">
        <v>316</v>
      </c>
      <c r="G2300">
        <v>2</v>
      </c>
      <c r="H2300" s="502">
        <v>51000</v>
      </c>
      <c r="I2300" s="415">
        <v>337181.08429999999</v>
      </c>
      <c r="J2300" s="415">
        <v>166492.82</v>
      </c>
      <c r="K2300" s="415">
        <v>142586.42000000001</v>
      </c>
      <c r="L2300" s="415">
        <v>204942.44</v>
      </c>
      <c r="M2300" s="415">
        <v>194718.02</v>
      </c>
      <c r="N2300" s="415">
        <v>170312.12</v>
      </c>
      <c r="O2300" s="415">
        <v>135847.21</v>
      </c>
      <c r="P2300" s="415">
        <v>85881.12</v>
      </c>
      <c r="Q2300" s="481">
        <f t="shared" si="81"/>
        <v>-170688.26429999998</v>
      </c>
    </row>
    <row r="2301" spans="1:17" outlineLevel="2" x14ac:dyDescent="0.3">
      <c r="A2301" s="366" t="str">
        <f>IFERROR(VLOOKUP(RIGHT(E2301,3)+0,[1]SchLocTable!$A$2:$B$47,2,FALSE)," ")</f>
        <v>Claytor</v>
      </c>
      <c r="B2301" s="366" t="str">
        <f>VLOOKUP(VALUE(D2301),$D$3:F$106,3,FALSE)</f>
        <v>Special Education</v>
      </c>
      <c r="C2301" t="s">
        <v>314</v>
      </c>
      <c r="D2301">
        <v>827</v>
      </c>
      <c r="E2301" t="s">
        <v>832</v>
      </c>
      <c r="F2301" t="s">
        <v>321</v>
      </c>
      <c r="G2301" t="s">
        <v>319</v>
      </c>
      <c r="H2301" s="502">
        <v>52917</v>
      </c>
      <c r="I2301" s="415">
        <v>106577.85599999999</v>
      </c>
      <c r="J2301" s="415">
        <v>29049</v>
      </c>
      <c r="K2301" s="415">
        <v>38129.199999999997</v>
      </c>
      <c r="L2301" s="415">
        <v>50430.87</v>
      </c>
      <c r="M2301" s="415">
        <v>32437.86</v>
      </c>
      <c r="N2301" s="415">
        <v>26889.43</v>
      </c>
      <c r="O2301" s="415">
        <v>32553.63</v>
      </c>
      <c r="P2301" s="415">
        <v>22186.29</v>
      </c>
      <c r="Q2301" s="481">
        <f t="shared" si="81"/>
        <v>-77528.855999999985</v>
      </c>
    </row>
    <row r="2302" spans="1:17" outlineLevel="2" x14ac:dyDescent="0.3">
      <c r="A2302" s="366" t="str">
        <f>IFERROR(VLOOKUP(RIGHT(E2302,3)+0,[1]SchLocTable!$A$2:$B$47,2,FALSE)," ")</f>
        <v>Claytor</v>
      </c>
      <c r="B2302" s="366" t="str">
        <f>VLOOKUP(VALUE(D2302),$D$3:F$106,3,FALSE)</f>
        <v>Special Education</v>
      </c>
      <c r="C2302" t="s">
        <v>314</v>
      </c>
      <c r="D2302">
        <v>827</v>
      </c>
      <c r="E2302" t="s">
        <v>832</v>
      </c>
      <c r="F2302" t="s">
        <v>318</v>
      </c>
      <c r="G2302" t="s">
        <v>319</v>
      </c>
      <c r="H2302" s="502">
        <v>51140</v>
      </c>
      <c r="I2302" s="415">
        <v>900</v>
      </c>
      <c r="J2302" s="415">
        <v>0</v>
      </c>
      <c r="K2302" s="415">
        <v>900</v>
      </c>
      <c r="L2302" s="415">
        <v>900</v>
      </c>
      <c r="M2302" s="415">
        <v>900</v>
      </c>
      <c r="N2302" s="415">
        <v>900</v>
      </c>
      <c r="O2302" s="415">
        <v>0</v>
      </c>
      <c r="P2302" s="415">
        <v>0</v>
      </c>
      <c r="Q2302" s="481">
        <f t="shared" si="81"/>
        <v>-900</v>
      </c>
    </row>
    <row r="2303" spans="1:17" outlineLevel="2" x14ac:dyDescent="0.3">
      <c r="A2303" s="366" t="str">
        <f>IFERROR(VLOOKUP(RIGHT(E2303,3)+0,[1]SchLocTable!$A$2:$B$47,2,FALSE)," ")</f>
        <v>Claytor</v>
      </c>
      <c r="B2303" s="366" t="str">
        <f>VLOOKUP(VALUE(D2303),$D$3:F$106,3,FALSE)</f>
        <v>Special Education</v>
      </c>
      <c r="C2303" t="s">
        <v>314</v>
      </c>
      <c r="D2303">
        <v>827</v>
      </c>
      <c r="E2303" t="s">
        <v>832</v>
      </c>
      <c r="F2303" t="s">
        <v>320</v>
      </c>
      <c r="G2303" t="s">
        <v>319</v>
      </c>
      <c r="H2303" s="502">
        <v>52360</v>
      </c>
      <c r="I2303" s="415">
        <v>4889.1257223500006</v>
      </c>
      <c r="J2303" s="415">
        <v>2337</v>
      </c>
      <c r="K2303" s="415">
        <v>1923.49</v>
      </c>
      <c r="L2303" s="415">
        <v>2773.89</v>
      </c>
      <c r="M2303" s="415">
        <v>2700.77</v>
      </c>
      <c r="N2303" s="415">
        <v>2377.0500000000002</v>
      </c>
      <c r="O2303" s="415">
        <v>1847.07</v>
      </c>
      <c r="P2303" s="415">
        <v>1161.77</v>
      </c>
      <c r="Q2303" s="481">
        <f t="shared" ref="Q2303:Q2366" si="82">J2303-I2303</f>
        <v>-2552.1257223500006</v>
      </c>
    </row>
    <row r="2304" spans="1:17" outlineLevel="2" x14ac:dyDescent="0.3">
      <c r="A2304" s="366" t="str">
        <f>IFERROR(VLOOKUP(RIGHT(E2304,3)+0,[1]SchLocTable!$A$2:$B$47,2,FALSE)," ")</f>
        <v>Claytor</v>
      </c>
      <c r="B2304" s="366" t="str">
        <f>VLOOKUP(VALUE(D2304),$D$3:F$106,3,FALSE)</f>
        <v>Special Education</v>
      </c>
      <c r="C2304" t="s">
        <v>314</v>
      </c>
      <c r="D2304">
        <v>827</v>
      </c>
      <c r="E2304" t="s">
        <v>832</v>
      </c>
      <c r="F2304" t="s">
        <v>324</v>
      </c>
      <c r="G2304" t="s">
        <v>319</v>
      </c>
      <c r="H2304" s="502">
        <v>52385</v>
      </c>
      <c r="I2304" s="415">
        <v>0</v>
      </c>
      <c r="J2304" s="415">
        <v>0</v>
      </c>
      <c r="K2304" s="415">
        <v>1880.7</v>
      </c>
      <c r="L2304" s="415">
        <v>0</v>
      </c>
      <c r="M2304" s="415">
        <v>0</v>
      </c>
      <c r="N2304" s="415">
        <v>405.12</v>
      </c>
      <c r="O2304" s="415">
        <v>0</v>
      </c>
      <c r="P2304" s="415">
        <v>0</v>
      </c>
      <c r="Q2304" s="481">
        <f t="shared" si="82"/>
        <v>0</v>
      </c>
    </row>
    <row r="2305" spans="1:17" outlineLevel="2" x14ac:dyDescent="0.3">
      <c r="A2305" s="366" t="str">
        <f>IFERROR(VLOOKUP(RIGHT(E2305,3)+0,[1]SchLocTable!$A$2:$B$47,2,FALSE)," ")</f>
        <v>Johnson</v>
      </c>
      <c r="B2305" s="366" t="str">
        <f>VLOOKUP(VALUE(D2305),$D$3:F$106,3,FALSE)</f>
        <v>Special Education</v>
      </c>
      <c r="C2305" t="s">
        <v>314</v>
      </c>
      <c r="D2305">
        <v>827</v>
      </c>
      <c r="E2305" t="s">
        <v>833</v>
      </c>
      <c r="F2305" t="s">
        <v>316</v>
      </c>
      <c r="G2305">
        <v>6</v>
      </c>
      <c r="H2305" s="502">
        <v>51000</v>
      </c>
      <c r="I2305" s="415">
        <v>823348.7861100001</v>
      </c>
      <c r="J2305" s="415">
        <v>504324.1</v>
      </c>
      <c r="K2305" s="415">
        <v>475396.55</v>
      </c>
      <c r="L2305" s="415">
        <v>538027.36</v>
      </c>
      <c r="M2305" s="415">
        <v>522437.7</v>
      </c>
      <c r="N2305" s="415">
        <v>520669.71</v>
      </c>
      <c r="O2305" s="415">
        <v>489147.26</v>
      </c>
      <c r="P2305" s="415">
        <v>481444.96</v>
      </c>
      <c r="Q2305" s="481">
        <f t="shared" si="82"/>
        <v>-319024.68611000013</v>
      </c>
    </row>
    <row r="2306" spans="1:17" outlineLevel="2" x14ac:dyDescent="0.3">
      <c r="A2306" s="366" t="str">
        <f>IFERROR(VLOOKUP(RIGHT(E2306,3)+0,[1]SchLocTable!$A$2:$B$47,2,FALSE)," ")</f>
        <v>Johnson</v>
      </c>
      <c r="B2306" s="366" t="str">
        <f>VLOOKUP(VALUE(D2306),$D$3:F$106,3,FALSE)</f>
        <v>Special Education</v>
      </c>
      <c r="C2306" t="s">
        <v>314</v>
      </c>
      <c r="D2306">
        <v>827</v>
      </c>
      <c r="E2306" t="s">
        <v>833</v>
      </c>
      <c r="F2306" t="s">
        <v>321</v>
      </c>
      <c r="G2306" t="s">
        <v>319</v>
      </c>
      <c r="H2306" s="502">
        <v>52917</v>
      </c>
      <c r="I2306" s="415">
        <v>79764.551999999996</v>
      </c>
      <c r="J2306" s="415">
        <v>39539.85</v>
      </c>
      <c r="K2306" s="415">
        <v>68227.199999999997</v>
      </c>
      <c r="L2306" s="415">
        <v>106820.19</v>
      </c>
      <c r="M2306" s="415">
        <v>113571.36</v>
      </c>
      <c r="N2306" s="415">
        <v>118961.64</v>
      </c>
      <c r="O2306" s="415">
        <v>91977.74</v>
      </c>
      <c r="P2306" s="415">
        <v>86650.2</v>
      </c>
      <c r="Q2306" s="481">
        <f t="shared" si="82"/>
        <v>-40224.701999999997</v>
      </c>
    </row>
    <row r="2307" spans="1:17" outlineLevel="2" x14ac:dyDescent="0.3">
      <c r="A2307" s="366" t="str">
        <f>IFERROR(VLOOKUP(RIGHT(E2307,3)+0,[1]SchLocTable!$A$2:$B$47,2,FALSE)," ")</f>
        <v>Johnson</v>
      </c>
      <c r="B2307" s="366" t="str">
        <f>VLOOKUP(VALUE(D2307),$D$3:F$106,3,FALSE)</f>
        <v>Special Education</v>
      </c>
      <c r="C2307" t="s">
        <v>314</v>
      </c>
      <c r="D2307">
        <v>827</v>
      </c>
      <c r="E2307" t="s">
        <v>833</v>
      </c>
      <c r="F2307" t="s">
        <v>318</v>
      </c>
      <c r="G2307" t="s">
        <v>319</v>
      </c>
      <c r="H2307" s="502">
        <v>51140</v>
      </c>
      <c r="I2307" s="415">
        <v>900</v>
      </c>
      <c r="J2307" s="415">
        <v>0</v>
      </c>
      <c r="K2307" s="415">
        <v>900</v>
      </c>
      <c r="L2307" s="415">
        <v>4400</v>
      </c>
      <c r="M2307" s="415">
        <v>2200</v>
      </c>
      <c r="N2307" s="415">
        <v>1300</v>
      </c>
      <c r="O2307" s="415">
        <v>1300</v>
      </c>
      <c r="P2307" s="415">
        <v>1300</v>
      </c>
      <c r="Q2307" s="481">
        <f t="shared" si="82"/>
        <v>-900</v>
      </c>
    </row>
    <row r="2308" spans="1:17" outlineLevel="2" x14ac:dyDescent="0.3">
      <c r="A2308" s="366" t="str">
        <f>IFERROR(VLOOKUP(RIGHT(E2308,3)+0,[1]SchLocTable!$A$2:$B$47,2,FALSE)," ")</f>
        <v>Johnson</v>
      </c>
      <c r="B2308" s="366" t="str">
        <f>VLOOKUP(VALUE(D2308),$D$3:F$106,3,FALSE)</f>
        <v>Special Education</v>
      </c>
      <c r="C2308" t="s">
        <v>314</v>
      </c>
      <c r="D2308">
        <v>827</v>
      </c>
      <c r="E2308" t="s">
        <v>833</v>
      </c>
      <c r="F2308" t="s">
        <v>320</v>
      </c>
      <c r="G2308" t="s">
        <v>319</v>
      </c>
      <c r="H2308" s="502">
        <v>52360</v>
      </c>
      <c r="I2308" s="415">
        <v>11938.557398595001</v>
      </c>
      <c r="J2308" s="415">
        <v>6919</v>
      </c>
      <c r="K2308" s="415">
        <v>6598.52</v>
      </c>
      <c r="L2308" s="415">
        <v>7543.15</v>
      </c>
      <c r="M2308" s="415">
        <v>7120</v>
      </c>
      <c r="N2308" s="415">
        <v>7104.01</v>
      </c>
      <c r="O2308" s="415">
        <v>6762.44</v>
      </c>
      <c r="P2308" s="415">
        <v>6675.86</v>
      </c>
      <c r="Q2308" s="481">
        <f t="shared" si="82"/>
        <v>-5019.5573985950014</v>
      </c>
    </row>
    <row r="2309" spans="1:17" outlineLevel="2" x14ac:dyDescent="0.3">
      <c r="A2309" s="366" t="str">
        <f>IFERROR(VLOOKUP(RIGHT(E2309,3)+0,[1]SchLocTable!$A$2:$B$47,2,FALSE)," ")</f>
        <v>Johnson</v>
      </c>
      <c r="B2309" s="366" t="str">
        <f>VLOOKUP(VALUE(D2309),$D$3:F$106,3,FALSE)</f>
        <v>Special Education</v>
      </c>
      <c r="C2309" t="s">
        <v>314</v>
      </c>
      <c r="D2309">
        <v>827</v>
      </c>
      <c r="E2309" t="s">
        <v>833</v>
      </c>
      <c r="F2309" t="s">
        <v>324</v>
      </c>
      <c r="G2309" t="s">
        <v>319</v>
      </c>
      <c r="H2309" s="502">
        <v>52385</v>
      </c>
      <c r="I2309" s="415">
        <v>0</v>
      </c>
      <c r="J2309" s="415">
        <v>0</v>
      </c>
      <c r="K2309" s="415">
        <v>0</v>
      </c>
      <c r="L2309" s="415">
        <v>1147</v>
      </c>
      <c r="M2309" s="415">
        <v>0</v>
      </c>
      <c r="N2309" s="415">
        <v>3197.87</v>
      </c>
      <c r="O2309" s="415">
        <v>0</v>
      </c>
      <c r="P2309" s="415">
        <v>0</v>
      </c>
      <c r="Q2309" s="481">
        <f t="shared" si="82"/>
        <v>0</v>
      </c>
    </row>
    <row r="2310" spans="1:17" outlineLevel="2" x14ac:dyDescent="0.3">
      <c r="A2310" s="366" t="str">
        <f>IFERROR(VLOOKUP(RIGHT(E2310,3)+0,[1]SchLocTable!$A$2:$B$47,2,FALSE)," ")</f>
        <v>Johnson</v>
      </c>
      <c r="B2310" s="366" t="str">
        <f>VLOOKUP(VALUE(D2310),$D$3:F$106,3,FALSE)</f>
        <v>Special Education</v>
      </c>
      <c r="C2310" t="s">
        <v>314</v>
      </c>
      <c r="D2310">
        <v>827</v>
      </c>
      <c r="E2310" t="s">
        <v>833</v>
      </c>
      <c r="F2310" t="s">
        <v>329</v>
      </c>
      <c r="G2310" t="s">
        <v>319</v>
      </c>
      <c r="H2310" s="502">
        <v>51154</v>
      </c>
      <c r="I2310" s="415">
        <v>0</v>
      </c>
      <c r="J2310" s="415">
        <v>0</v>
      </c>
      <c r="K2310" s="415">
        <v>0</v>
      </c>
      <c r="L2310" s="415">
        <v>9425</v>
      </c>
      <c r="M2310" s="415">
        <v>0</v>
      </c>
      <c r="N2310" s="415">
        <v>0</v>
      </c>
      <c r="O2310" s="415">
        <v>0</v>
      </c>
      <c r="P2310" s="415">
        <v>0</v>
      </c>
      <c r="Q2310" s="481">
        <f t="shared" si="82"/>
        <v>0</v>
      </c>
    </row>
    <row r="2311" spans="1:17" outlineLevel="2" x14ac:dyDescent="0.3">
      <c r="A2311" s="366" t="str">
        <f>IFERROR(VLOOKUP(RIGHT(E2311,3)+0,[1]SchLocTable!$A$2:$B$47,2,FALSE)," ")</f>
        <v>Winthrop</v>
      </c>
      <c r="B2311" s="366" t="str">
        <f>VLOOKUP(VALUE(D2311),$D$3:F$106,3,FALSE)</f>
        <v>Special Education</v>
      </c>
      <c r="C2311" t="s">
        <v>314</v>
      </c>
      <c r="D2311">
        <v>827</v>
      </c>
      <c r="E2311" t="s">
        <v>834</v>
      </c>
      <c r="F2311" t="s">
        <v>316</v>
      </c>
      <c r="G2311">
        <v>1</v>
      </c>
      <c r="H2311" s="502">
        <v>51000</v>
      </c>
      <c r="I2311" s="415">
        <v>309672.69375999999</v>
      </c>
      <c r="J2311" s="415">
        <v>61422.9</v>
      </c>
      <c r="K2311" s="415">
        <v>252586.99</v>
      </c>
      <c r="L2311" s="415">
        <v>157429.82</v>
      </c>
      <c r="M2311" s="415">
        <v>97611.75</v>
      </c>
      <c r="N2311" s="415">
        <v>100948.88</v>
      </c>
      <c r="O2311" s="415">
        <v>96106.92</v>
      </c>
      <c r="P2311" s="415">
        <v>94593.98</v>
      </c>
      <c r="Q2311" s="481">
        <f t="shared" si="82"/>
        <v>-248249.79376</v>
      </c>
    </row>
    <row r="2312" spans="1:17" outlineLevel="2" x14ac:dyDescent="0.3">
      <c r="A2312" s="366" t="str">
        <f>IFERROR(VLOOKUP(RIGHT(E2312,3)+0,[1]SchLocTable!$A$2:$B$47,2,FALSE)," ")</f>
        <v>Winthrop</v>
      </c>
      <c r="B2312" s="366" t="str">
        <f>VLOOKUP(VALUE(D2312),$D$3:F$106,3,FALSE)</f>
        <v>Special Education</v>
      </c>
      <c r="C2312" t="s">
        <v>314</v>
      </c>
      <c r="D2312">
        <v>827</v>
      </c>
      <c r="E2312" t="s">
        <v>834</v>
      </c>
      <c r="F2312" t="s">
        <v>321</v>
      </c>
      <c r="G2312" t="s">
        <v>319</v>
      </c>
      <c r="H2312" s="502">
        <v>52917</v>
      </c>
      <c r="I2312" s="415">
        <v>138728.772</v>
      </c>
      <c r="J2312" s="415">
        <v>38609.129999999997</v>
      </c>
      <c r="K2312" s="415">
        <v>75314.64</v>
      </c>
      <c r="L2312" s="415">
        <v>46291.77</v>
      </c>
      <c r="M2312" s="415">
        <v>10956.75</v>
      </c>
      <c r="N2312" s="415">
        <v>13078.58</v>
      </c>
      <c r="O2312" s="415">
        <v>9817.68</v>
      </c>
      <c r="P2312" s="415">
        <v>9245.67</v>
      </c>
      <c r="Q2312" s="481">
        <f t="shared" si="82"/>
        <v>-100119.64199999999</v>
      </c>
    </row>
    <row r="2313" spans="1:17" outlineLevel="2" x14ac:dyDescent="0.3">
      <c r="A2313" s="366" t="str">
        <f>IFERROR(VLOOKUP(RIGHT(E2313,3)+0,[1]SchLocTable!$A$2:$B$47,2,FALSE)," ")</f>
        <v>Winthrop</v>
      </c>
      <c r="B2313" s="366" t="str">
        <f>VLOOKUP(VALUE(D2313),$D$3:F$106,3,FALSE)</f>
        <v>Special Education</v>
      </c>
      <c r="C2313" t="s">
        <v>314</v>
      </c>
      <c r="D2313">
        <v>827</v>
      </c>
      <c r="E2313" t="s">
        <v>834</v>
      </c>
      <c r="F2313" t="s">
        <v>318</v>
      </c>
      <c r="G2313" t="s">
        <v>319</v>
      </c>
      <c r="H2313" s="502">
        <v>51140</v>
      </c>
      <c r="I2313" s="415">
        <v>0</v>
      </c>
      <c r="J2313" s="415">
        <v>0</v>
      </c>
      <c r="K2313" s="415">
        <v>2400</v>
      </c>
      <c r="L2313" s="415">
        <v>1200</v>
      </c>
      <c r="M2313" s="415">
        <v>1200</v>
      </c>
      <c r="N2313" s="415">
        <v>1200</v>
      </c>
      <c r="O2313" s="415">
        <v>1100</v>
      </c>
      <c r="P2313" s="415">
        <v>1100</v>
      </c>
      <c r="Q2313" s="481">
        <f t="shared" si="82"/>
        <v>0</v>
      </c>
    </row>
    <row r="2314" spans="1:17" outlineLevel="2" x14ac:dyDescent="0.3">
      <c r="A2314" s="366" t="str">
        <f>IFERROR(VLOOKUP(RIGHT(E2314,3)+0,[1]SchLocTable!$A$2:$B$47,2,FALSE)," ")</f>
        <v>Winthrop</v>
      </c>
      <c r="B2314" s="366" t="str">
        <f>VLOOKUP(VALUE(D2314),$D$3:F$106,3,FALSE)</f>
        <v>Special Education</v>
      </c>
      <c r="C2314" t="s">
        <v>314</v>
      </c>
      <c r="D2314">
        <v>827</v>
      </c>
      <c r="E2314" t="s">
        <v>834</v>
      </c>
      <c r="F2314" t="s">
        <v>320</v>
      </c>
      <c r="G2314" t="s">
        <v>319</v>
      </c>
      <c r="H2314" s="502">
        <v>52360</v>
      </c>
      <c r="I2314" s="415">
        <v>4490.2540595200007</v>
      </c>
      <c r="J2314" s="415">
        <v>866.38</v>
      </c>
      <c r="K2314" s="415">
        <v>3375.82</v>
      </c>
      <c r="L2314" s="415">
        <v>2108.4299999999998</v>
      </c>
      <c r="M2314" s="415">
        <v>1388.61</v>
      </c>
      <c r="N2314" s="415">
        <v>1430.03</v>
      </c>
      <c r="O2314" s="415">
        <v>1372.21</v>
      </c>
      <c r="P2314" s="415">
        <v>1352.93</v>
      </c>
      <c r="Q2314" s="481">
        <f t="shared" si="82"/>
        <v>-3623.8740595200006</v>
      </c>
    </row>
    <row r="2315" spans="1:17" outlineLevel="2" x14ac:dyDescent="0.3">
      <c r="A2315" s="366" t="str">
        <f>IFERROR(VLOOKUP(RIGHT(E2315,3)+0,[1]SchLocTable!$A$2:$B$47,2,FALSE)," ")</f>
        <v>Discovery</v>
      </c>
      <c r="B2315" s="366" t="str">
        <f>VLOOKUP(VALUE(D2315),$D$3:F$106,3,FALSE)</f>
        <v>Special Education</v>
      </c>
      <c r="C2315" t="s">
        <v>314</v>
      </c>
      <c r="D2315">
        <v>827</v>
      </c>
      <c r="E2315" t="s">
        <v>1309</v>
      </c>
      <c r="F2315" t="s">
        <v>316</v>
      </c>
      <c r="G2315" t="s">
        <v>319</v>
      </c>
      <c r="H2315" s="502">
        <v>51000</v>
      </c>
      <c r="I2315" s="415">
        <v>204793.46682000003</v>
      </c>
      <c r="J2315" s="415">
        <v>0</v>
      </c>
      <c r="K2315" s="415">
        <v>0</v>
      </c>
      <c r="L2315" s="415">
        <v>0</v>
      </c>
      <c r="M2315" s="415">
        <v>0</v>
      </c>
      <c r="N2315" s="415">
        <v>0</v>
      </c>
      <c r="O2315" s="415">
        <v>0</v>
      </c>
      <c r="P2315" s="415">
        <v>160147.20000000001</v>
      </c>
      <c r="Q2315" s="481">
        <f t="shared" si="82"/>
        <v>-204793.46682000003</v>
      </c>
    </row>
    <row r="2316" spans="1:17" outlineLevel="2" x14ac:dyDescent="0.3">
      <c r="A2316" s="366" t="str">
        <f>IFERROR(VLOOKUP(RIGHT(E2316,3)+0,[1]SchLocTable!$A$2:$B$47,2,FALSE)," ")</f>
        <v>Discovery</v>
      </c>
      <c r="B2316" s="366" t="str">
        <f>VLOOKUP(VALUE(D2316),$D$3:F$106,3,FALSE)</f>
        <v>Special Education</v>
      </c>
      <c r="C2316" t="s">
        <v>314</v>
      </c>
      <c r="D2316">
        <v>827</v>
      </c>
      <c r="E2316" t="s">
        <v>1309</v>
      </c>
      <c r="F2316" t="s">
        <v>321</v>
      </c>
      <c r="G2316" t="s">
        <v>319</v>
      </c>
      <c r="H2316" s="502">
        <v>52917</v>
      </c>
      <c r="I2316" s="415">
        <v>83975.22</v>
      </c>
      <c r="J2316" s="415">
        <v>0</v>
      </c>
      <c r="K2316" s="415">
        <v>0</v>
      </c>
      <c r="L2316" s="415">
        <v>0</v>
      </c>
      <c r="M2316" s="415">
        <v>0</v>
      </c>
      <c r="N2316" s="415">
        <v>0</v>
      </c>
      <c r="O2316" s="415">
        <v>0</v>
      </c>
      <c r="P2316" s="415">
        <v>49571.34</v>
      </c>
      <c r="Q2316" s="481">
        <f t="shared" si="82"/>
        <v>-83975.22</v>
      </c>
    </row>
    <row r="2317" spans="1:17" outlineLevel="2" x14ac:dyDescent="0.3">
      <c r="A2317" s="366" t="str">
        <f>IFERROR(VLOOKUP(RIGHT(E2317,3)+0,[1]SchLocTable!$A$2:$B$47,2,FALSE)," ")</f>
        <v>Discovery</v>
      </c>
      <c r="B2317" s="366" t="str">
        <f>VLOOKUP(VALUE(D2317),$D$3:F$106,3,FALSE)</f>
        <v>Special Education</v>
      </c>
      <c r="C2317" t="s">
        <v>314</v>
      </c>
      <c r="D2317">
        <v>827</v>
      </c>
      <c r="E2317" t="s">
        <v>1309</v>
      </c>
      <c r="F2317" t="s">
        <v>320</v>
      </c>
      <c r="G2317" t="s">
        <v>319</v>
      </c>
      <c r="H2317" s="502">
        <v>52360</v>
      </c>
      <c r="I2317" s="415">
        <v>2969.5052688900005</v>
      </c>
      <c r="J2317" s="415">
        <v>0</v>
      </c>
      <c r="K2317" s="415">
        <v>0</v>
      </c>
      <c r="L2317" s="415">
        <v>0</v>
      </c>
      <c r="M2317" s="415">
        <v>0</v>
      </c>
      <c r="N2317" s="415">
        <v>0</v>
      </c>
      <c r="O2317" s="415">
        <v>0</v>
      </c>
      <c r="P2317" s="415">
        <v>847.99</v>
      </c>
      <c r="Q2317" s="481">
        <f t="shared" si="82"/>
        <v>-2969.5052688900005</v>
      </c>
    </row>
    <row r="2318" spans="1:17" outlineLevel="2" x14ac:dyDescent="0.3">
      <c r="A2318" s="366" t="str">
        <f>IFERROR(VLOOKUP(RIGHT(E2318,3)+0,[1]SchLocTable!$A$2:$B$47,2,FALSE)," ")</f>
        <v>Cross</v>
      </c>
      <c r="B2318" s="366" t="str">
        <f>VLOOKUP(VALUE(D2318),$D$3:F$106,3,FALSE)</f>
        <v>Special Education</v>
      </c>
      <c r="C2318" t="s">
        <v>314</v>
      </c>
      <c r="D2318">
        <v>827</v>
      </c>
      <c r="E2318" t="s">
        <v>835</v>
      </c>
      <c r="F2318" t="s">
        <v>316</v>
      </c>
      <c r="G2318">
        <v>5</v>
      </c>
      <c r="H2318" s="502">
        <v>51000</v>
      </c>
      <c r="I2318" s="415">
        <v>303294.56362999999</v>
      </c>
      <c r="J2318" s="415">
        <v>232540</v>
      </c>
      <c r="K2318" s="415">
        <v>236186</v>
      </c>
      <c r="L2318" s="415">
        <v>134072.1</v>
      </c>
      <c r="M2318" s="415">
        <v>115751.26</v>
      </c>
      <c r="N2318" s="415">
        <v>168555.65</v>
      </c>
      <c r="O2318" s="415">
        <v>209582.36</v>
      </c>
      <c r="P2318" s="415">
        <v>277318.07</v>
      </c>
      <c r="Q2318" s="481">
        <f t="shared" si="82"/>
        <v>-70754.56362999999</v>
      </c>
    </row>
    <row r="2319" spans="1:17" outlineLevel="2" x14ac:dyDescent="0.3">
      <c r="A2319" s="366" t="str">
        <f>IFERROR(VLOOKUP(RIGHT(E2319,3)+0,[1]SchLocTable!$A$2:$B$47,2,FALSE)," ")</f>
        <v>Cross</v>
      </c>
      <c r="B2319" s="366" t="str">
        <f>VLOOKUP(VALUE(D2319),$D$3:F$106,3,FALSE)</f>
        <v>Special Education</v>
      </c>
      <c r="C2319" t="s">
        <v>314</v>
      </c>
      <c r="D2319">
        <v>827</v>
      </c>
      <c r="E2319" t="s">
        <v>835</v>
      </c>
      <c r="F2319" t="s">
        <v>321</v>
      </c>
      <c r="G2319" t="s">
        <v>319</v>
      </c>
      <c r="H2319" s="502">
        <v>52917</v>
      </c>
      <c r="I2319" s="415">
        <v>15644.663999999999</v>
      </c>
      <c r="J2319" s="415">
        <v>13037.22</v>
      </c>
      <c r="K2319" s="415">
        <v>11844</v>
      </c>
      <c r="L2319" s="415">
        <v>0</v>
      </c>
      <c r="M2319" s="415">
        <v>11005.23</v>
      </c>
      <c r="N2319" s="415">
        <v>48482.47</v>
      </c>
      <c r="O2319" s="415">
        <v>62221.09</v>
      </c>
      <c r="P2319" s="415">
        <v>77467.81</v>
      </c>
      <c r="Q2319" s="481">
        <f t="shared" si="82"/>
        <v>-2607.4439999999995</v>
      </c>
    </row>
    <row r="2320" spans="1:17" outlineLevel="2" x14ac:dyDescent="0.3">
      <c r="A2320" s="366" t="str">
        <f>IFERROR(VLOOKUP(RIGHT(E2320,3)+0,[1]SchLocTable!$A$2:$B$47,2,FALSE)," ")</f>
        <v>Cross</v>
      </c>
      <c r="B2320" s="366" t="str">
        <f>VLOOKUP(VALUE(D2320),$D$3:F$106,3,FALSE)</f>
        <v>Special Education</v>
      </c>
      <c r="C2320" t="s">
        <v>314</v>
      </c>
      <c r="D2320">
        <v>827</v>
      </c>
      <c r="E2320" t="s">
        <v>835</v>
      </c>
      <c r="F2320" t="s">
        <v>320</v>
      </c>
      <c r="G2320" t="s">
        <v>319</v>
      </c>
      <c r="H2320" s="502">
        <v>52360</v>
      </c>
      <c r="I2320" s="415">
        <v>4397.7711726350008</v>
      </c>
      <c r="J2320" s="415">
        <v>3301</v>
      </c>
      <c r="K2320" s="415">
        <v>3374.12</v>
      </c>
      <c r="L2320" s="415">
        <v>1937.14</v>
      </c>
      <c r="M2320" s="415">
        <v>1634.65</v>
      </c>
      <c r="N2320" s="415">
        <v>2483.0500000000002</v>
      </c>
      <c r="O2320" s="415">
        <v>2802.07</v>
      </c>
      <c r="P2320" s="415">
        <v>3729.25</v>
      </c>
      <c r="Q2320" s="481">
        <f t="shared" si="82"/>
        <v>-1096.7711726350008</v>
      </c>
    </row>
    <row r="2321" spans="1:17" outlineLevel="2" x14ac:dyDescent="0.3">
      <c r="A2321" s="366" t="str">
        <f>IFERROR(VLOOKUP(RIGHT(E2321,3)+0,[1]SchLocTable!$A$2:$B$47,2,FALSE)," ")</f>
        <v>Cross</v>
      </c>
      <c r="B2321" s="366" t="str">
        <f>VLOOKUP(VALUE(D2321),$D$3:F$106,3,FALSE)</f>
        <v>Special Education</v>
      </c>
      <c r="C2321" t="s">
        <v>314</v>
      </c>
      <c r="D2321">
        <v>827</v>
      </c>
      <c r="E2321" t="s">
        <v>835</v>
      </c>
      <c r="F2321" t="s">
        <v>324</v>
      </c>
      <c r="G2321" t="s">
        <v>319</v>
      </c>
      <c r="H2321" s="502">
        <v>52385</v>
      </c>
      <c r="I2321" s="415">
        <v>0</v>
      </c>
      <c r="J2321" s="415">
        <v>403</v>
      </c>
      <c r="K2321" s="415">
        <v>1085</v>
      </c>
      <c r="L2321" s="415">
        <v>0</v>
      </c>
      <c r="M2321" s="415">
        <v>1798</v>
      </c>
      <c r="N2321" s="415">
        <v>2311.84</v>
      </c>
      <c r="O2321" s="415">
        <v>0</v>
      </c>
      <c r="P2321" s="415">
        <v>0</v>
      </c>
      <c r="Q2321" s="481">
        <f t="shared" si="82"/>
        <v>403</v>
      </c>
    </row>
    <row r="2322" spans="1:17" outlineLevel="2" x14ac:dyDescent="0.3">
      <c r="A2322" s="366" t="str">
        <f>IFERROR(VLOOKUP(RIGHT(E2322,3)+0,[1]SchLocTable!$A$2:$B$47,2,FALSE)," ")</f>
        <v>Blackham</v>
      </c>
      <c r="B2322" s="366" t="str">
        <f>VLOOKUP(VALUE(D2322),$D$3:F$106,3,FALSE)</f>
        <v>Special Education</v>
      </c>
      <c r="C2322" t="s">
        <v>314</v>
      </c>
      <c r="D2322">
        <v>827</v>
      </c>
      <c r="E2322" t="s">
        <v>836</v>
      </c>
      <c r="F2322" t="s">
        <v>316</v>
      </c>
      <c r="G2322">
        <v>7</v>
      </c>
      <c r="H2322" s="502">
        <v>51000</v>
      </c>
      <c r="I2322" s="415">
        <v>800804.43276</v>
      </c>
      <c r="J2322" s="415">
        <v>486568</v>
      </c>
      <c r="K2322" s="415">
        <v>588943.22</v>
      </c>
      <c r="L2322" s="415">
        <v>740098.42</v>
      </c>
      <c r="M2322" s="415">
        <v>653988.56999999995</v>
      </c>
      <c r="N2322" s="415">
        <v>576040.30000000005</v>
      </c>
      <c r="O2322" s="415">
        <v>552795.85</v>
      </c>
      <c r="P2322" s="415">
        <v>541575.41</v>
      </c>
      <c r="Q2322" s="481">
        <f t="shared" si="82"/>
        <v>-314236.43276</v>
      </c>
    </row>
    <row r="2323" spans="1:17" outlineLevel="2" x14ac:dyDescent="0.3">
      <c r="A2323" s="366" t="str">
        <f>IFERROR(VLOOKUP(RIGHT(E2323,3)+0,[1]SchLocTable!$A$2:$B$47,2,FALSE)," ")</f>
        <v>Blackham</v>
      </c>
      <c r="B2323" s="366" t="str">
        <f>VLOOKUP(VALUE(D2323),$D$3:F$106,3,FALSE)</f>
        <v>Special Education</v>
      </c>
      <c r="C2323" t="s">
        <v>314</v>
      </c>
      <c r="D2323">
        <v>827</v>
      </c>
      <c r="E2323" t="s">
        <v>836</v>
      </c>
      <c r="F2323" t="s">
        <v>321</v>
      </c>
      <c r="G2323" t="s">
        <v>319</v>
      </c>
      <c r="H2323" s="502">
        <v>52917</v>
      </c>
      <c r="I2323" s="415">
        <v>182832.40799999997</v>
      </c>
      <c r="J2323" s="415">
        <v>110040</v>
      </c>
      <c r="K2323" s="415">
        <v>90317.22</v>
      </c>
      <c r="L2323" s="415">
        <v>116150.26</v>
      </c>
      <c r="M2323" s="415">
        <v>83266.89</v>
      </c>
      <c r="N2323" s="415">
        <v>87008.67</v>
      </c>
      <c r="O2323" s="415">
        <v>83383.58</v>
      </c>
      <c r="P2323" s="415">
        <v>78652.77</v>
      </c>
      <c r="Q2323" s="481">
        <f t="shared" si="82"/>
        <v>-72792.407999999967</v>
      </c>
    </row>
    <row r="2324" spans="1:17" outlineLevel="2" x14ac:dyDescent="0.3">
      <c r="A2324" s="366" t="str">
        <f>IFERROR(VLOOKUP(RIGHT(E2324,3)+0,[1]SchLocTable!$A$2:$B$47,2,FALSE)," ")</f>
        <v>Blackham</v>
      </c>
      <c r="B2324" s="366" t="str">
        <f>VLOOKUP(VALUE(D2324),$D$3:F$106,3,FALSE)</f>
        <v>Special Education</v>
      </c>
      <c r="C2324" t="s">
        <v>314</v>
      </c>
      <c r="D2324">
        <v>827</v>
      </c>
      <c r="E2324" t="s">
        <v>836</v>
      </c>
      <c r="F2324" t="s">
        <v>318</v>
      </c>
      <c r="G2324" t="s">
        <v>319</v>
      </c>
      <c r="H2324" s="502">
        <v>51140</v>
      </c>
      <c r="I2324" s="415">
        <v>1100</v>
      </c>
      <c r="J2324" s="415">
        <v>0</v>
      </c>
      <c r="K2324" s="415">
        <v>2000</v>
      </c>
      <c r="L2324" s="415">
        <v>4500</v>
      </c>
      <c r="M2324" s="415">
        <v>2700</v>
      </c>
      <c r="N2324" s="415">
        <v>4500</v>
      </c>
      <c r="O2324" s="415">
        <v>3600</v>
      </c>
      <c r="P2324" s="415">
        <v>3600</v>
      </c>
      <c r="Q2324" s="481">
        <f t="shared" si="82"/>
        <v>-1100</v>
      </c>
    </row>
    <row r="2325" spans="1:17" outlineLevel="2" x14ac:dyDescent="0.3">
      <c r="A2325" s="366" t="str">
        <f>IFERROR(VLOOKUP(RIGHT(E2325,3)+0,[1]SchLocTable!$A$2:$B$47,2,FALSE)," ")</f>
        <v>Blackham</v>
      </c>
      <c r="B2325" s="366" t="str">
        <f>VLOOKUP(VALUE(D2325),$D$3:F$106,3,FALSE)</f>
        <v>Special Education</v>
      </c>
      <c r="C2325" t="s">
        <v>314</v>
      </c>
      <c r="D2325">
        <v>827</v>
      </c>
      <c r="E2325" t="s">
        <v>836</v>
      </c>
      <c r="F2325" t="s">
        <v>320</v>
      </c>
      <c r="G2325" t="s">
        <v>319</v>
      </c>
      <c r="H2325" s="502">
        <v>52360</v>
      </c>
      <c r="I2325" s="415">
        <v>11611.664275019999</v>
      </c>
      <c r="J2325" s="415">
        <v>6605</v>
      </c>
      <c r="K2325" s="415">
        <v>8174.4</v>
      </c>
      <c r="L2325" s="415">
        <v>10342.370000000001</v>
      </c>
      <c r="M2325" s="415">
        <v>9189.99</v>
      </c>
      <c r="N2325" s="415">
        <v>8230.5300000000007</v>
      </c>
      <c r="O2325" s="415">
        <v>7752.39</v>
      </c>
      <c r="P2325" s="415">
        <v>7656.29</v>
      </c>
      <c r="Q2325" s="481">
        <f t="shared" si="82"/>
        <v>-5006.664275019999</v>
      </c>
    </row>
    <row r="2326" spans="1:17" outlineLevel="2" x14ac:dyDescent="0.3">
      <c r="A2326" s="366" t="str">
        <f>IFERROR(VLOOKUP(RIGHT(E2326,3)+0,[1]SchLocTable!$A$2:$B$47,2,FALSE)," ")</f>
        <v>Blackham</v>
      </c>
      <c r="B2326" s="366" t="str">
        <f>VLOOKUP(VALUE(D2326),$D$3:F$106,3,FALSE)</f>
        <v>Special Education</v>
      </c>
      <c r="C2326" t="s">
        <v>314</v>
      </c>
      <c r="D2326">
        <v>827</v>
      </c>
      <c r="E2326" t="s">
        <v>836</v>
      </c>
      <c r="F2326" t="s">
        <v>329</v>
      </c>
      <c r="G2326" t="s">
        <v>319</v>
      </c>
      <c r="H2326" s="502">
        <v>51154</v>
      </c>
      <c r="I2326" s="415">
        <v>0</v>
      </c>
      <c r="J2326" s="415">
        <v>0</v>
      </c>
      <c r="K2326" s="415">
        <v>0</v>
      </c>
      <c r="L2326" s="415">
        <v>3250</v>
      </c>
      <c r="M2326" s="415">
        <v>0</v>
      </c>
      <c r="N2326" s="415">
        <v>10400</v>
      </c>
      <c r="O2326" s="415">
        <v>0</v>
      </c>
      <c r="P2326" s="415">
        <v>0</v>
      </c>
      <c r="Q2326" s="481">
        <f t="shared" si="82"/>
        <v>0</v>
      </c>
    </row>
    <row r="2327" spans="1:17" outlineLevel="2" x14ac:dyDescent="0.3">
      <c r="A2327" s="366" t="str">
        <f>IFERROR(VLOOKUP(RIGHT(E2327,3)+0,[1]SchLocTable!$A$2:$B$47,2,FALSE)," ")</f>
        <v>Dunbar</v>
      </c>
      <c r="B2327" s="366" t="str">
        <f>VLOOKUP(VALUE(D2327),$D$3:F$106,3,FALSE)</f>
        <v>Special Education</v>
      </c>
      <c r="C2327" t="s">
        <v>314</v>
      </c>
      <c r="D2327">
        <v>827</v>
      </c>
      <c r="E2327" t="s">
        <v>837</v>
      </c>
      <c r="F2327" t="s">
        <v>316</v>
      </c>
      <c r="G2327">
        <v>2</v>
      </c>
      <c r="H2327" s="502">
        <v>51000</v>
      </c>
      <c r="I2327" s="415">
        <v>409210.86482000002</v>
      </c>
      <c r="J2327" s="415">
        <v>55500</v>
      </c>
      <c r="K2327" s="415">
        <v>70694.740000000005</v>
      </c>
      <c r="L2327" s="415">
        <v>269532.40999999997</v>
      </c>
      <c r="M2327" s="415">
        <v>312099.03000000003</v>
      </c>
      <c r="N2327" s="415">
        <v>216231.3</v>
      </c>
      <c r="O2327" s="415">
        <v>0</v>
      </c>
      <c r="P2327" s="415">
        <v>54127.06</v>
      </c>
      <c r="Q2327" s="481">
        <f t="shared" si="82"/>
        <v>-353710.86482000002</v>
      </c>
    </row>
    <row r="2328" spans="1:17" outlineLevel="2" x14ac:dyDescent="0.3">
      <c r="A2328" s="366" t="str">
        <f>IFERROR(VLOOKUP(RIGHT(E2328,3)+0,[1]SchLocTable!$A$2:$B$47,2,FALSE)," ")</f>
        <v>Dunbar</v>
      </c>
      <c r="B2328" s="366" t="str">
        <f>VLOOKUP(VALUE(D2328),$D$3:F$106,3,FALSE)</f>
        <v>Special Education</v>
      </c>
      <c r="C2328" t="s">
        <v>314</v>
      </c>
      <c r="D2328">
        <v>827</v>
      </c>
      <c r="E2328" t="s">
        <v>837</v>
      </c>
      <c r="F2328" t="s">
        <v>321</v>
      </c>
      <c r="G2328" t="s">
        <v>319</v>
      </c>
      <c r="H2328" s="502">
        <v>52917</v>
      </c>
      <c r="I2328" s="415">
        <v>62489.69999999999</v>
      </c>
      <c r="J2328" s="415">
        <v>0</v>
      </c>
      <c r="K2328" s="415">
        <v>11280</v>
      </c>
      <c r="L2328" s="415">
        <v>54491.72</v>
      </c>
      <c r="M2328" s="415">
        <v>75894.33</v>
      </c>
      <c r="N2328" s="415">
        <v>44767.87</v>
      </c>
      <c r="O2328" s="415">
        <v>0</v>
      </c>
      <c r="P2328" s="415">
        <v>9292.7099999999991</v>
      </c>
      <c r="Q2328" s="481">
        <f t="shared" si="82"/>
        <v>-62489.69999999999</v>
      </c>
    </row>
    <row r="2329" spans="1:17" outlineLevel="2" x14ac:dyDescent="0.3">
      <c r="A2329" s="366" t="str">
        <f>IFERROR(VLOOKUP(RIGHT(E2329,3)+0,[1]SchLocTable!$A$2:$B$47,2,FALSE)," ")</f>
        <v>Dunbar</v>
      </c>
      <c r="B2329" s="366" t="str">
        <f>VLOOKUP(VALUE(D2329),$D$3:F$106,3,FALSE)</f>
        <v>Special Education</v>
      </c>
      <c r="C2329" t="s">
        <v>314</v>
      </c>
      <c r="D2329">
        <v>827</v>
      </c>
      <c r="E2329" t="s">
        <v>837</v>
      </c>
      <c r="F2329" t="s">
        <v>318</v>
      </c>
      <c r="G2329" t="s">
        <v>319</v>
      </c>
      <c r="H2329" s="502">
        <v>51140</v>
      </c>
      <c r="I2329" s="415">
        <v>0</v>
      </c>
      <c r="J2329" s="415">
        <v>0</v>
      </c>
      <c r="K2329" s="415">
        <v>0</v>
      </c>
      <c r="L2329" s="415">
        <v>3500</v>
      </c>
      <c r="M2329" s="415">
        <v>0</v>
      </c>
      <c r="N2329" s="415">
        <v>0</v>
      </c>
      <c r="O2329" s="415">
        <v>0</v>
      </c>
      <c r="P2329" s="415">
        <v>0</v>
      </c>
      <c r="Q2329" s="481">
        <f t="shared" si="82"/>
        <v>0</v>
      </c>
    </row>
    <row r="2330" spans="1:17" outlineLevel="2" x14ac:dyDescent="0.3">
      <c r="A2330" s="366" t="str">
        <f>IFERROR(VLOOKUP(RIGHT(E2330,3)+0,[1]SchLocTable!$A$2:$B$47,2,FALSE)," ")</f>
        <v>Dunbar</v>
      </c>
      <c r="B2330" s="366" t="str">
        <f>VLOOKUP(VALUE(D2330),$D$3:F$106,3,FALSE)</f>
        <v>Special Education</v>
      </c>
      <c r="C2330" t="s">
        <v>314</v>
      </c>
      <c r="D2330">
        <v>827</v>
      </c>
      <c r="E2330" t="s">
        <v>837</v>
      </c>
      <c r="F2330" t="s">
        <v>320</v>
      </c>
      <c r="G2330" t="s">
        <v>319</v>
      </c>
      <c r="H2330" s="502">
        <v>52360</v>
      </c>
      <c r="I2330" s="415">
        <v>5933.557539890001</v>
      </c>
      <c r="J2330" s="415">
        <v>804.75</v>
      </c>
      <c r="K2330" s="415">
        <v>976.91</v>
      </c>
      <c r="L2330" s="415">
        <v>3688.15</v>
      </c>
      <c r="M2330" s="415">
        <v>4182.8500000000004</v>
      </c>
      <c r="N2330" s="415">
        <v>2935.24</v>
      </c>
      <c r="O2330" s="415">
        <v>0</v>
      </c>
      <c r="P2330" s="415">
        <v>750.13</v>
      </c>
      <c r="Q2330" s="481">
        <f t="shared" si="82"/>
        <v>-5128.807539890001</v>
      </c>
    </row>
    <row r="2331" spans="1:17" outlineLevel="2" x14ac:dyDescent="0.3">
      <c r="A2331" s="366" t="str">
        <f>IFERROR(VLOOKUP(RIGHT(E2331,3)+0,[1]SchLocTable!$A$2:$B$47,2,FALSE)," ")</f>
        <v>Dunbar</v>
      </c>
      <c r="B2331" s="366" t="str">
        <f>VLOOKUP(VALUE(D2331),$D$3:F$106,3,FALSE)</f>
        <v>Special Education</v>
      </c>
      <c r="C2331" t="s">
        <v>314</v>
      </c>
      <c r="D2331">
        <v>827</v>
      </c>
      <c r="E2331" t="s">
        <v>837</v>
      </c>
      <c r="F2331" t="s">
        <v>324</v>
      </c>
      <c r="G2331" t="s">
        <v>319</v>
      </c>
      <c r="H2331" s="502">
        <v>52385</v>
      </c>
      <c r="I2331" s="415">
        <v>0</v>
      </c>
      <c r="J2331" s="415">
        <v>0</v>
      </c>
      <c r="K2331" s="415">
        <v>0</v>
      </c>
      <c r="L2331" s="415">
        <v>0</v>
      </c>
      <c r="M2331" s="415">
        <v>363.68</v>
      </c>
      <c r="N2331" s="415">
        <v>322.39999999999998</v>
      </c>
      <c r="O2331" s="415">
        <v>0</v>
      </c>
      <c r="P2331" s="415">
        <v>0</v>
      </c>
      <c r="Q2331" s="481">
        <f t="shared" si="82"/>
        <v>0</v>
      </c>
    </row>
    <row r="2332" spans="1:17" outlineLevel="2" x14ac:dyDescent="0.3">
      <c r="A2332" s="366" t="str">
        <f>IFERROR(VLOOKUP(RIGHT(E2332,3)+0,[1]SchLocTable!$A$2:$B$47,2,FALSE)," ")</f>
        <v>Curiale</v>
      </c>
      <c r="B2332" s="366" t="str">
        <f>VLOOKUP(VALUE(D2332),$D$3:F$106,3,FALSE)</f>
        <v>Special Education</v>
      </c>
      <c r="C2332" t="s">
        <v>314</v>
      </c>
      <c r="D2332">
        <v>827</v>
      </c>
      <c r="E2332" t="s">
        <v>838</v>
      </c>
      <c r="F2332" t="s">
        <v>316</v>
      </c>
      <c r="G2332">
        <v>2</v>
      </c>
      <c r="H2332" s="502">
        <v>51000</v>
      </c>
      <c r="I2332" s="415">
        <v>398343.56686000002</v>
      </c>
      <c r="J2332" s="415">
        <v>168874</v>
      </c>
      <c r="K2332" s="415">
        <v>162451.9</v>
      </c>
      <c r="L2332" s="415">
        <v>155435.01999999999</v>
      </c>
      <c r="M2332" s="415">
        <v>149471.07999999999</v>
      </c>
      <c r="N2332" s="415">
        <v>145038.42000000001</v>
      </c>
      <c r="O2332" s="415">
        <v>160007.9</v>
      </c>
      <c r="P2332" s="415">
        <v>157489.04999999999</v>
      </c>
      <c r="Q2332" s="481">
        <f t="shared" si="82"/>
        <v>-229469.56686000002</v>
      </c>
    </row>
    <row r="2333" spans="1:17" outlineLevel="2" x14ac:dyDescent="0.3">
      <c r="A2333" s="366" t="str">
        <f>IFERROR(VLOOKUP(RIGHT(E2333,3)+0,[1]SchLocTable!$A$2:$B$47,2,FALSE)," ")</f>
        <v>Curiale</v>
      </c>
      <c r="B2333" s="366" t="str">
        <f>VLOOKUP(VALUE(D2333),$D$3:F$106,3,FALSE)</f>
        <v>Special Education</v>
      </c>
      <c r="C2333" t="s">
        <v>314</v>
      </c>
      <c r="D2333">
        <v>827</v>
      </c>
      <c r="E2333" t="s">
        <v>838</v>
      </c>
      <c r="F2333" t="s">
        <v>321</v>
      </c>
      <c r="G2333" t="s">
        <v>319</v>
      </c>
      <c r="H2333" s="502">
        <v>52917</v>
      </c>
      <c r="I2333" s="415">
        <v>70988.399999999994</v>
      </c>
      <c r="J2333" s="415">
        <v>44407.44</v>
      </c>
      <c r="K2333" s="415">
        <v>40322.1</v>
      </c>
      <c r="L2333" s="415">
        <v>39705.54</v>
      </c>
      <c r="M2333" s="415">
        <v>37288.019999999997</v>
      </c>
      <c r="N2333" s="415">
        <v>29210.81</v>
      </c>
      <c r="O2333" s="415">
        <v>19635.36</v>
      </c>
      <c r="P2333" s="415">
        <v>18491.34</v>
      </c>
      <c r="Q2333" s="481">
        <f t="shared" si="82"/>
        <v>-26580.959999999992</v>
      </c>
    </row>
    <row r="2334" spans="1:17" outlineLevel="2" x14ac:dyDescent="0.3">
      <c r="A2334" s="366" t="str">
        <f>IFERROR(VLOOKUP(RIGHT(E2334,3)+0,[1]SchLocTable!$A$2:$B$47,2,FALSE)," ")</f>
        <v>Curiale</v>
      </c>
      <c r="B2334" s="366" t="str">
        <f>VLOOKUP(VALUE(D2334),$D$3:F$106,3,FALSE)</f>
        <v>Special Education</v>
      </c>
      <c r="C2334" t="s">
        <v>314</v>
      </c>
      <c r="D2334">
        <v>827</v>
      </c>
      <c r="E2334" t="s">
        <v>838</v>
      </c>
      <c r="F2334" t="s">
        <v>318</v>
      </c>
      <c r="G2334" t="s">
        <v>319</v>
      </c>
      <c r="H2334" s="502">
        <v>51140</v>
      </c>
      <c r="I2334" s="415">
        <v>0</v>
      </c>
      <c r="J2334" s="415">
        <v>0</v>
      </c>
      <c r="K2334" s="415">
        <v>0</v>
      </c>
      <c r="L2334" s="415">
        <v>900</v>
      </c>
      <c r="M2334" s="415">
        <v>900</v>
      </c>
      <c r="N2334" s="415">
        <v>0</v>
      </c>
      <c r="O2334" s="415">
        <v>2400</v>
      </c>
      <c r="P2334" s="415">
        <v>1100</v>
      </c>
      <c r="Q2334" s="481">
        <f t="shared" si="82"/>
        <v>0</v>
      </c>
    </row>
    <row r="2335" spans="1:17" outlineLevel="2" x14ac:dyDescent="0.3">
      <c r="A2335" s="366" t="str">
        <f>IFERROR(VLOOKUP(RIGHT(E2335,3)+0,[1]SchLocTable!$A$2:$B$47,2,FALSE)," ")</f>
        <v>Curiale</v>
      </c>
      <c r="B2335" s="366" t="str">
        <f>VLOOKUP(VALUE(D2335),$D$3:F$106,3,FALSE)</f>
        <v>Special Education</v>
      </c>
      <c r="C2335" t="s">
        <v>314</v>
      </c>
      <c r="D2335">
        <v>827</v>
      </c>
      <c r="E2335" t="s">
        <v>838</v>
      </c>
      <c r="F2335" t="s">
        <v>320</v>
      </c>
      <c r="G2335" t="s">
        <v>319</v>
      </c>
      <c r="H2335" s="502">
        <v>52360</v>
      </c>
      <c r="I2335" s="415">
        <v>5775.9817194700008</v>
      </c>
      <c r="J2335" s="415">
        <v>2208</v>
      </c>
      <c r="K2335" s="415">
        <v>2183.13</v>
      </c>
      <c r="L2335" s="415">
        <v>2101.9899999999998</v>
      </c>
      <c r="M2335" s="415">
        <v>2021.65</v>
      </c>
      <c r="N2335" s="415">
        <v>1988.71</v>
      </c>
      <c r="O2335" s="415">
        <v>2445.2600000000002</v>
      </c>
      <c r="P2335" s="415">
        <v>2230.29</v>
      </c>
      <c r="Q2335" s="481">
        <f t="shared" si="82"/>
        <v>-3567.9817194700008</v>
      </c>
    </row>
    <row r="2336" spans="1:17" outlineLevel="2" x14ac:dyDescent="0.3">
      <c r="A2336" s="366" t="str">
        <f>IFERROR(VLOOKUP(RIGHT(E2336,3)+0,[1]SchLocTable!$A$2:$B$47,2,FALSE)," ")</f>
        <v>Skane</v>
      </c>
      <c r="B2336" s="366" t="str">
        <f>VLOOKUP(VALUE(D2336),$D$3:F$106,3,FALSE)</f>
        <v>Special Education</v>
      </c>
      <c r="C2336" t="s">
        <v>314</v>
      </c>
      <c r="D2336">
        <v>827</v>
      </c>
      <c r="E2336" t="s">
        <v>839</v>
      </c>
      <c r="F2336" t="s">
        <v>316</v>
      </c>
      <c r="G2336">
        <v>7</v>
      </c>
      <c r="H2336" s="502">
        <v>51000</v>
      </c>
      <c r="I2336" s="415">
        <v>1129847.43136</v>
      </c>
      <c r="J2336" s="415">
        <v>543990</v>
      </c>
      <c r="K2336" s="415">
        <v>518155.04</v>
      </c>
      <c r="L2336" s="415">
        <v>521466.22</v>
      </c>
      <c r="M2336" s="415">
        <v>622717.28</v>
      </c>
      <c r="N2336" s="415">
        <v>850627.75</v>
      </c>
      <c r="O2336" s="415">
        <v>901661.09</v>
      </c>
      <c r="P2336" s="415">
        <v>967829.44</v>
      </c>
      <c r="Q2336" s="481">
        <f t="shared" si="82"/>
        <v>-585857.43136000005</v>
      </c>
    </row>
    <row r="2337" spans="1:17" outlineLevel="2" x14ac:dyDescent="0.3">
      <c r="A2337" s="366" t="str">
        <f>IFERROR(VLOOKUP(RIGHT(E2337,3)+0,[1]SchLocTable!$A$2:$B$47,2,FALSE)," ")</f>
        <v>Skane</v>
      </c>
      <c r="B2337" s="366" t="str">
        <f>VLOOKUP(VALUE(D2337),$D$3:F$106,3,FALSE)</f>
        <v>Special Education</v>
      </c>
      <c r="C2337" t="s">
        <v>314</v>
      </c>
      <c r="D2337">
        <v>827</v>
      </c>
      <c r="E2337" t="s">
        <v>839</v>
      </c>
      <c r="F2337" t="s">
        <v>321</v>
      </c>
      <c r="G2337" t="s">
        <v>319</v>
      </c>
      <c r="H2337" s="502">
        <v>52917</v>
      </c>
      <c r="I2337" s="415">
        <v>256132.15199999997</v>
      </c>
      <c r="J2337" s="415">
        <v>64817.760000000002</v>
      </c>
      <c r="K2337" s="415">
        <v>58818.06</v>
      </c>
      <c r="L2337" s="415">
        <v>74814.27</v>
      </c>
      <c r="M2337" s="415">
        <v>135017.85</v>
      </c>
      <c r="N2337" s="415">
        <v>181059.91</v>
      </c>
      <c r="O2337" s="415">
        <v>198394.48</v>
      </c>
      <c r="P2337" s="415">
        <v>169253.28</v>
      </c>
      <c r="Q2337" s="481">
        <f t="shared" si="82"/>
        <v>-191314.39199999996</v>
      </c>
    </row>
    <row r="2338" spans="1:17" outlineLevel="2" x14ac:dyDescent="0.3">
      <c r="A2338" s="366" t="str">
        <f>IFERROR(VLOOKUP(RIGHT(E2338,3)+0,[1]SchLocTable!$A$2:$B$47,2,FALSE)," ")</f>
        <v>Skane</v>
      </c>
      <c r="B2338" s="366" t="str">
        <f>VLOOKUP(VALUE(D2338),$D$3:F$106,3,FALSE)</f>
        <v>Special Education</v>
      </c>
      <c r="C2338" t="s">
        <v>314</v>
      </c>
      <c r="D2338">
        <v>827</v>
      </c>
      <c r="E2338" t="s">
        <v>839</v>
      </c>
      <c r="F2338" t="s">
        <v>318</v>
      </c>
      <c r="G2338" t="s">
        <v>319</v>
      </c>
      <c r="H2338" s="502">
        <v>51140</v>
      </c>
      <c r="I2338" s="415">
        <v>2400</v>
      </c>
      <c r="J2338" s="415">
        <v>0</v>
      </c>
      <c r="K2338" s="415">
        <v>2400</v>
      </c>
      <c r="L2338" s="415">
        <v>5100</v>
      </c>
      <c r="M2338" s="415">
        <v>5100</v>
      </c>
      <c r="N2338" s="415">
        <v>5000</v>
      </c>
      <c r="O2338" s="415">
        <v>6800</v>
      </c>
      <c r="P2338" s="415">
        <v>5700</v>
      </c>
      <c r="Q2338" s="481">
        <f t="shared" si="82"/>
        <v>-2400</v>
      </c>
    </row>
    <row r="2339" spans="1:17" outlineLevel="2" x14ac:dyDescent="0.3">
      <c r="A2339" s="366" t="str">
        <f>IFERROR(VLOOKUP(RIGHT(E2339,3)+0,[1]SchLocTable!$A$2:$B$47,2,FALSE)," ")</f>
        <v>Skane</v>
      </c>
      <c r="B2339" s="366" t="str">
        <f>VLOOKUP(VALUE(D2339),$D$3:F$106,3,FALSE)</f>
        <v>Special Education</v>
      </c>
      <c r="C2339" t="s">
        <v>314</v>
      </c>
      <c r="D2339">
        <v>827</v>
      </c>
      <c r="E2339" t="s">
        <v>839</v>
      </c>
      <c r="F2339" t="s">
        <v>320</v>
      </c>
      <c r="G2339" t="s">
        <v>319</v>
      </c>
      <c r="H2339" s="502">
        <v>52360</v>
      </c>
      <c r="I2339" s="415">
        <v>16462.03315472</v>
      </c>
      <c r="J2339" s="415">
        <v>7573</v>
      </c>
      <c r="K2339" s="415">
        <v>7290.47</v>
      </c>
      <c r="L2339" s="415">
        <v>7324.7</v>
      </c>
      <c r="M2339" s="415">
        <v>8532.56</v>
      </c>
      <c r="N2339" s="415">
        <v>12001.31</v>
      </c>
      <c r="O2339" s="415">
        <v>12611.37</v>
      </c>
      <c r="P2339" s="415">
        <v>13483.91</v>
      </c>
      <c r="Q2339" s="481">
        <f t="shared" si="82"/>
        <v>-8889.0331547200003</v>
      </c>
    </row>
    <row r="2340" spans="1:17" outlineLevel="2" x14ac:dyDescent="0.3">
      <c r="A2340" s="366" t="str">
        <f>IFERROR(VLOOKUP(RIGHT(E2340,3)+0,[1]SchLocTable!$A$2:$B$47,2,FALSE)," ")</f>
        <v>Skane</v>
      </c>
      <c r="B2340" s="366" t="str">
        <f>VLOOKUP(VALUE(D2340),$D$3:F$106,3,FALSE)</f>
        <v>Special Education</v>
      </c>
      <c r="C2340" t="s">
        <v>314</v>
      </c>
      <c r="D2340">
        <v>827</v>
      </c>
      <c r="E2340" t="s">
        <v>839</v>
      </c>
      <c r="F2340" t="s">
        <v>560</v>
      </c>
      <c r="G2340" t="s">
        <v>319</v>
      </c>
      <c r="H2340" s="502">
        <v>51404</v>
      </c>
      <c r="I2340" s="415">
        <v>5465.2</v>
      </c>
      <c r="J2340" s="415">
        <v>0</v>
      </c>
      <c r="K2340" s="415">
        <v>250</v>
      </c>
      <c r="L2340" s="415">
        <v>250</v>
      </c>
      <c r="M2340" s="415">
        <v>450</v>
      </c>
      <c r="N2340" s="415">
        <v>425</v>
      </c>
      <c r="O2340" s="415">
        <v>0</v>
      </c>
      <c r="P2340" s="415">
        <v>0</v>
      </c>
      <c r="Q2340" s="481">
        <f t="shared" si="82"/>
        <v>-5465.2</v>
      </c>
    </row>
    <row r="2341" spans="1:17" outlineLevel="2" x14ac:dyDescent="0.3">
      <c r="A2341" s="366" t="str">
        <f>IFERROR(VLOOKUP(RIGHT(E2341,3)+0,[1]SchLocTable!$A$2:$B$47,2,FALSE)," ")</f>
        <v>High Horizons Magnet</v>
      </c>
      <c r="B2341" s="366" t="str">
        <f>VLOOKUP(VALUE(D2341),$D$3:F$106,3,FALSE)</f>
        <v>Special Education</v>
      </c>
      <c r="C2341" t="s">
        <v>314</v>
      </c>
      <c r="D2341">
        <v>827</v>
      </c>
      <c r="E2341" t="s">
        <v>840</v>
      </c>
      <c r="F2341" t="s">
        <v>316</v>
      </c>
      <c r="G2341">
        <v>1</v>
      </c>
      <c r="H2341" s="502">
        <v>51000</v>
      </c>
      <c r="I2341" s="415">
        <v>233513.83903</v>
      </c>
      <c r="J2341" s="415">
        <v>105070</v>
      </c>
      <c r="K2341" s="415">
        <v>102757.98</v>
      </c>
      <c r="L2341" s="415">
        <v>100497.02</v>
      </c>
      <c r="M2341" s="415">
        <v>99011.9</v>
      </c>
      <c r="N2341" s="415">
        <v>93223</v>
      </c>
      <c r="O2341" s="415">
        <v>89554.51</v>
      </c>
      <c r="P2341" s="415">
        <v>86839.45</v>
      </c>
      <c r="Q2341" s="481">
        <f t="shared" si="82"/>
        <v>-128443.83903</v>
      </c>
    </row>
    <row r="2342" spans="1:17" outlineLevel="2" x14ac:dyDescent="0.3">
      <c r="A2342" s="366" t="str">
        <f>IFERROR(VLOOKUP(RIGHT(E2342,3)+0,[1]SchLocTable!$A$2:$B$47,2,FALSE)," ")</f>
        <v>High Horizons Magnet</v>
      </c>
      <c r="B2342" s="366" t="str">
        <f>VLOOKUP(VALUE(D2342),$D$3:F$106,3,FALSE)</f>
        <v>Special Education</v>
      </c>
      <c r="C2342" t="s">
        <v>314</v>
      </c>
      <c r="D2342">
        <v>827</v>
      </c>
      <c r="E2342" t="s">
        <v>840</v>
      </c>
      <c r="F2342" t="s">
        <v>321</v>
      </c>
      <c r="G2342" t="s">
        <v>319</v>
      </c>
      <c r="H2342" s="502">
        <v>52917</v>
      </c>
      <c r="I2342" s="415">
        <v>62489.195999999996</v>
      </c>
      <c r="J2342" s="415">
        <v>14959.02</v>
      </c>
      <c r="K2342" s="415">
        <v>12283.32</v>
      </c>
      <c r="L2342" s="415">
        <v>12164.67</v>
      </c>
      <c r="M2342" s="415">
        <v>11384.73</v>
      </c>
      <c r="N2342" s="415">
        <v>10712.73</v>
      </c>
      <c r="O2342" s="415">
        <v>10241.67</v>
      </c>
      <c r="P2342" s="415">
        <v>9693.6</v>
      </c>
      <c r="Q2342" s="481">
        <f t="shared" si="82"/>
        <v>-47530.175999999992</v>
      </c>
    </row>
    <row r="2343" spans="1:17" outlineLevel="2" x14ac:dyDescent="0.3">
      <c r="A2343" s="366" t="str">
        <f>IFERROR(VLOOKUP(RIGHT(E2343,3)+0,[1]SchLocTable!$A$2:$B$47,2,FALSE)," ")</f>
        <v>High Horizons Magnet</v>
      </c>
      <c r="B2343" s="366" t="str">
        <f>VLOOKUP(VALUE(D2343),$D$3:F$106,3,FALSE)</f>
        <v>Special Education</v>
      </c>
      <c r="C2343" t="s">
        <v>314</v>
      </c>
      <c r="D2343">
        <v>827</v>
      </c>
      <c r="E2343" t="s">
        <v>840</v>
      </c>
      <c r="F2343" t="s">
        <v>318</v>
      </c>
      <c r="G2343" t="s">
        <v>319</v>
      </c>
      <c r="H2343" s="502">
        <v>51140</v>
      </c>
      <c r="I2343" s="415">
        <v>900</v>
      </c>
      <c r="J2343" s="415">
        <v>0</v>
      </c>
      <c r="K2343" s="415">
        <v>900</v>
      </c>
      <c r="L2343" s="415">
        <v>1800</v>
      </c>
      <c r="M2343" s="415">
        <v>1800</v>
      </c>
      <c r="N2343" s="415">
        <v>900</v>
      </c>
      <c r="O2343" s="415">
        <v>0</v>
      </c>
      <c r="P2343" s="415">
        <v>0</v>
      </c>
      <c r="Q2343" s="481">
        <f t="shared" si="82"/>
        <v>-900</v>
      </c>
    </row>
    <row r="2344" spans="1:17" outlineLevel="2" x14ac:dyDescent="0.3">
      <c r="A2344" s="366" t="str">
        <f>IFERROR(VLOOKUP(RIGHT(E2344,3)+0,[1]SchLocTable!$A$2:$B$47,2,FALSE)," ")</f>
        <v>High Horizons Magnet</v>
      </c>
      <c r="B2344" s="366" t="str">
        <f>VLOOKUP(VALUE(D2344),$D$3:F$106,3,FALSE)</f>
        <v>Special Education</v>
      </c>
      <c r="C2344" t="s">
        <v>314</v>
      </c>
      <c r="D2344">
        <v>827</v>
      </c>
      <c r="E2344" t="s">
        <v>840</v>
      </c>
      <c r="F2344" t="s">
        <v>320</v>
      </c>
      <c r="G2344" t="s">
        <v>319</v>
      </c>
      <c r="H2344" s="502">
        <v>52360</v>
      </c>
      <c r="I2344" s="415">
        <v>3385.9506659350004</v>
      </c>
      <c r="J2344" s="415">
        <v>1465</v>
      </c>
      <c r="K2344" s="415">
        <v>1451.3</v>
      </c>
      <c r="L2344" s="415">
        <v>1433.68</v>
      </c>
      <c r="M2344" s="415">
        <v>1403.47</v>
      </c>
      <c r="N2344" s="415">
        <v>1323.6</v>
      </c>
      <c r="O2344" s="415">
        <v>1260.1600000000001</v>
      </c>
      <c r="P2344" s="415">
        <v>1223.82</v>
      </c>
      <c r="Q2344" s="481">
        <f t="shared" si="82"/>
        <v>-1920.9506659350004</v>
      </c>
    </row>
    <row r="2345" spans="1:17" outlineLevel="2" x14ac:dyDescent="0.3">
      <c r="A2345" s="366" t="str">
        <f>IFERROR(VLOOKUP(RIGHT(E2345,3)+0,[1]SchLocTable!$A$2:$B$47,2,FALSE)," ")</f>
        <v>Multicultural Magnet</v>
      </c>
      <c r="B2345" s="366" t="str">
        <f>VLOOKUP(VALUE(D2345),$D$3:F$106,3,FALSE)</f>
        <v>Special Education</v>
      </c>
      <c r="C2345" t="s">
        <v>314</v>
      </c>
      <c r="D2345">
        <v>827</v>
      </c>
      <c r="E2345" t="s">
        <v>841</v>
      </c>
      <c r="F2345" t="s">
        <v>316</v>
      </c>
      <c r="G2345">
        <v>2</v>
      </c>
      <c r="H2345" s="502">
        <v>51000</v>
      </c>
      <c r="I2345" s="415">
        <v>256662.73411999998</v>
      </c>
      <c r="J2345" s="415">
        <v>162845</v>
      </c>
      <c r="K2345" s="415">
        <v>158795</v>
      </c>
      <c r="L2345" s="415">
        <v>154159.01999999999</v>
      </c>
      <c r="M2345" s="415">
        <v>136861.26999999999</v>
      </c>
      <c r="N2345" s="415">
        <v>124437.66</v>
      </c>
      <c r="O2345" s="415">
        <v>129374.18</v>
      </c>
      <c r="P2345" s="415">
        <v>173883.06</v>
      </c>
      <c r="Q2345" s="481">
        <f t="shared" si="82"/>
        <v>-93817.734119999979</v>
      </c>
    </row>
    <row r="2346" spans="1:17" outlineLevel="2" x14ac:dyDescent="0.3">
      <c r="A2346" s="366" t="str">
        <f>IFERROR(VLOOKUP(RIGHT(E2346,3)+0,[1]SchLocTable!$A$2:$B$47,2,FALSE)," ")</f>
        <v>Multicultural Magnet</v>
      </c>
      <c r="B2346" s="366" t="str">
        <f>VLOOKUP(VALUE(D2346),$D$3:F$106,3,FALSE)</f>
        <v>Special Education</v>
      </c>
      <c r="C2346" t="s">
        <v>314</v>
      </c>
      <c r="D2346">
        <v>827</v>
      </c>
      <c r="E2346" t="s">
        <v>841</v>
      </c>
      <c r="F2346" t="s">
        <v>321</v>
      </c>
      <c r="G2346" t="s">
        <v>319</v>
      </c>
      <c r="H2346" s="502">
        <v>52917</v>
      </c>
      <c r="I2346" s="415">
        <v>31289.327999999998</v>
      </c>
      <c r="J2346" s="415">
        <v>32140</v>
      </c>
      <c r="K2346" s="415">
        <v>23688</v>
      </c>
      <c r="L2346" s="415">
        <v>23313.99</v>
      </c>
      <c r="M2346" s="415">
        <v>21909.3</v>
      </c>
      <c r="N2346" s="415">
        <v>20410.11</v>
      </c>
      <c r="O2346" s="415">
        <v>19635.36</v>
      </c>
      <c r="P2346" s="415">
        <v>10141.74</v>
      </c>
      <c r="Q2346" s="481">
        <f t="shared" si="82"/>
        <v>850.6720000000023</v>
      </c>
    </row>
    <row r="2347" spans="1:17" outlineLevel="2" x14ac:dyDescent="0.3">
      <c r="A2347" s="366" t="str">
        <f>IFERROR(VLOOKUP(RIGHT(E2347,3)+0,[1]SchLocTable!$A$2:$B$47,2,FALSE)," ")</f>
        <v>Multicultural Magnet</v>
      </c>
      <c r="B2347" s="366" t="str">
        <f>VLOOKUP(VALUE(D2347),$D$3:F$106,3,FALSE)</f>
        <v>Special Education</v>
      </c>
      <c r="C2347" t="s">
        <v>314</v>
      </c>
      <c r="D2347">
        <v>827</v>
      </c>
      <c r="E2347" t="s">
        <v>841</v>
      </c>
      <c r="F2347" t="s">
        <v>320</v>
      </c>
      <c r="G2347" t="s">
        <v>319</v>
      </c>
      <c r="H2347" s="502">
        <v>52360</v>
      </c>
      <c r="I2347" s="415">
        <v>3721.60964474</v>
      </c>
      <c r="J2347" s="415">
        <v>2220</v>
      </c>
      <c r="K2347" s="415">
        <v>2184</v>
      </c>
      <c r="L2347" s="415">
        <v>2122.71</v>
      </c>
      <c r="M2347" s="415">
        <v>1880.23</v>
      </c>
      <c r="N2347" s="415">
        <v>1876.02</v>
      </c>
      <c r="O2347" s="415">
        <v>1801.33</v>
      </c>
      <c r="P2347" s="415">
        <v>1115.06</v>
      </c>
      <c r="Q2347" s="481">
        <f t="shared" si="82"/>
        <v>-1501.60964474</v>
      </c>
    </row>
    <row r="2348" spans="1:17" outlineLevel="2" x14ac:dyDescent="0.3">
      <c r="A2348" s="366" t="str">
        <f>IFERROR(VLOOKUP(RIGHT(E2348,3)+0,[1]SchLocTable!$A$2:$B$47,2,FALSE)," ")</f>
        <v>Bassick HS</v>
      </c>
      <c r="B2348" s="366" t="str">
        <f>VLOOKUP(VALUE(D2348),$D$3:F$106,3,FALSE)</f>
        <v>Special Education</v>
      </c>
      <c r="C2348" t="s">
        <v>314</v>
      </c>
      <c r="D2348">
        <v>827</v>
      </c>
      <c r="E2348" t="s">
        <v>842</v>
      </c>
      <c r="F2348" t="s">
        <v>316</v>
      </c>
      <c r="G2348">
        <v>8</v>
      </c>
      <c r="H2348" s="502">
        <v>51000</v>
      </c>
      <c r="I2348" s="415">
        <v>1119409.97887</v>
      </c>
      <c r="J2348" s="415">
        <v>609377.35</v>
      </c>
      <c r="K2348" s="415">
        <v>610033.24</v>
      </c>
      <c r="L2348" s="415">
        <v>759705.03</v>
      </c>
      <c r="M2348" s="415">
        <v>772527.39</v>
      </c>
      <c r="N2348" s="415">
        <v>737236.06</v>
      </c>
      <c r="O2348" s="415">
        <v>776145.67</v>
      </c>
      <c r="P2348" s="415">
        <v>977821.23</v>
      </c>
      <c r="Q2348" s="481">
        <f t="shared" si="82"/>
        <v>-510032.62887000002</v>
      </c>
    </row>
    <row r="2349" spans="1:17" outlineLevel="2" x14ac:dyDescent="0.3">
      <c r="A2349" s="366" t="str">
        <f>IFERROR(VLOOKUP(RIGHT(E2349,3)+0,[1]SchLocTable!$A$2:$B$47,2,FALSE)," ")</f>
        <v>Bassick HS</v>
      </c>
      <c r="B2349" s="366" t="str">
        <f>VLOOKUP(VALUE(D2349),$D$3:F$106,3,FALSE)</f>
        <v>Special Education</v>
      </c>
      <c r="C2349" t="s">
        <v>314</v>
      </c>
      <c r="D2349">
        <v>827</v>
      </c>
      <c r="E2349" t="s">
        <v>842</v>
      </c>
      <c r="F2349" t="s">
        <v>321</v>
      </c>
      <c r="G2349" t="s">
        <v>319</v>
      </c>
      <c r="H2349" s="502">
        <v>52917</v>
      </c>
      <c r="I2349" s="415">
        <v>315968.93999999994</v>
      </c>
      <c r="J2349" s="415">
        <v>160014.75</v>
      </c>
      <c r="K2349" s="415">
        <v>162230.04</v>
      </c>
      <c r="L2349" s="415">
        <v>196523.22</v>
      </c>
      <c r="M2349" s="415">
        <v>203044.42</v>
      </c>
      <c r="N2349" s="415">
        <v>175087.98</v>
      </c>
      <c r="O2349" s="415">
        <v>216110.7</v>
      </c>
      <c r="P2349" s="415">
        <v>224375.34</v>
      </c>
      <c r="Q2349" s="481">
        <f t="shared" si="82"/>
        <v>-155954.18999999994</v>
      </c>
    </row>
    <row r="2350" spans="1:17" outlineLevel="2" x14ac:dyDescent="0.3">
      <c r="A2350" s="366" t="str">
        <f>IFERROR(VLOOKUP(RIGHT(E2350,3)+0,[1]SchLocTable!$A$2:$B$47,2,FALSE)," ")</f>
        <v>Bassick HS</v>
      </c>
      <c r="B2350" s="366" t="str">
        <f>VLOOKUP(VALUE(D2350),$D$3:F$106,3,FALSE)</f>
        <v>Special Education</v>
      </c>
      <c r="C2350" t="s">
        <v>314</v>
      </c>
      <c r="D2350">
        <v>827</v>
      </c>
      <c r="E2350" t="s">
        <v>842</v>
      </c>
      <c r="F2350" t="s">
        <v>318</v>
      </c>
      <c r="G2350" t="s">
        <v>319</v>
      </c>
      <c r="H2350" s="502">
        <v>51140</v>
      </c>
      <c r="I2350" s="415">
        <v>1800</v>
      </c>
      <c r="J2350" s="415">
        <v>0</v>
      </c>
      <c r="K2350" s="415">
        <v>1800</v>
      </c>
      <c r="L2350" s="415">
        <v>6800</v>
      </c>
      <c r="M2350" s="415">
        <v>4300</v>
      </c>
      <c r="N2350" s="415">
        <v>2200</v>
      </c>
      <c r="O2350" s="415">
        <v>2200</v>
      </c>
      <c r="P2350" s="415">
        <v>1300</v>
      </c>
      <c r="Q2350" s="481">
        <f t="shared" si="82"/>
        <v>-1800</v>
      </c>
    </row>
    <row r="2351" spans="1:17" outlineLevel="2" x14ac:dyDescent="0.3">
      <c r="A2351" s="366" t="str">
        <f>IFERROR(VLOOKUP(RIGHT(E2351,3)+0,[1]SchLocTable!$A$2:$B$47,2,FALSE)," ")</f>
        <v>Bassick HS</v>
      </c>
      <c r="B2351" s="366" t="str">
        <f>VLOOKUP(VALUE(D2351),$D$3:F$106,3,FALSE)</f>
        <v>Special Education</v>
      </c>
      <c r="C2351" t="s">
        <v>314</v>
      </c>
      <c r="D2351">
        <v>827</v>
      </c>
      <c r="E2351" t="s">
        <v>842</v>
      </c>
      <c r="F2351" t="s">
        <v>320</v>
      </c>
      <c r="G2351" t="s">
        <v>319</v>
      </c>
      <c r="H2351" s="502">
        <v>52360</v>
      </c>
      <c r="I2351" s="415">
        <v>16231.444693615</v>
      </c>
      <c r="J2351" s="415">
        <v>8735.5</v>
      </c>
      <c r="K2351" s="415">
        <v>8179.04</v>
      </c>
      <c r="L2351" s="415">
        <v>10273.08</v>
      </c>
      <c r="M2351" s="415">
        <v>9094.0499999999993</v>
      </c>
      <c r="N2351" s="415">
        <v>8776.2000000000007</v>
      </c>
      <c r="O2351" s="415">
        <v>9219.9500000000007</v>
      </c>
      <c r="P2351" s="415">
        <v>12025.86</v>
      </c>
      <c r="Q2351" s="481">
        <f t="shared" si="82"/>
        <v>-7495.9446936149998</v>
      </c>
    </row>
    <row r="2352" spans="1:17" outlineLevel="2" x14ac:dyDescent="0.3">
      <c r="A2352" s="366" t="str">
        <f>IFERROR(VLOOKUP(RIGHT(E2352,3)+0,[1]SchLocTable!$A$2:$B$47,2,FALSE)," ")</f>
        <v>Bassick HS</v>
      </c>
      <c r="B2352" s="366" t="str">
        <f>VLOOKUP(VALUE(D2352),$D$3:F$106,3,FALSE)</f>
        <v>Special Education</v>
      </c>
      <c r="C2352" t="s">
        <v>314</v>
      </c>
      <c r="D2352">
        <v>827</v>
      </c>
      <c r="E2352" t="s">
        <v>842</v>
      </c>
      <c r="F2352" t="s">
        <v>324</v>
      </c>
      <c r="G2352" t="s">
        <v>319</v>
      </c>
      <c r="H2352" s="502">
        <v>52385</v>
      </c>
      <c r="I2352" s="415">
        <v>0</v>
      </c>
      <c r="J2352" s="415">
        <v>0</v>
      </c>
      <c r="K2352" s="415">
        <v>1511.25</v>
      </c>
      <c r="L2352" s="415">
        <v>0</v>
      </c>
      <c r="M2352" s="415">
        <v>0</v>
      </c>
      <c r="N2352" s="415">
        <v>3098.76</v>
      </c>
      <c r="O2352" s="415">
        <v>121.97</v>
      </c>
      <c r="P2352" s="415">
        <v>0</v>
      </c>
      <c r="Q2352" s="481">
        <f t="shared" si="82"/>
        <v>0</v>
      </c>
    </row>
    <row r="2353" spans="1:17" outlineLevel="2" x14ac:dyDescent="0.3">
      <c r="A2353" s="366" t="str">
        <f>IFERROR(VLOOKUP(RIGHT(E2353,3)+0,[1]SchLocTable!$A$2:$B$47,2,FALSE)," ")</f>
        <v>Central HS</v>
      </c>
      <c r="B2353" s="366" t="str">
        <f>VLOOKUP(VALUE(D2353),$D$3:F$106,3,FALSE)</f>
        <v>Special Education</v>
      </c>
      <c r="C2353" t="s">
        <v>314</v>
      </c>
      <c r="D2353">
        <v>827</v>
      </c>
      <c r="E2353" t="s">
        <v>843</v>
      </c>
      <c r="F2353" t="s">
        <v>316</v>
      </c>
      <c r="G2353">
        <v>9</v>
      </c>
      <c r="H2353" s="502">
        <v>51000</v>
      </c>
      <c r="I2353" s="415">
        <v>1118772.7500799999</v>
      </c>
      <c r="J2353" s="415">
        <v>649177</v>
      </c>
      <c r="K2353" s="415">
        <v>754972.11</v>
      </c>
      <c r="L2353" s="415">
        <v>699436.48</v>
      </c>
      <c r="M2353" s="415">
        <v>953587.83</v>
      </c>
      <c r="N2353" s="415">
        <v>842777.44</v>
      </c>
      <c r="O2353" s="415">
        <v>773610.92</v>
      </c>
      <c r="P2353" s="415">
        <v>944999.12</v>
      </c>
      <c r="Q2353" s="481">
        <f t="shared" si="82"/>
        <v>-469595.75007999991</v>
      </c>
    </row>
    <row r="2354" spans="1:17" outlineLevel="2" x14ac:dyDescent="0.3">
      <c r="A2354" s="366" t="str">
        <f>IFERROR(VLOOKUP(RIGHT(E2354,3)+0,[1]SchLocTable!$A$2:$B$47,2,FALSE)," ")</f>
        <v>Central HS</v>
      </c>
      <c r="B2354" s="366" t="str">
        <f>VLOOKUP(VALUE(D2354),$D$3:F$106,3,FALSE)</f>
        <v>Special Education</v>
      </c>
      <c r="C2354" t="s">
        <v>314</v>
      </c>
      <c r="D2354">
        <v>827</v>
      </c>
      <c r="E2354" t="s">
        <v>843</v>
      </c>
      <c r="F2354" t="s">
        <v>321</v>
      </c>
      <c r="G2354" t="s">
        <v>319</v>
      </c>
      <c r="H2354" s="502">
        <v>52917</v>
      </c>
      <c r="I2354" s="415">
        <v>364277.69999999995</v>
      </c>
      <c r="J2354" s="415">
        <v>241996</v>
      </c>
      <c r="K2354" s="415">
        <v>197131.96</v>
      </c>
      <c r="L2354" s="415">
        <v>221364.88</v>
      </c>
      <c r="M2354" s="415">
        <v>301614.49</v>
      </c>
      <c r="N2354" s="415">
        <v>265897.61</v>
      </c>
      <c r="O2354" s="415">
        <v>248805.98</v>
      </c>
      <c r="P2354" s="415">
        <v>227881.86</v>
      </c>
      <c r="Q2354" s="481">
        <f t="shared" si="82"/>
        <v>-122281.69999999995</v>
      </c>
    </row>
    <row r="2355" spans="1:17" outlineLevel="2" x14ac:dyDescent="0.3">
      <c r="A2355" s="366" t="str">
        <f>IFERROR(VLOOKUP(RIGHT(E2355,3)+0,[1]SchLocTable!$A$2:$B$47,2,FALSE)," ")</f>
        <v>Central HS</v>
      </c>
      <c r="B2355" s="366" t="str">
        <f>VLOOKUP(VALUE(D2355),$D$3:F$106,3,FALSE)</f>
        <v>Special Education</v>
      </c>
      <c r="C2355" t="s">
        <v>314</v>
      </c>
      <c r="D2355">
        <v>827</v>
      </c>
      <c r="E2355" t="s">
        <v>843</v>
      </c>
      <c r="F2355" t="s">
        <v>318</v>
      </c>
      <c r="G2355" t="s">
        <v>319</v>
      </c>
      <c r="H2355" s="502">
        <v>51140</v>
      </c>
      <c r="I2355" s="415">
        <v>2000</v>
      </c>
      <c r="J2355" s="415">
        <v>0</v>
      </c>
      <c r="K2355" s="415">
        <v>1100</v>
      </c>
      <c r="L2355" s="415">
        <v>6200</v>
      </c>
      <c r="M2355" s="415">
        <v>3000</v>
      </c>
      <c r="N2355" s="415">
        <v>2100</v>
      </c>
      <c r="O2355" s="415">
        <v>2100</v>
      </c>
      <c r="P2355" s="415">
        <v>6700</v>
      </c>
      <c r="Q2355" s="481">
        <f t="shared" si="82"/>
        <v>-2000</v>
      </c>
    </row>
    <row r="2356" spans="1:17" outlineLevel="2" x14ac:dyDescent="0.3">
      <c r="A2356" s="366" t="str">
        <f>IFERROR(VLOOKUP(RIGHT(E2356,3)+0,[1]SchLocTable!$A$2:$B$47,2,FALSE)," ")</f>
        <v>Central HS</v>
      </c>
      <c r="B2356" s="366" t="str">
        <f>VLOOKUP(VALUE(D2356),$D$3:F$106,3,FALSE)</f>
        <v>Special Education</v>
      </c>
      <c r="C2356" t="s">
        <v>314</v>
      </c>
      <c r="D2356">
        <v>827</v>
      </c>
      <c r="E2356" t="s">
        <v>843</v>
      </c>
      <c r="F2356" t="s">
        <v>320</v>
      </c>
      <c r="G2356" t="s">
        <v>319</v>
      </c>
      <c r="H2356" s="502">
        <v>52360</v>
      </c>
      <c r="I2356" s="415">
        <v>16222.204876159998</v>
      </c>
      <c r="J2356" s="415">
        <v>8364</v>
      </c>
      <c r="K2356" s="415">
        <v>10049.48</v>
      </c>
      <c r="L2356" s="415">
        <v>9339.25</v>
      </c>
      <c r="M2356" s="415">
        <v>12546.62</v>
      </c>
      <c r="N2356" s="415">
        <v>11190.39</v>
      </c>
      <c r="O2356" s="415">
        <v>10240.74</v>
      </c>
      <c r="P2356" s="415">
        <v>13240.65</v>
      </c>
      <c r="Q2356" s="481">
        <f t="shared" si="82"/>
        <v>-7858.2048761599981</v>
      </c>
    </row>
    <row r="2357" spans="1:17" outlineLevel="2" x14ac:dyDescent="0.3">
      <c r="A2357" s="366" t="str">
        <f>IFERROR(VLOOKUP(RIGHT(E2357,3)+0,[1]SchLocTable!$A$2:$B$47,2,FALSE)," ")</f>
        <v>Central HS</v>
      </c>
      <c r="B2357" s="366" t="str">
        <f>VLOOKUP(VALUE(D2357),$D$3:F$106,3,FALSE)</f>
        <v>Special Education</v>
      </c>
      <c r="C2357" t="s">
        <v>314</v>
      </c>
      <c r="D2357">
        <v>827</v>
      </c>
      <c r="E2357" t="s">
        <v>843</v>
      </c>
      <c r="F2357" t="s">
        <v>324</v>
      </c>
      <c r="G2357" t="s">
        <v>319</v>
      </c>
      <c r="H2357" s="502">
        <v>52385</v>
      </c>
      <c r="I2357" s="415">
        <v>0</v>
      </c>
      <c r="J2357" s="415">
        <v>0</v>
      </c>
      <c r="K2357" s="415">
        <v>1384.93</v>
      </c>
      <c r="L2357" s="415">
        <v>759.5</v>
      </c>
      <c r="M2357" s="415">
        <v>276.52</v>
      </c>
      <c r="N2357" s="415">
        <v>322.39999999999998</v>
      </c>
      <c r="O2357" s="415">
        <v>0</v>
      </c>
      <c r="P2357" s="415">
        <v>833.29</v>
      </c>
      <c r="Q2357" s="481">
        <f t="shared" si="82"/>
        <v>0</v>
      </c>
    </row>
    <row r="2358" spans="1:17" outlineLevel="2" x14ac:dyDescent="0.3">
      <c r="A2358" s="366" t="str">
        <f>IFERROR(VLOOKUP(RIGHT(E2358,3)+0,[1]SchLocTable!$A$2:$B$47,2,FALSE)," ")</f>
        <v>Central HS</v>
      </c>
      <c r="B2358" s="366" t="str">
        <f>VLOOKUP(VALUE(D2358),$D$3:F$106,3,FALSE)</f>
        <v>Special Education</v>
      </c>
      <c r="C2358" t="s">
        <v>314</v>
      </c>
      <c r="D2358">
        <v>827</v>
      </c>
      <c r="E2358" t="s">
        <v>843</v>
      </c>
      <c r="F2358" t="s">
        <v>533</v>
      </c>
      <c r="G2358" t="s">
        <v>319</v>
      </c>
      <c r="H2358" s="502">
        <v>52397</v>
      </c>
      <c r="I2358" s="415">
        <v>0</v>
      </c>
      <c r="J2358" s="415">
        <v>0</v>
      </c>
      <c r="K2358" s="415">
        <v>0</v>
      </c>
      <c r="L2358" s="415">
        <v>1806</v>
      </c>
      <c r="M2358" s="415">
        <v>0</v>
      </c>
      <c r="N2358" s="415">
        <v>17050</v>
      </c>
      <c r="O2358" s="415">
        <v>0</v>
      </c>
      <c r="P2358" s="415">
        <v>0</v>
      </c>
      <c r="Q2358" s="481">
        <f t="shared" si="82"/>
        <v>0</v>
      </c>
    </row>
    <row r="2359" spans="1:17" outlineLevel="2" x14ac:dyDescent="0.3">
      <c r="A2359" s="366" t="str">
        <f>IFERROR(VLOOKUP(RIGHT(E2359,3)+0,[1]SchLocTable!$A$2:$B$47,2,FALSE)," ")</f>
        <v>Central HS</v>
      </c>
      <c r="B2359" s="366" t="str">
        <f>VLOOKUP(VALUE(D2359),$D$3:F$106,3,FALSE)</f>
        <v>Special Education</v>
      </c>
      <c r="C2359" t="s">
        <v>314</v>
      </c>
      <c r="D2359">
        <v>827</v>
      </c>
      <c r="E2359" t="s">
        <v>843</v>
      </c>
      <c r="F2359" t="s">
        <v>329</v>
      </c>
      <c r="G2359" t="s">
        <v>319</v>
      </c>
      <c r="H2359" s="502">
        <v>51154</v>
      </c>
      <c r="I2359" s="415">
        <v>0</v>
      </c>
      <c r="J2359" s="415">
        <v>0</v>
      </c>
      <c r="K2359" s="415">
        <v>0</v>
      </c>
      <c r="L2359" s="415">
        <v>6175</v>
      </c>
      <c r="M2359" s="415">
        <v>0</v>
      </c>
      <c r="N2359" s="415">
        <v>0</v>
      </c>
      <c r="O2359" s="415">
        <v>0</v>
      </c>
      <c r="P2359" s="415">
        <v>22100</v>
      </c>
      <c r="Q2359" s="481">
        <f t="shared" si="82"/>
        <v>0</v>
      </c>
    </row>
    <row r="2360" spans="1:17" ht="15" customHeight="1" outlineLevel="2" x14ac:dyDescent="0.3">
      <c r="A2360" s="366" t="str">
        <f>IFERROR(VLOOKUP(RIGHT(E2360,3)+0,[1]SchLocTable!$A$2:$B$47,2,FALSE)," ")</f>
        <v>Harding HS</v>
      </c>
      <c r="B2360" s="366" t="str">
        <f>VLOOKUP(VALUE(D2360),$D$3:F$106,3,FALSE)</f>
        <v>Special Education</v>
      </c>
      <c r="C2360" t="s">
        <v>314</v>
      </c>
      <c r="D2360">
        <v>827</v>
      </c>
      <c r="E2360" t="s">
        <v>844</v>
      </c>
      <c r="F2360" t="s">
        <v>316</v>
      </c>
      <c r="G2360">
        <v>12</v>
      </c>
      <c r="H2360" s="502">
        <v>51000</v>
      </c>
      <c r="I2360" s="415">
        <v>782555.2405800001</v>
      </c>
      <c r="J2360" s="415">
        <v>1075559</v>
      </c>
      <c r="K2360" s="415">
        <v>965403.09</v>
      </c>
      <c r="L2360" s="415">
        <v>958038.24</v>
      </c>
      <c r="M2360" s="415">
        <v>1016707.47</v>
      </c>
      <c r="N2360" s="415">
        <v>969868.19</v>
      </c>
      <c r="O2360" s="415">
        <v>937888.91</v>
      </c>
      <c r="P2360" s="415">
        <v>944740.82</v>
      </c>
      <c r="Q2360" s="481">
        <f t="shared" si="82"/>
        <v>293003.7594199999</v>
      </c>
    </row>
    <row r="2361" spans="1:17" outlineLevel="2" x14ac:dyDescent="0.3">
      <c r="A2361" s="366" t="str">
        <f>IFERROR(VLOOKUP(RIGHT(E2361,3)+0,[1]SchLocTable!$A$2:$B$47,2,FALSE)," ")</f>
        <v>Harding HS</v>
      </c>
      <c r="B2361" s="366" t="str">
        <f>VLOOKUP(VALUE(D2361),$D$3:F$106,3,FALSE)</f>
        <v>Special Education</v>
      </c>
      <c r="C2361" t="s">
        <v>314</v>
      </c>
      <c r="D2361">
        <v>827</v>
      </c>
      <c r="E2361" t="s">
        <v>844</v>
      </c>
      <c r="F2361" t="s">
        <v>321</v>
      </c>
      <c r="G2361" t="s">
        <v>319</v>
      </c>
      <c r="H2361" s="502">
        <v>52917</v>
      </c>
      <c r="I2361" s="415">
        <v>331274.66399999999</v>
      </c>
      <c r="J2361" s="415">
        <v>390408.23</v>
      </c>
      <c r="K2361" s="415">
        <v>345197.76</v>
      </c>
      <c r="L2361" s="415">
        <v>321566.21000000002</v>
      </c>
      <c r="M2361" s="415">
        <v>352219.71</v>
      </c>
      <c r="N2361" s="415">
        <v>340761.96</v>
      </c>
      <c r="O2361" s="415">
        <v>324884.99</v>
      </c>
      <c r="P2361" s="415">
        <v>240402.27</v>
      </c>
      <c r="Q2361" s="481">
        <f t="shared" si="82"/>
        <v>59133.565999999992</v>
      </c>
    </row>
    <row r="2362" spans="1:17" outlineLevel="2" x14ac:dyDescent="0.3">
      <c r="A2362" s="366" t="str">
        <f>IFERROR(VLOOKUP(RIGHT(E2362,3)+0,[1]SchLocTable!$A$2:$B$47,2,FALSE)," ")</f>
        <v>Harding HS</v>
      </c>
      <c r="B2362" s="366" t="str">
        <f>VLOOKUP(VALUE(D2362),$D$3:F$106,3,FALSE)</f>
        <v>Special Education</v>
      </c>
      <c r="C2362" t="s">
        <v>314</v>
      </c>
      <c r="D2362">
        <v>827</v>
      </c>
      <c r="E2362" t="s">
        <v>844</v>
      </c>
      <c r="F2362" t="s">
        <v>318</v>
      </c>
      <c r="G2362" t="s">
        <v>319</v>
      </c>
      <c r="H2362" s="502">
        <v>51140</v>
      </c>
      <c r="I2362" s="415">
        <v>5000</v>
      </c>
      <c r="J2362" s="415">
        <v>0</v>
      </c>
      <c r="K2362" s="415">
        <v>4900</v>
      </c>
      <c r="L2362" s="415">
        <v>4000</v>
      </c>
      <c r="M2362" s="415">
        <v>3800</v>
      </c>
      <c r="N2362" s="415">
        <v>2900</v>
      </c>
      <c r="O2362" s="415">
        <v>2900</v>
      </c>
      <c r="P2362" s="415">
        <v>4500</v>
      </c>
      <c r="Q2362" s="481">
        <f t="shared" si="82"/>
        <v>-5000</v>
      </c>
    </row>
    <row r="2363" spans="1:17" outlineLevel="2" x14ac:dyDescent="0.3">
      <c r="A2363" s="366" t="str">
        <f>IFERROR(VLOOKUP(RIGHT(E2363,3)+0,[1]SchLocTable!$A$2:$B$47,2,FALSE)," ")</f>
        <v>Harding HS</v>
      </c>
      <c r="B2363" s="366" t="str">
        <f>VLOOKUP(VALUE(D2363),$D$3:F$106,3,FALSE)</f>
        <v>Special Education</v>
      </c>
      <c r="C2363" t="s">
        <v>314</v>
      </c>
      <c r="D2363">
        <v>827</v>
      </c>
      <c r="E2363" t="s">
        <v>844</v>
      </c>
      <c r="F2363" t="s">
        <v>320</v>
      </c>
      <c r="G2363" t="s">
        <v>319</v>
      </c>
      <c r="H2363" s="502">
        <v>52360</v>
      </c>
      <c r="I2363" s="415">
        <v>11347.050988409999</v>
      </c>
      <c r="J2363" s="415">
        <v>13566</v>
      </c>
      <c r="K2363" s="415">
        <v>12720.18</v>
      </c>
      <c r="L2363" s="415">
        <v>12572.95</v>
      </c>
      <c r="M2363" s="415">
        <v>13289.02</v>
      </c>
      <c r="N2363" s="415">
        <v>12771.94</v>
      </c>
      <c r="O2363" s="415">
        <v>12405.56</v>
      </c>
      <c r="P2363" s="415">
        <v>12950.34</v>
      </c>
      <c r="Q2363" s="481">
        <f t="shared" si="82"/>
        <v>2218.9490115900007</v>
      </c>
    </row>
    <row r="2364" spans="1:17" outlineLevel="2" x14ac:dyDescent="0.3">
      <c r="A2364" s="366" t="str">
        <f>IFERROR(VLOOKUP(RIGHT(E2364,3)+0,[1]SchLocTable!$A$2:$B$47,2,FALSE)," ")</f>
        <v>Juvenile Detention Center</v>
      </c>
      <c r="B2364" s="366" t="str">
        <f>VLOOKUP(VALUE(D2364),$D$3:F$106,3,FALSE)</f>
        <v>Special Education</v>
      </c>
      <c r="C2364" t="s">
        <v>314</v>
      </c>
      <c r="D2364">
        <v>827</v>
      </c>
      <c r="E2364" t="s">
        <v>1304</v>
      </c>
      <c r="F2364" t="s">
        <v>316</v>
      </c>
      <c r="G2364">
        <v>1</v>
      </c>
      <c r="H2364" s="502">
        <v>51000</v>
      </c>
      <c r="I2364" s="415">
        <v>73593.016900000002</v>
      </c>
      <c r="J2364" s="415">
        <v>0</v>
      </c>
      <c r="K2364" s="415">
        <v>0</v>
      </c>
      <c r="L2364" s="415">
        <v>0</v>
      </c>
      <c r="M2364" s="415">
        <v>0</v>
      </c>
      <c r="N2364" s="415">
        <v>0</v>
      </c>
      <c r="O2364" s="415">
        <v>0</v>
      </c>
      <c r="P2364" s="415">
        <v>0</v>
      </c>
      <c r="Q2364" s="481">
        <f t="shared" si="82"/>
        <v>-73593.016900000002</v>
      </c>
    </row>
    <row r="2365" spans="1:17" outlineLevel="2" x14ac:dyDescent="0.3">
      <c r="A2365" s="366" t="str">
        <f>IFERROR(VLOOKUP(RIGHT(E2365,3)+0,[1]SchLocTable!$A$2:$B$47,2,FALSE)," ")</f>
        <v>Juvenile Detention Center</v>
      </c>
      <c r="B2365" s="366" t="str">
        <f>VLOOKUP(VALUE(D2365),$D$3:F$106,3,FALSE)</f>
        <v>Special Education</v>
      </c>
      <c r="C2365" t="s">
        <v>314</v>
      </c>
      <c r="D2365">
        <v>827</v>
      </c>
      <c r="E2365" t="s">
        <v>1304</v>
      </c>
      <c r="F2365" t="s">
        <v>321</v>
      </c>
      <c r="G2365" t="s">
        <v>319</v>
      </c>
      <c r="H2365" s="502">
        <v>52917</v>
      </c>
      <c r="I2365" s="415">
        <v>46330.955999999998</v>
      </c>
      <c r="J2365" s="415">
        <v>0</v>
      </c>
      <c r="K2365" s="415">
        <v>0</v>
      </c>
      <c r="L2365" s="415">
        <v>0</v>
      </c>
      <c r="M2365" s="415">
        <v>0</v>
      </c>
      <c r="N2365" s="415">
        <v>0</v>
      </c>
      <c r="O2365" s="415">
        <v>0</v>
      </c>
      <c r="P2365" s="415">
        <v>0</v>
      </c>
      <c r="Q2365" s="481">
        <f t="shared" si="82"/>
        <v>-46330.955999999998</v>
      </c>
    </row>
    <row r="2366" spans="1:17" outlineLevel="2" x14ac:dyDescent="0.3">
      <c r="A2366" s="366" t="str">
        <f>IFERROR(VLOOKUP(RIGHT(E2366,3)+0,[1]SchLocTable!$A$2:$B$47,2,FALSE)," ")</f>
        <v>Juvenile Detention Center</v>
      </c>
      <c r="B2366" s="366" t="str">
        <f>VLOOKUP(VALUE(D2366),$D$3:F$106,3,FALSE)</f>
        <v>Special Education</v>
      </c>
      <c r="C2366" t="s">
        <v>314</v>
      </c>
      <c r="D2366">
        <v>827</v>
      </c>
      <c r="E2366" t="s">
        <v>1304</v>
      </c>
      <c r="F2366" t="s">
        <v>320</v>
      </c>
      <c r="G2366" t="s">
        <v>319</v>
      </c>
      <c r="H2366" s="502">
        <v>52360</v>
      </c>
      <c r="I2366" s="415">
        <v>1067.0987450500002</v>
      </c>
      <c r="J2366" s="415">
        <v>0</v>
      </c>
      <c r="K2366" s="415">
        <v>0</v>
      </c>
      <c r="L2366" s="415">
        <v>0</v>
      </c>
      <c r="M2366" s="415">
        <v>0</v>
      </c>
      <c r="N2366" s="415">
        <v>0</v>
      </c>
      <c r="O2366" s="415">
        <v>0</v>
      </c>
      <c r="P2366" s="415">
        <v>0</v>
      </c>
      <c r="Q2366" s="481">
        <f t="shared" si="82"/>
        <v>-1067.0987450500002</v>
      </c>
    </row>
    <row r="2367" spans="1:17" outlineLevel="2" x14ac:dyDescent="0.3">
      <c r="A2367" s="366" t="str">
        <f>IFERROR(VLOOKUP(RIGHT(E2367,3)+0,[1]SchLocTable!$A$2:$B$47,2,FALSE)," ")</f>
        <v xml:space="preserve"> </v>
      </c>
      <c r="B2367" s="366" t="str">
        <f>VLOOKUP(VALUE(D2367),$D$3:F$106,3,FALSE)</f>
        <v>SPED Administrators</v>
      </c>
      <c r="C2367" t="s">
        <v>314</v>
      </c>
      <c r="D2367">
        <v>828</v>
      </c>
      <c r="E2367" t="s">
        <v>845</v>
      </c>
      <c r="F2367" t="s">
        <v>316</v>
      </c>
      <c r="G2367">
        <v>3</v>
      </c>
      <c r="H2367" s="502">
        <v>51000</v>
      </c>
      <c r="I2367" s="415">
        <v>879657.49690000003</v>
      </c>
      <c r="J2367" s="415">
        <v>330680</v>
      </c>
      <c r="K2367" s="415">
        <v>346440.05</v>
      </c>
      <c r="L2367" s="415">
        <v>316264.73</v>
      </c>
      <c r="M2367" s="415">
        <v>565955.68000000005</v>
      </c>
      <c r="N2367" s="415">
        <v>408433.18</v>
      </c>
      <c r="O2367" s="415">
        <v>377145.53</v>
      </c>
      <c r="P2367" s="415">
        <v>355239.93</v>
      </c>
      <c r="Q2367" s="481">
        <f t="shared" ref="Q2367:Q2430" si="83">J2367-I2367</f>
        <v>-548977.49690000003</v>
      </c>
    </row>
    <row r="2368" spans="1:17" outlineLevel="2" x14ac:dyDescent="0.3">
      <c r="A2368" s="366" t="str">
        <f>IFERROR(VLOOKUP(RIGHT(E2368,3)+0,[1]SchLocTable!$A$2:$B$47,2,FALSE)," ")</f>
        <v xml:space="preserve"> </v>
      </c>
      <c r="B2368" s="366" t="str">
        <f>VLOOKUP(VALUE(D2368),$D$3:F$106,3,FALSE)</f>
        <v>SPED Administrators</v>
      </c>
      <c r="C2368" t="s">
        <v>314</v>
      </c>
      <c r="D2368">
        <v>828</v>
      </c>
      <c r="E2368" t="s">
        <v>845</v>
      </c>
      <c r="F2368" t="s">
        <v>334</v>
      </c>
      <c r="G2368" t="s">
        <v>319</v>
      </c>
      <c r="H2368" s="502">
        <v>51400</v>
      </c>
      <c r="I2368" s="415">
        <v>0</v>
      </c>
      <c r="J2368" s="415">
        <v>0</v>
      </c>
      <c r="K2368" s="415">
        <v>0</v>
      </c>
      <c r="L2368" s="415">
        <v>0</v>
      </c>
      <c r="M2368" s="415">
        <v>7177.26</v>
      </c>
      <c r="N2368" s="415">
        <v>10000</v>
      </c>
      <c r="O2368" s="415">
        <v>2500</v>
      </c>
      <c r="P2368" s="415">
        <v>0</v>
      </c>
      <c r="Q2368" s="481">
        <f t="shared" si="83"/>
        <v>0</v>
      </c>
    </row>
    <row r="2369" spans="1:17" outlineLevel="2" x14ac:dyDescent="0.3">
      <c r="A2369" s="366" t="str">
        <f>IFERROR(VLOOKUP(RIGHT(E2369,3)+0,[1]SchLocTable!$A$2:$B$47,2,FALSE)," ")</f>
        <v xml:space="preserve"> </v>
      </c>
      <c r="B2369" s="366" t="str">
        <f>VLOOKUP(VALUE(D2369),$D$3:F$106,3,FALSE)</f>
        <v>SPED Administrators</v>
      </c>
      <c r="C2369" t="s">
        <v>314</v>
      </c>
      <c r="D2369">
        <v>828</v>
      </c>
      <c r="E2369" t="s">
        <v>845</v>
      </c>
      <c r="F2369" t="s">
        <v>321</v>
      </c>
      <c r="G2369" t="s">
        <v>319</v>
      </c>
      <c r="H2369" s="502">
        <v>52917</v>
      </c>
      <c r="I2369" s="415">
        <v>31238.063999999998</v>
      </c>
      <c r="J2369" s="415">
        <v>46519</v>
      </c>
      <c r="K2369" s="415">
        <v>42924.11</v>
      </c>
      <c r="L2369" s="415">
        <v>36045.839999999997</v>
      </c>
      <c r="M2369" s="415">
        <v>68000.259999999995</v>
      </c>
      <c r="N2369" s="415">
        <v>37709.96</v>
      </c>
      <c r="O2369" s="415">
        <v>34607.620000000003</v>
      </c>
      <c r="P2369" s="415">
        <v>14306.24</v>
      </c>
      <c r="Q2369" s="481">
        <f t="shared" si="83"/>
        <v>15280.936000000002</v>
      </c>
    </row>
    <row r="2370" spans="1:17" outlineLevel="2" x14ac:dyDescent="0.3">
      <c r="A2370" s="366" t="str">
        <f>IFERROR(VLOOKUP(RIGHT(E2370,3)+0,[1]SchLocTable!$A$2:$B$47,2,FALSE)," ")</f>
        <v xml:space="preserve"> </v>
      </c>
      <c r="B2370" s="366" t="str">
        <f>VLOOKUP(VALUE(D2370),$D$3:F$106,3,FALSE)</f>
        <v>SPED Administrators</v>
      </c>
      <c r="C2370" t="s">
        <v>314</v>
      </c>
      <c r="D2370">
        <v>828</v>
      </c>
      <c r="E2370" t="s">
        <v>845</v>
      </c>
      <c r="F2370" t="s">
        <v>318</v>
      </c>
      <c r="G2370" t="s">
        <v>319</v>
      </c>
      <c r="H2370" s="502">
        <v>51140</v>
      </c>
      <c r="I2370" s="415">
        <v>1300</v>
      </c>
      <c r="J2370" s="415">
        <v>0</v>
      </c>
      <c r="K2370" s="415">
        <v>1300</v>
      </c>
      <c r="L2370" s="415">
        <v>2400</v>
      </c>
      <c r="M2370" s="415">
        <v>2200</v>
      </c>
      <c r="N2370" s="415">
        <v>2200</v>
      </c>
      <c r="O2370" s="415">
        <v>2200</v>
      </c>
      <c r="P2370" s="415">
        <v>1100</v>
      </c>
      <c r="Q2370" s="481">
        <f t="shared" si="83"/>
        <v>-1300</v>
      </c>
    </row>
    <row r="2371" spans="1:17" outlineLevel="2" x14ac:dyDescent="0.3">
      <c r="A2371" s="366" t="str">
        <f>IFERROR(VLOOKUP(RIGHT(E2371,3)+0,[1]SchLocTable!$A$2:$B$47,2,FALSE)," ")</f>
        <v xml:space="preserve"> </v>
      </c>
      <c r="B2371" s="366" t="str">
        <f>VLOOKUP(VALUE(D2371),$D$3:F$106,3,FALSE)</f>
        <v>SPED Administrators</v>
      </c>
      <c r="C2371" t="s">
        <v>314</v>
      </c>
      <c r="D2371">
        <v>828</v>
      </c>
      <c r="E2371" t="s">
        <v>845</v>
      </c>
      <c r="F2371" t="s">
        <v>320</v>
      </c>
      <c r="G2371" t="s">
        <v>319</v>
      </c>
      <c r="H2371" s="502">
        <v>52360</v>
      </c>
      <c r="I2371" s="415">
        <v>13099.74805464</v>
      </c>
      <c r="J2371" s="415">
        <v>4545</v>
      </c>
      <c r="K2371" s="415">
        <v>4839.07</v>
      </c>
      <c r="L2371" s="415">
        <v>4510.91</v>
      </c>
      <c r="M2371" s="415">
        <v>8185.71</v>
      </c>
      <c r="N2371" s="415">
        <v>3820.88</v>
      </c>
      <c r="O2371" s="415">
        <v>5403.56</v>
      </c>
      <c r="P2371" s="415">
        <v>5039.1499999999996</v>
      </c>
      <c r="Q2371" s="481">
        <f t="shared" si="83"/>
        <v>-8554.7480546400002</v>
      </c>
    </row>
    <row r="2372" spans="1:17" outlineLevel="2" x14ac:dyDescent="0.3">
      <c r="A2372" s="366" t="str">
        <f>IFERROR(VLOOKUP(RIGHT(E2372,3)+0,[1]SchLocTable!$A$2:$B$47,2,FALSE)," ")</f>
        <v xml:space="preserve"> </v>
      </c>
      <c r="B2372" s="366" t="str">
        <f>VLOOKUP(VALUE(D2372),$D$3:F$106,3,FALSE)</f>
        <v>SPED Administrators</v>
      </c>
      <c r="C2372" t="s">
        <v>314</v>
      </c>
      <c r="D2372">
        <v>828</v>
      </c>
      <c r="E2372" t="s">
        <v>845</v>
      </c>
      <c r="F2372" t="s">
        <v>560</v>
      </c>
      <c r="G2372" t="s">
        <v>319</v>
      </c>
      <c r="H2372" s="502">
        <v>51404</v>
      </c>
      <c r="I2372" s="415">
        <v>1342.25</v>
      </c>
      <c r="J2372" s="415">
        <v>780</v>
      </c>
      <c r="K2372" s="415">
        <v>1300</v>
      </c>
      <c r="L2372" s="415">
        <v>1250</v>
      </c>
      <c r="M2372" s="415">
        <v>1830</v>
      </c>
      <c r="N2372" s="415">
        <v>1900</v>
      </c>
      <c r="O2372" s="415">
        <v>1380</v>
      </c>
      <c r="P2372" s="415">
        <v>1400</v>
      </c>
      <c r="Q2372" s="481">
        <f t="shared" si="83"/>
        <v>-562.25</v>
      </c>
    </row>
    <row r="2373" spans="1:17" outlineLevel="2" x14ac:dyDescent="0.3">
      <c r="A2373" s="366" t="str">
        <f>IFERROR(VLOOKUP(RIGHT(E2373,3)+0,[1]SchLocTable!$A$2:$B$47,2,FALSE)," ")</f>
        <v>Bridgeport Learning Center</v>
      </c>
      <c r="B2373" s="366" t="str">
        <f>VLOOKUP(VALUE(D2373),$D$3:F$106,3,FALSE)</f>
        <v>SPED Administrators</v>
      </c>
      <c r="C2373" t="s">
        <v>314</v>
      </c>
      <c r="D2373">
        <v>828</v>
      </c>
      <c r="E2373" t="s">
        <v>846</v>
      </c>
      <c r="F2373" t="s">
        <v>316</v>
      </c>
      <c r="G2373">
        <v>1</v>
      </c>
      <c r="H2373" s="502">
        <v>51000</v>
      </c>
      <c r="I2373" s="415">
        <v>167683.26574999999</v>
      </c>
      <c r="J2373" s="415">
        <v>160276.64000000001</v>
      </c>
      <c r="K2373" s="415">
        <v>141013.06</v>
      </c>
      <c r="L2373" s="415">
        <v>155744.95000000001</v>
      </c>
      <c r="M2373" s="415">
        <v>153845.92000000001</v>
      </c>
      <c r="N2373" s="415">
        <v>149688.23000000001</v>
      </c>
      <c r="O2373" s="415">
        <v>139229.32</v>
      </c>
      <c r="P2373" s="415">
        <v>137465.31</v>
      </c>
      <c r="Q2373" s="481">
        <f t="shared" si="83"/>
        <v>-7406.6257499999774</v>
      </c>
    </row>
    <row r="2374" spans="1:17" outlineLevel="2" x14ac:dyDescent="0.3">
      <c r="A2374" s="366" t="str">
        <f>IFERROR(VLOOKUP(RIGHT(E2374,3)+0,[1]SchLocTable!$A$2:$B$47,2,FALSE)," ")</f>
        <v>Bridgeport Learning Center</v>
      </c>
      <c r="B2374" s="366" t="str">
        <f>VLOOKUP(VALUE(D2374),$D$3:F$106,3,FALSE)</f>
        <v>SPED Administrators</v>
      </c>
      <c r="C2374" t="s">
        <v>314</v>
      </c>
      <c r="D2374">
        <v>828</v>
      </c>
      <c r="E2374" t="s">
        <v>846</v>
      </c>
      <c r="F2374" t="s">
        <v>321</v>
      </c>
      <c r="G2374" t="s">
        <v>319</v>
      </c>
      <c r="H2374" s="502">
        <v>52917</v>
      </c>
      <c r="I2374" s="415">
        <v>14579.447999999999</v>
      </c>
      <c r="J2374" s="415">
        <v>1092</v>
      </c>
      <c r="K2374" s="415">
        <v>4883.3999999999996</v>
      </c>
      <c r="L2374" s="415">
        <v>10071.6</v>
      </c>
      <c r="M2374" s="415">
        <v>9935.56</v>
      </c>
      <c r="N2374" s="415">
        <v>9307.3700000000008</v>
      </c>
      <c r="O2374" s="415">
        <v>8911.4599999999991</v>
      </c>
      <c r="P2374" s="415">
        <v>8479.61</v>
      </c>
      <c r="Q2374" s="481">
        <f t="shared" si="83"/>
        <v>-13487.447999999999</v>
      </c>
    </row>
    <row r="2375" spans="1:17" outlineLevel="2" x14ac:dyDescent="0.3">
      <c r="A2375" s="366" t="str">
        <f>IFERROR(VLOOKUP(RIGHT(E2375,3)+0,[1]SchLocTable!$A$2:$B$47,2,FALSE)," ")</f>
        <v>Bridgeport Learning Center</v>
      </c>
      <c r="B2375" s="366" t="str">
        <f>VLOOKUP(VALUE(D2375),$D$3:F$106,3,FALSE)</f>
        <v>SPED Administrators</v>
      </c>
      <c r="C2375" t="s">
        <v>314</v>
      </c>
      <c r="D2375">
        <v>828</v>
      </c>
      <c r="E2375" t="s">
        <v>846</v>
      </c>
      <c r="F2375" t="s">
        <v>318</v>
      </c>
      <c r="G2375" t="s">
        <v>319</v>
      </c>
      <c r="H2375" s="502">
        <v>51140</v>
      </c>
      <c r="I2375" s="415">
        <v>0</v>
      </c>
      <c r="J2375" s="415">
        <v>0</v>
      </c>
      <c r="K2375" s="415">
        <v>0</v>
      </c>
      <c r="L2375" s="415">
        <v>1400</v>
      </c>
      <c r="M2375" s="415">
        <v>1400</v>
      </c>
      <c r="N2375" s="415">
        <v>1400</v>
      </c>
      <c r="O2375" s="415">
        <v>1300</v>
      </c>
      <c r="P2375" s="415">
        <v>1300</v>
      </c>
      <c r="Q2375" s="481">
        <f t="shared" si="83"/>
        <v>0</v>
      </c>
    </row>
    <row r="2376" spans="1:17" outlineLevel="2" x14ac:dyDescent="0.3">
      <c r="A2376" s="366" t="str">
        <f>IFERROR(VLOOKUP(RIGHT(E2376,3)+0,[1]SchLocTable!$A$2:$B$47,2,FALSE)," ")</f>
        <v>Bridgeport Learning Center</v>
      </c>
      <c r="B2376" s="366" t="str">
        <f>VLOOKUP(VALUE(D2376),$D$3:F$106,3,FALSE)</f>
        <v>SPED Administrators</v>
      </c>
      <c r="C2376" t="s">
        <v>314</v>
      </c>
      <c r="D2376">
        <v>828</v>
      </c>
      <c r="E2376" t="s">
        <v>846</v>
      </c>
      <c r="F2376" t="s">
        <v>320</v>
      </c>
      <c r="G2376" t="s">
        <v>319</v>
      </c>
      <c r="H2376" s="502">
        <v>52360</v>
      </c>
      <c r="I2376" s="415">
        <v>2431.4073533750002</v>
      </c>
      <c r="J2376" s="415">
        <v>2308.7199999999998</v>
      </c>
      <c r="K2376" s="415">
        <v>2095.13</v>
      </c>
      <c r="L2376" s="415">
        <v>2235.2800000000002</v>
      </c>
      <c r="M2376" s="415">
        <v>2207.4899999999998</v>
      </c>
      <c r="N2376" s="415">
        <v>2146.85</v>
      </c>
      <c r="O2376" s="415">
        <v>1996.42</v>
      </c>
      <c r="P2376" s="415">
        <v>1974.56</v>
      </c>
      <c r="Q2376" s="481">
        <f t="shared" si="83"/>
        <v>-122.68735337500038</v>
      </c>
    </row>
    <row r="2377" spans="1:17" outlineLevel="2" x14ac:dyDescent="0.3">
      <c r="A2377" s="366" t="str">
        <f>IFERROR(VLOOKUP(RIGHT(E2377,3)+0,[1]SchLocTable!$A$2:$B$47,2,FALSE)," ")</f>
        <v>Skane</v>
      </c>
      <c r="B2377" s="366" t="str">
        <f>VLOOKUP(VALUE(D2377),$D$3:F$106,3,FALSE)</f>
        <v>SPED Administrators</v>
      </c>
      <c r="C2377" t="s">
        <v>314</v>
      </c>
      <c r="D2377">
        <v>828</v>
      </c>
      <c r="E2377" t="s">
        <v>847</v>
      </c>
      <c r="F2377" t="s">
        <v>316</v>
      </c>
      <c r="G2377">
        <v>1</v>
      </c>
      <c r="H2377" s="502">
        <v>51000</v>
      </c>
      <c r="I2377" s="415">
        <v>169148.46584999998</v>
      </c>
      <c r="J2377" s="415">
        <v>162405</v>
      </c>
      <c r="K2377" s="415">
        <v>110229.3</v>
      </c>
      <c r="L2377" s="415">
        <v>140735.51999999999</v>
      </c>
      <c r="M2377" s="415">
        <v>152431.51999999999</v>
      </c>
      <c r="N2377" s="415">
        <v>140823.41</v>
      </c>
      <c r="O2377" s="415">
        <v>128488.91</v>
      </c>
      <c r="P2377" s="415">
        <v>176172.26</v>
      </c>
      <c r="Q2377" s="481">
        <f t="shared" si="83"/>
        <v>-6743.4658499999787</v>
      </c>
    </row>
    <row r="2378" spans="1:17" outlineLevel="2" x14ac:dyDescent="0.3">
      <c r="A2378" s="366" t="str">
        <f>IFERROR(VLOOKUP(RIGHT(E2378,3)+0,[1]SchLocTable!$A$2:$B$47,2,FALSE)," ")</f>
        <v>Skane</v>
      </c>
      <c r="B2378" s="366" t="str">
        <f>VLOOKUP(VALUE(D2378),$D$3:F$106,3,FALSE)</f>
        <v>SPED Administrators</v>
      </c>
      <c r="C2378" t="s">
        <v>314</v>
      </c>
      <c r="D2378">
        <v>828</v>
      </c>
      <c r="E2378" t="s">
        <v>847</v>
      </c>
      <c r="F2378" t="s">
        <v>321</v>
      </c>
      <c r="G2378" t="s">
        <v>319</v>
      </c>
      <c r="H2378" s="502">
        <v>52917</v>
      </c>
      <c r="I2378" s="415">
        <v>14096.160000000002</v>
      </c>
      <c r="J2378" s="415">
        <v>10477</v>
      </c>
      <c r="K2378" s="415">
        <v>7429.86</v>
      </c>
      <c r="L2378" s="415">
        <v>9976.5</v>
      </c>
      <c r="M2378" s="415">
        <v>10213.83</v>
      </c>
      <c r="N2378" s="415">
        <v>7302.95</v>
      </c>
      <c r="O2378" s="415">
        <v>346.91</v>
      </c>
      <c r="P2378" s="415">
        <v>28662.59</v>
      </c>
      <c r="Q2378" s="481">
        <f t="shared" si="83"/>
        <v>-3619.1600000000017</v>
      </c>
    </row>
    <row r="2379" spans="1:17" outlineLevel="2" x14ac:dyDescent="0.3">
      <c r="A2379" s="366" t="str">
        <f>IFERROR(VLOOKUP(RIGHT(E2379,3)+0,[1]SchLocTable!$A$2:$B$47,2,FALSE)," ")</f>
        <v>Skane</v>
      </c>
      <c r="B2379" s="366" t="str">
        <f>VLOOKUP(VALUE(D2379),$D$3:F$106,3,FALSE)</f>
        <v>SPED Administrators</v>
      </c>
      <c r="C2379" t="s">
        <v>314</v>
      </c>
      <c r="D2379">
        <v>828</v>
      </c>
      <c r="E2379" t="s">
        <v>847</v>
      </c>
      <c r="F2379" t="s">
        <v>318</v>
      </c>
      <c r="G2379" t="s">
        <v>319</v>
      </c>
      <c r="H2379" s="502">
        <v>51140</v>
      </c>
      <c r="I2379" s="415">
        <v>1400</v>
      </c>
      <c r="J2379" s="415">
        <v>0</v>
      </c>
      <c r="K2379" s="415">
        <v>1400</v>
      </c>
      <c r="L2379" s="415">
        <v>0</v>
      </c>
      <c r="M2379" s="415">
        <v>0</v>
      </c>
      <c r="N2379" s="415">
        <v>0</v>
      </c>
      <c r="O2379" s="415">
        <v>0</v>
      </c>
      <c r="P2379" s="415">
        <v>1500</v>
      </c>
      <c r="Q2379" s="481">
        <f t="shared" si="83"/>
        <v>-1400</v>
      </c>
    </row>
    <row r="2380" spans="1:17" outlineLevel="2" x14ac:dyDescent="0.3">
      <c r="A2380" s="366" t="str">
        <f>IFERROR(VLOOKUP(RIGHT(E2380,3)+0,[1]SchLocTable!$A$2:$B$47,2,FALSE)," ")</f>
        <v>Skane</v>
      </c>
      <c r="B2380" s="366" t="str">
        <f>VLOOKUP(VALUE(D2380),$D$3:F$106,3,FALSE)</f>
        <v>SPED Administrators</v>
      </c>
      <c r="C2380" t="s">
        <v>314</v>
      </c>
      <c r="D2380">
        <v>828</v>
      </c>
      <c r="E2380" t="s">
        <v>847</v>
      </c>
      <c r="F2380" t="s">
        <v>320</v>
      </c>
      <c r="G2380" t="s">
        <v>319</v>
      </c>
      <c r="H2380" s="502">
        <v>52360</v>
      </c>
      <c r="I2380" s="415">
        <v>2452.6527548250001</v>
      </c>
      <c r="J2380" s="415">
        <v>2309</v>
      </c>
      <c r="K2380" s="415">
        <v>1586.39</v>
      </c>
      <c r="L2380" s="415">
        <v>1993.93</v>
      </c>
      <c r="M2380" s="415">
        <v>2163.61</v>
      </c>
      <c r="N2380" s="415">
        <v>2010</v>
      </c>
      <c r="O2380" s="415">
        <v>1867.41</v>
      </c>
      <c r="P2380" s="415">
        <v>116.86</v>
      </c>
      <c r="Q2380" s="481">
        <f t="shared" si="83"/>
        <v>-143.6527548250001</v>
      </c>
    </row>
    <row r="2381" spans="1:17" outlineLevel="2" x14ac:dyDescent="0.3">
      <c r="A2381" s="366" t="str">
        <f>IFERROR(VLOOKUP(RIGHT(E2381,3)+0,[1]SchLocTable!$A$2:$B$47,2,FALSE)," ")</f>
        <v>Skane</v>
      </c>
      <c r="B2381" s="366" t="str">
        <f>VLOOKUP(VALUE(D2381),$D$3:F$106,3,FALSE)</f>
        <v>SPED Administrators</v>
      </c>
      <c r="C2381" t="s">
        <v>314</v>
      </c>
      <c r="D2381">
        <v>828</v>
      </c>
      <c r="E2381" t="s">
        <v>847</v>
      </c>
      <c r="F2381" t="s">
        <v>560</v>
      </c>
      <c r="G2381" t="s">
        <v>319</v>
      </c>
      <c r="H2381" s="502">
        <v>51404</v>
      </c>
      <c r="I2381" s="415">
        <v>0</v>
      </c>
      <c r="J2381" s="415">
        <v>0</v>
      </c>
      <c r="K2381" s="415">
        <v>0</v>
      </c>
      <c r="L2381" s="415">
        <v>550</v>
      </c>
      <c r="M2381" s="415">
        <v>550</v>
      </c>
      <c r="N2381" s="415">
        <v>0</v>
      </c>
      <c r="O2381" s="415">
        <v>0</v>
      </c>
      <c r="P2381" s="415">
        <v>0</v>
      </c>
      <c r="Q2381" s="481">
        <f t="shared" si="83"/>
        <v>0</v>
      </c>
    </row>
    <row r="2382" spans="1:17" outlineLevel="2" x14ac:dyDescent="0.3">
      <c r="A2382" s="366" t="str">
        <f>IFERROR(VLOOKUP(RIGHT(E2382,3)+0,[1]SchLocTable!$A$2:$B$47,2,FALSE)," ")</f>
        <v xml:space="preserve"> </v>
      </c>
      <c r="B2382" s="366" t="str">
        <f>VLOOKUP(VALUE(D2382),$D$3:F$106,3,FALSE)</f>
        <v>SPED Aides</v>
      </c>
      <c r="C2382" t="s">
        <v>314</v>
      </c>
      <c r="D2382">
        <v>829</v>
      </c>
      <c r="E2382" t="s">
        <v>848</v>
      </c>
      <c r="F2382" t="s">
        <v>318</v>
      </c>
      <c r="G2382" t="s">
        <v>319</v>
      </c>
      <c r="H2382" s="502">
        <v>51140</v>
      </c>
      <c r="I2382" s="415">
        <v>0</v>
      </c>
      <c r="J2382" s="415">
        <v>0</v>
      </c>
      <c r="K2382" s="415">
        <v>0</v>
      </c>
      <c r="L2382" s="415">
        <v>1610</v>
      </c>
      <c r="M2382" s="415">
        <v>0</v>
      </c>
      <c r="N2382" s="415">
        <v>0</v>
      </c>
      <c r="O2382" s="415">
        <v>0</v>
      </c>
      <c r="P2382" s="415">
        <v>0</v>
      </c>
      <c r="Q2382" s="481">
        <f t="shared" si="83"/>
        <v>0</v>
      </c>
    </row>
    <row r="2383" spans="1:17" outlineLevel="2" x14ac:dyDescent="0.3">
      <c r="A2383" s="366" t="str">
        <f>IFERROR(VLOOKUP(RIGHT(E2383,3)+0,[1]SchLocTable!$A$2:$B$47,2,FALSE)," ")</f>
        <v xml:space="preserve"> </v>
      </c>
      <c r="B2383" s="366" t="str">
        <f>VLOOKUP(VALUE(D2383),$D$3:F$106,3,FALSE)</f>
        <v>SPED Aides</v>
      </c>
      <c r="C2383" t="s">
        <v>314</v>
      </c>
      <c r="D2383">
        <v>829</v>
      </c>
      <c r="E2383" t="s">
        <v>848</v>
      </c>
      <c r="F2383" t="s">
        <v>320</v>
      </c>
      <c r="G2383" t="s">
        <v>319</v>
      </c>
      <c r="H2383" s="502">
        <v>52360</v>
      </c>
      <c r="I2383" s="415">
        <v>0</v>
      </c>
      <c r="J2383" s="415">
        <v>0</v>
      </c>
      <c r="K2383" s="415">
        <v>0</v>
      </c>
      <c r="L2383" s="415">
        <v>23.35</v>
      </c>
      <c r="M2383" s="415">
        <v>0</v>
      </c>
      <c r="N2383" s="415">
        <v>0</v>
      </c>
      <c r="O2383" s="415">
        <v>0</v>
      </c>
      <c r="P2383" s="415">
        <v>0</v>
      </c>
      <c r="Q2383" s="481">
        <f t="shared" si="83"/>
        <v>0</v>
      </c>
    </row>
    <row r="2384" spans="1:17" outlineLevel="2" x14ac:dyDescent="0.3">
      <c r="A2384" s="366" t="str">
        <f>IFERROR(VLOOKUP(RIGHT(E2384,3)+0,[1]SchLocTable!$A$2:$B$47,2,FALSE)," ")</f>
        <v xml:space="preserve"> </v>
      </c>
      <c r="B2384" s="366" t="str">
        <f>VLOOKUP(VALUE(D2384),$D$3:F$106,3,FALSE)</f>
        <v>SPED Aides</v>
      </c>
      <c r="C2384" t="s">
        <v>314</v>
      </c>
      <c r="D2384">
        <v>829</v>
      </c>
      <c r="E2384" t="s">
        <v>848</v>
      </c>
      <c r="F2384" t="s">
        <v>392</v>
      </c>
      <c r="G2384" t="s">
        <v>319</v>
      </c>
      <c r="H2384" s="502">
        <v>52504</v>
      </c>
      <c r="I2384" s="415">
        <v>0</v>
      </c>
      <c r="J2384" s="415">
        <v>0</v>
      </c>
      <c r="K2384" s="415">
        <v>0</v>
      </c>
      <c r="L2384" s="415">
        <v>328.28</v>
      </c>
      <c r="M2384" s="415">
        <v>0</v>
      </c>
      <c r="N2384" s="415">
        <v>0</v>
      </c>
      <c r="O2384" s="415">
        <v>0</v>
      </c>
      <c r="P2384" s="415">
        <v>0</v>
      </c>
      <c r="Q2384" s="481">
        <f t="shared" si="83"/>
        <v>0</v>
      </c>
    </row>
    <row r="2385" spans="1:17" outlineLevel="2" x14ac:dyDescent="0.3">
      <c r="A2385" s="366" t="str">
        <f>IFERROR(VLOOKUP(RIGHT(E2385,3)+0,[1]SchLocTable!$A$2:$B$47,2,FALSE)," ")</f>
        <v>Barnum</v>
      </c>
      <c r="B2385" s="366" t="str">
        <f>VLOOKUP(VALUE(D2385),$D$3:F$106,3,FALSE)</f>
        <v>SPED Aides</v>
      </c>
      <c r="C2385" t="s">
        <v>314</v>
      </c>
      <c r="D2385">
        <v>829</v>
      </c>
      <c r="E2385" t="s">
        <v>849</v>
      </c>
      <c r="F2385" t="s">
        <v>316</v>
      </c>
      <c r="G2385">
        <v>4</v>
      </c>
      <c r="H2385" s="502">
        <v>51000</v>
      </c>
      <c r="I2385" s="415">
        <v>162608.926687</v>
      </c>
      <c r="J2385" s="415">
        <v>113355.48</v>
      </c>
      <c r="K2385" s="415">
        <v>119082.38</v>
      </c>
      <c r="L2385" s="415">
        <v>151991.64000000001</v>
      </c>
      <c r="M2385" s="415">
        <v>129188.8</v>
      </c>
      <c r="N2385" s="415">
        <v>99646.87</v>
      </c>
      <c r="O2385" s="415">
        <v>71327.12</v>
      </c>
      <c r="P2385" s="415">
        <v>255872.42</v>
      </c>
      <c r="Q2385" s="481">
        <f t="shared" si="83"/>
        <v>-49253.446687000003</v>
      </c>
    </row>
    <row r="2386" spans="1:17" outlineLevel="2" x14ac:dyDescent="0.3">
      <c r="A2386" s="366" t="str">
        <f>IFERROR(VLOOKUP(RIGHT(E2386,3)+0,[1]SchLocTable!$A$2:$B$47,2,FALSE)," ")</f>
        <v>Barnum</v>
      </c>
      <c r="B2386" s="366" t="str">
        <f>VLOOKUP(VALUE(D2386),$D$3:F$106,3,FALSE)</f>
        <v>SPED Aides</v>
      </c>
      <c r="C2386" t="s">
        <v>314</v>
      </c>
      <c r="D2386">
        <v>829</v>
      </c>
      <c r="E2386" t="s">
        <v>849</v>
      </c>
      <c r="F2386" t="s">
        <v>334</v>
      </c>
      <c r="G2386" t="s">
        <v>319</v>
      </c>
      <c r="H2386" s="502">
        <v>51400</v>
      </c>
      <c r="I2386" s="415">
        <v>0</v>
      </c>
      <c r="J2386" s="415">
        <v>0</v>
      </c>
      <c r="K2386" s="415">
        <v>0</v>
      </c>
      <c r="L2386" s="415">
        <v>3035.12</v>
      </c>
      <c r="M2386" s="415">
        <v>0</v>
      </c>
      <c r="N2386" s="415">
        <v>0</v>
      </c>
      <c r="O2386" s="415">
        <v>0</v>
      </c>
      <c r="P2386" s="415">
        <v>0</v>
      </c>
      <c r="Q2386" s="481">
        <f t="shared" si="83"/>
        <v>0</v>
      </c>
    </row>
    <row r="2387" spans="1:17" outlineLevel="2" x14ac:dyDescent="0.3">
      <c r="A2387" s="366" t="str">
        <f>IFERROR(VLOOKUP(RIGHT(E2387,3)+0,[1]SchLocTable!$A$2:$B$47,2,FALSE)," ")</f>
        <v>Barnum</v>
      </c>
      <c r="B2387" s="366" t="str">
        <f>VLOOKUP(VALUE(D2387),$D$3:F$106,3,FALSE)</f>
        <v>SPED Aides</v>
      </c>
      <c r="C2387" t="s">
        <v>314</v>
      </c>
      <c r="D2387">
        <v>829</v>
      </c>
      <c r="E2387" t="s">
        <v>849</v>
      </c>
      <c r="F2387" t="s">
        <v>360</v>
      </c>
      <c r="G2387" t="s">
        <v>319</v>
      </c>
      <c r="H2387" s="502">
        <v>52920</v>
      </c>
      <c r="I2387" s="415">
        <v>500</v>
      </c>
      <c r="J2387" s="415">
        <v>500</v>
      </c>
      <c r="K2387" s="415">
        <v>500.02</v>
      </c>
      <c r="L2387" s="415">
        <v>500</v>
      </c>
      <c r="M2387" s="415">
        <v>500</v>
      </c>
      <c r="N2387" s="415">
        <v>0</v>
      </c>
      <c r="O2387" s="415">
        <v>0</v>
      </c>
      <c r="P2387" s="415">
        <v>0</v>
      </c>
      <c r="Q2387" s="481">
        <f t="shared" si="83"/>
        <v>0</v>
      </c>
    </row>
    <row r="2388" spans="1:17" outlineLevel="2" x14ac:dyDescent="0.3">
      <c r="A2388" s="366" t="str">
        <f>IFERROR(VLOOKUP(RIGHT(E2388,3)+0,[1]SchLocTable!$A$2:$B$47,2,FALSE)," ")</f>
        <v>Barnum</v>
      </c>
      <c r="B2388" s="366" t="str">
        <f>VLOOKUP(VALUE(D2388),$D$3:F$106,3,FALSE)</f>
        <v>SPED Aides</v>
      </c>
      <c r="C2388" t="s">
        <v>314</v>
      </c>
      <c r="D2388">
        <v>829</v>
      </c>
      <c r="E2388" t="s">
        <v>849</v>
      </c>
      <c r="F2388" t="s">
        <v>321</v>
      </c>
      <c r="G2388" t="s">
        <v>319</v>
      </c>
      <c r="H2388" s="502">
        <v>52917</v>
      </c>
      <c r="I2388" s="415">
        <v>77854.967999999993</v>
      </c>
      <c r="J2388" s="415">
        <v>38024.83</v>
      </c>
      <c r="K2388" s="415">
        <v>47480.59</v>
      </c>
      <c r="L2388" s="415">
        <v>58089.96</v>
      </c>
      <c r="M2388" s="415">
        <v>54409.62</v>
      </c>
      <c r="N2388" s="415">
        <v>47006.239999999998</v>
      </c>
      <c r="O2388" s="415">
        <v>34891.449999999997</v>
      </c>
      <c r="P2388" s="415">
        <v>107862.24</v>
      </c>
      <c r="Q2388" s="481">
        <f t="shared" si="83"/>
        <v>-39830.137999999992</v>
      </c>
    </row>
    <row r="2389" spans="1:17" outlineLevel="2" x14ac:dyDescent="0.3">
      <c r="A2389" s="366" t="str">
        <f>IFERROR(VLOOKUP(RIGHT(E2389,3)+0,[1]SchLocTable!$A$2:$B$47,2,FALSE)," ")</f>
        <v>Barnum</v>
      </c>
      <c r="B2389" s="366" t="str">
        <f>VLOOKUP(VALUE(D2389),$D$3:F$106,3,FALSE)</f>
        <v>SPED Aides</v>
      </c>
      <c r="C2389" t="s">
        <v>314</v>
      </c>
      <c r="D2389">
        <v>829</v>
      </c>
      <c r="E2389" t="s">
        <v>849</v>
      </c>
      <c r="F2389" t="s">
        <v>318</v>
      </c>
      <c r="G2389" t="s">
        <v>319</v>
      </c>
      <c r="H2389" s="502">
        <v>51140</v>
      </c>
      <c r="I2389" s="415">
        <v>2426.7199999999998</v>
      </c>
      <c r="J2389" s="415">
        <v>746.72</v>
      </c>
      <c r="K2389" s="415">
        <v>2660</v>
      </c>
      <c r="L2389" s="415">
        <v>9240</v>
      </c>
      <c r="M2389" s="415">
        <v>1470</v>
      </c>
      <c r="N2389" s="415">
        <v>1400</v>
      </c>
      <c r="O2389" s="415">
        <v>1330</v>
      </c>
      <c r="P2389" s="415">
        <v>3060</v>
      </c>
      <c r="Q2389" s="481">
        <f t="shared" si="83"/>
        <v>-1679.9999999999998</v>
      </c>
    </row>
    <row r="2390" spans="1:17" outlineLevel="2" x14ac:dyDescent="0.3">
      <c r="A2390" s="366" t="str">
        <f>IFERROR(VLOOKUP(RIGHT(E2390,3)+0,[1]SchLocTable!$A$2:$B$47,2,FALSE)," ")</f>
        <v>Barnum</v>
      </c>
      <c r="B2390" s="366" t="str">
        <f>VLOOKUP(VALUE(D2390),$D$3:F$106,3,FALSE)</f>
        <v>SPED Aides</v>
      </c>
      <c r="C2390" t="s">
        <v>314</v>
      </c>
      <c r="D2390">
        <v>829</v>
      </c>
      <c r="E2390" t="s">
        <v>849</v>
      </c>
      <c r="F2390" t="s">
        <v>320</v>
      </c>
      <c r="G2390" t="s">
        <v>319</v>
      </c>
      <c r="H2390" s="502">
        <v>52360</v>
      </c>
      <c r="I2390" s="415">
        <v>2365.0794369615005</v>
      </c>
      <c r="J2390" s="415">
        <v>1613.67</v>
      </c>
      <c r="K2390" s="415">
        <v>1605.78</v>
      </c>
      <c r="L2390" s="415">
        <v>2089.86</v>
      </c>
      <c r="M2390" s="415">
        <v>1586.9</v>
      </c>
      <c r="N2390" s="415">
        <v>1207.43</v>
      </c>
      <c r="O2390" s="415">
        <v>892.63</v>
      </c>
      <c r="P2390" s="415">
        <v>3278.94</v>
      </c>
      <c r="Q2390" s="481">
        <f t="shared" si="83"/>
        <v>-751.40943696150043</v>
      </c>
    </row>
    <row r="2391" spans="1:17" outlineLevel="2" x14ac:dyDescent="0.3">
      <c r="A2391" s="366" t="str">
        <f>IFERROR(VLOOKUP(RIGHT(E2391,3)+0,[1]SchLocTable!$A$2:$B$47,2,FALSE)," ")</f>
        <v>Barnum</v>
      </c>
      <c r="B2391" s="366" t="str">
        <f>VLOOKUP(VALUE(D2391),$D$3:F$106,3,FALSE)</f>
        <v>SPED Aides</v>
      </c>
      <c r="C2391" t="s">
        <v>314</v>
      </c>
      <c r="D2391">
        <v>829</v>
      </c>
      <c r="E2391" t="s">
        <v>849</v>
      </c>
      <c r="F2391" t="s">
        <v>392</v>
      </c>
      <c r="G2391" t="s">
        <v>319</v>
      </c>
      <c r="H2391" s="502">
        <v>52504</v>
      </c>
      <c r="I2391" s="415">
        <v>33878.034965558603</v>
      </c>
      <c r="J2391" s="415">
        <v>23240.880000000001</v>
      </c>
      <c r="K2391" s="415">
        <v>20004.419999999998</v>
      </c>
      <c r="L2391" s="415">
        <v>29917.61</v>
      </c>
      <c r="M2391" s="415">
        <v>27880.560000000001</v>
      </c>
      <c r="N2391" s="415">
        <v>15432.54</v>
      </c>
      <c r="O2391" s="415">
        <v>11933.79</v>
      </c>
      <c r="P2391" s="415">
        <v>34857.81</v>
      </c>
      <c r="Q2391" s="481">
        <f t="shared" si="83"/>
        <v>-10637.154965558602</v>
      </c>
    </row>
    <row r="2392" spans="1:17" outlineLevel="2" x14ac:dyDescent="0.3">
      <c r="A2392" s="366" t="str">
        <f>IFERROR(VLOOKUP(RIGHT(E2392,3)+0,[1]SchLocTable!$A$2:$B$47,2,FALSE)," ")</f>
        <v>Barnum</v>
      </c>
      <c r="B2392" s="366" t="str">
        <f>VLOOKUP(VALUE(D2392),$D$3:F$106,3,FALSE)</f>
        <v>SPED Aides</v>
      </c>
      <c r="C2392" t="s">
        <v>314</v>
      </c>
      <c r="D2392">
        <v>829</v>
      </c>
      <c r="E2392" t="s">
        <v>849</v>
      </c>
      <c r="F2392" t="s">
        <v>324</v>
      </c>
      <c r="G2392" t="s">
        <v>319</v>
      </c>
      <c r="H2392" s="502">
        <v>52385</v>
      </c>
      <c r="I2392" s="415">
        <v>0</v>
      </c>
      <c r="J2392" s="415">
        <v>93.8</v>
      </c>
      <c r="K2392" s="415">
        <v>2945.77</v>
      </c>
      <c r="L2392" s="415">
        <v>1185.19</v>
      </c>
      <c r="M2392" s="415">
        <v>44.41</v>
      </c>
      <c r="N2392" s="415">
        <v>1032.58</v>
      </c>
      <c r="O2392" s="415">
        <v>0</v>
      </c>
      <c r="P2392" s="415">
        <v>0</v>
      </c>
      <c r="Q2392" s="481">
        <f t="shared" si="83"/>
        <v>93.8</v>
      </c>
    </row>
    <row r="2393" spans="1:17" outlineLevel="2" x14ac:dyDescent="0.3">
      <c r="A2393" s="366" t="str">
        <f>IFERROR(VLOOKUP(RIGHT(E2393,3)+0,[1]SchLocTable!$A$2:$B$47,2,FALSE)," ")</f>
        <v>Barnum</v>
      </c>
      <c r="B2393" s="366" t="str">
        <f>VLOOKUP(VALUE(D2393),$D$3:F$106,3,FALSE)</f>
        <v>SPED Aides</v>
      </c>
      <c r="C2393" t="s">
        <v>314</v>
      </c>
      <c r="D2393">
        <v>829</v>
      </c>
      <c r="E2393" t="s">
        <v>849</v>
      </c>
      <c r="F2393" t="s">
        <v>533</v>
      </c>
      <c r="G2393" t="s">
        <v>319</v>
      </c>
      <c r="H2393" s="502">
        <v>52397</v>
      </c>
      <c r="I2393" s="415">
        <v>0</v>
      </c>
      <c r="J2393" s="415">
        <v>0</v>
      </c>
      <c r="K2393" s="415">
        <v>0</v>
      </c>
      <c r="L2393" s="415">
        <v>48</v>
      </c>
      <c r="M2393" s="415">
        <v>0</v>
      </c>
      <c r="N2393" s="415">
        <v>0</v>
      </c>
      <c r="O2393" s="415">
        <v>0</v>
      </c>
      <c r="P2393" s="415">
        <v>0</v>
      </c>
      <c r="Q2393" s="481">
        <f t="shared" si="83"/>
        <v>0</v>
      </c>
    </row>
    <row r="2394" spans="1:17" outlineLevel="2" x14ac:dyDescent="0.3">
      <c r="A2394" s="366" t="str">
        <f>IFERROR(VLOOKUP(RIGHT(E2394,3)+0,[1]SchLocTable!$A$2:$B$47,2,FALSE)," ")</f>
        <v>Beardsley</v>
      </c>
      <c r="B2394" s="366" t="str">
        <f>VLOOKUP(VALUE(D2394),$D$3:F$106,3,FALSE)</f>
        <v>SPED Aides</v>
      </c>
      <c r="C2394" t="s">
        <v>314</v>
      </c>
      <c r="D2394">
        <v>829</v>
      </c>
      <c r="E2394" t="s">
        <v>850</v>
      </c>
      <c r="F2394" t="s">
        <v>316</v>
      </c>
      <c r="G2394" t="s">
        <v>319</v>
      </c>
      <c r="H2394" s="502">
        <v>51000</v>
      </c>
      <c r="I2394" s="415">
        <v>0</v>
      </c>
      <c r="J2394" s="415">
        <v>0</v>
      </c>
      <c r="K2394" s="415">
        <v>0</v>
      </c>
      <c r="L2394" s="415">
        <v>0</v>
      </c>
      <c r="M2394" s="415">
        <v>200.53</v>
      </c>
      <c r="N2394" s="415">
        <v>0</v>
      </c>
      <c r="O2394" s="415">
        <v>0</v>
      </c>
      <c r="P2394" s="415">
        <v>0</v>
      </c>
      <c r="Q2394" s="481">
        <f t="shared" si="83"/>
        <v>0</v>
      </c>
    </row>
    <row r="2395" spans="1:17" outlineLevel="2" x14ac:dyDescent="0.3">
      <c r="A2395" s="366" t="str">
        <f>IFERROR(VLOOKUP(RIGHT(E2395,3)+0,[1]SchLocTable!$A$2:$B$47,2,FALSE)," ")</f>
        <v>Beardsley</v>
      </c>
      <c r="B2395" s="366" t="str">
        <f>VLOOKUP(VALUE(D2395),$D$3:F$106,3,FALSE)</f>
        <v>SPED Aides</v>
      </c>
      <c r="C2395" t="s">
        <v>314</v>
      </c>
      <c r="D2395">
        <v>829</v>
      </c>
      <c r="E2395" t="s">
        <v>850</v>
      </c>
      <c r="F2395" t="s">
        <v>318</v>
      </c>
      <c r="G2395" t="s">
        <v>319</v>
      </c>
      <c r="H2395" s="502">
        <v>51140</v>
      </c>
      <c r="I2395" s="415">
        <v>0</v>
      </c>
      <c r="J2395" s="415">
        <v>0</v>
      </c>
      <c r="K2395" s="415">
        <v>0</v>
      </c>
      <c r="L2395" s="415">
        <v>2240</v>
      </c>
      <c r="M2395" s="415">
        <v>0</v>
      </c>
      <c r="N2395" s="415">
        <v>0</v>
      </c>
      <c r="O2395" s="415">
        <v>0</v>
      </c>
      <c r="P2395" s="415">
        <v>0</v>
      </c>
      <c r="Q2395" s="481">
        <f t="shared" si="83"/>
        <v>0</v>
      </c>
    </row>
    <row r="2396" spans="1:17" outlineLevel="2" x14ac:dyDescent="0.3">
      <c r="A2396" s="366" t="str">
        <f>IFERROR(VLOOKUP(RIGHT(E2396,3)+0,[1]SchLocTable!$A$2:$B$47,2,FALSE)," ")</f>
        <v>Beardsley</v>
      </c>
      <c r="B2396" s="366" t="str">
        <f>VLOOKUP(VALUE(D2396),$D$3:F$106,3,FALSE)</f>
        <v>SPED Aides</v>
      </c>
      <c r="C2396" t="s">
        <v>314</v>
      </c>
      <c r="D2396">
        <v>829</v>
      </c>
      <c r="E2396" t="s">
        <v>850</v>
      </c>
      <c r="F2396" t="s">
        <v>320</v>
      </c>
      <c r="G2396" t="s">
        <v>319</v>
      </c>
      <c r="H2396" s="502">
        <v>52360</v>
      </c>
      <c r="I2396" s="415">
        <v>0</v>
      </c>
      <c r="J2396" s="415">
        <v>0</v>
      </c>
      <c r="K2396" s="415">
        <v>0</v>
      </c>
      <c r="L2396" s="415">
        <v>32.49</v>
      </c>
      <c r="M2396" s="415">
        <v>2.91</v>
      </c>
      <c r="N2396" s="415">
        <v>0</v>
      </c>
      <c r="O2396" s="415">
        <v>0</v>
      </c>
      <c r="P2396" s="415">
        <v>0</v>
      </c>
      <c r="Q2396" s="481">
        <f t="shared" si="83"/>
        <v>0</v>
      </c>
    </row>
    <row r="2397" spans="1:17" outlineLevel="2" x14ac:dyDescent="0.3">
      <c r="A2397" s="366" t="str">
        <f>IFERROR(VLOOKUP(RIGHT(E2397,3)+0,[1]SchLocTable!$A$2:$B$47,2,FALSE)," ")</f>
        <v>Beardsley</v>
      </c>
      <c r="B2397" s="366" t="str">
        <f>VLOOKUP(VALUE(D2397),$D$3:F$106,3,FALSE)</f>
        <v>SPED Aides</v>
      </c>
      <c r="C2397" t="s">
        <v>314</v>
      </c>
      <c r="D2397">
        <v>829</v>
      </c>
      <c r="E2397" t="s">
        <v>850</v>
      </c>
      <c r="F2397" t="s">
        <v>392</v>
      </c>
      <c r="G2397" t="s">
        <v>319</v>
      </c>
      <c r="H2397" s="502">
        <v>52504</v>
      </c>
      <c r="I2397" s="415">
        <v>0</v>
      </c>
      <c r="J2397" s="415">
        <v>0</v>
      </c>
      <c r="K2397" s="415">
        <v>0</v>
      </c>
      <c r="L2397" s="415">
        <v>456.74</v>
      </c>
      <c r="M2397" s="415">
        <v>0</v>
      </c>
      <c r="N2397" s="415">
        <v>0</v>
      </c>
      <c r="O2397" s="415">
        <v>0</v>
      </c>
      <c r="P2397" s="415">
        <v>0</v>
      </c>
      <c r="Q2397" s="481">
        <f t="shared" si="83"/>
        <v>0</v>
      </c>
    </row>
    <row r="2398" spans="1:17" outlineLevel="2" x14ac:dyDescent="0.3">
      <c r="A2398" s="366" t="str">
        <f>IFERROR(VLOOKUP(RIGHT(E2398,3)+0,[1]SchLocTable!$A$2:$B$47,2,FALSE)," ")</f>
        <v>Black Rock</v>
      </c>
      <c r="B2398" s="366" t="str">
        <f>VLOOKUP(VALUE(D2398),$D$3:F$106,3,FALSE)</f>
        <v>SPED Aides</v>
      </c>
      <c r="C2398" t="s">
        <v>314</v>
      </c>
      <c r="D2398">
        <v>829</v>
      </c>
      <c r="E2398" t="s">
        <v>851</v>
      </c>
      <c r="F2398" t="s">
        <v>316</v>
      </c>
      <c r="G2398">
        <v>2</v>
      </c>
      <c r="H2398" s="502">
        <v>51000</v>
      </c>
      <c r="I2398" s="415">
        <v>97400.55891800001</v>
      </c>
      <c r="J2398" s="415">
        <v>85556.04</v>
      </c>
      <c r="K2398" s="415">
        <v>83009.55</v>
      </c>
      <c r="L2398" s="415">
        <v>86989.38</v>
      </c>
      <c r="M2398" s="415">
        <v>85932.88</v>
      </c>
      <c r="N2398" s="415">
        <v>84234.99</v>
      </c>
      <c r="O2398" s="415">
        <v>84623.039999999994</v>
      </c>
      <c r="P2398" s="415">
        <v>95753.65</v>
      </c>
      <c r="Q2398" s="481">
        <f t="shared" si="83"/>
        <v>-11844.518918000016</v>
      </c>
    </row>
    <row r="2399" spans="1:17" outlineLevel="2" x14ac:dyDescent="0.3">
      <c r="A2399" s="366" t="str">
        <f>IFERROR(VLOOKUP(RIGHT(E2399,3)+0,[1]SchLocTable!$A$2:$B$47,2,FALSE)," ")</f>
        <v>Black Rock</v>
      </c>
      <c r="B2399" s="366" t="str">
        <f>VLOOKUP(VALUE(D2399),$D$3:F$106,3,FALSE)</f>
        <v>SPED Aides</v>
      </c>
      <c r="C2399" t="s">
        <v>314</v>
      </c>
      <c r="D2399">
        <v>829</v>
      </c>
      <c r="E2399" t="s">
        <v>851</v>
      </c>
      <c r="F2399" t="s">
        <v>321</v>
      </c>
      <c r="G2399" t="s">
        <v>319</v>
      </c>
      <c r="H2399" s="502">
        <v>52917</v>
      </c>
      <c r="I2399" s="415">
        <v>30794.712</v>
      </c>
      <c r="J2399" s="415">
        <v>24276.89</v>
      </c>
      <c r="K2399" s="415">
        <v>21344.77</v>
      </c>
      <c r="L2399" s="415">
        <v>21775.65</v>
      </c>
      <c r="M2399" s="415">
        <v>22116.63</v>
      </c>
      <c r="N2399" s="415">
        <v>33552.76</v>
      </c>
      <c r="O2399" s="415">
        <v>31862.06</v>
      </c>
      <c r="P2399" s="415">
        <v>30391.77</v>
      </c>
      <c r="Q2399" s="481">
        <f t="shared" si="83"/>
        <v>-6517.8220000000001</v>
      </c>
    </row>
    <row r="2400" spans="1:17" outlineLevel="2" x14ac:dyDescent="0.3">
      <c r="A2400" s="366" t="str">
        <f>IFERROR(VLOOKUP(RIGHT(E2400,3)+0,[1]SchLocTable!$A$2:$B$47,2,FALSE)," ")</f>
        <v>Black Rock</v>
      </c>
      <c r="B2400" s="366" t="str">
        <f>VLOOKUP(VALUE(D2400),$D$3:F$106,3,FALSE)</f>
        <v>SPED Aides</v>
      </c>
      <c r="C2400" t="s">
        <v>314</v>
      </c>
      <c r="D2400">
        <v>829</v>
      </c>
      <c r="E2400" t="s">
        <v>851</v>
      </c>
      <c r="F2400" t="s">
        <v>318</v>
      </c>
      <c r="G2400" t="s">
        <v>319</v>
      </c>
      <c r="H2400" s="502">
        <v>51140</v>
      </c>
      <c r="I2400" s="415">
        <v>3220</v>
      </c>
      <c r="J2400" s="415">
        <v>0</v>
      </c>
      <c r="K2400" s="415">
        <v>3080</v>
      </c>
      <c r="L2400" s="415">
        <v>8520</v>
      </c>
      <c r="M2400" s="415">
        <v>2800</v>
      </c>
      <c r="N2400" s="415">
        <v>2660</v>
      </c>
      <c r="O2400" s="415">
        <v>2520</v>
      </c>
      <c r="P2400" s="415">
        <v>2380</v>
      </c>
      <c r="Q2400" s="481">
        <f t="shared" si="83"/>
        <v>-3220</v>
      </c>
    </row>
    <row r="2401" spans="1:17" outlineLevel="2" x14ac:dyDescent="0.3">
      <c r="A2401" s="366" t="str">
        <f>IFERROR(VLOOKUP(RIGHT(E2401,3)+0,[1]SchLocTable!$A$2:$B$47,2,FALSE)," ")</f>
        <v>Black Rock</v>
      </c>
      <c r="B2401" s="366" t="str">
        <f>VLOOKUP(VALUE(D2401),$D$3:F$106,3,FALSE)</f>
        <v>SPED Aides</v>
      </c>
      <c r="C2401" t="s">
        <v>314</v>
      </c>
      <c r="D2401">
        <v>829</v>
      </c>
      <c r="E2401" t="s">
        <v>851</v>
      </c>
      <c r="F2401" t="s">
        <v>320</v>
      </c>
      <c r="G2401" t="s">
        <v>319</v>
      </c>
      <c r="H2401" s="502">
        <v>52360</v>
      </c>
      <c r="I2401" s="415">
        <v>1412.3081043110003</v>
      </c>
      <c r="J2401" s="415">
        <v>1219.8800000000001</v>
      </c>
      <c r="K2401" s="415">
        <v>1212.42</v>
      </c>
      <c r="L2401" s="415">
        <v>1282.45</v>
      </c>
      <c r="M2401" s="415">
        <v>1184.9100000000001</v>
      </c>
      <c r="N2401" s="415">
        <v>1104.77</v>
      </c>
      <c r="O2401" s="415">
        <v>1116.0999999999999</v>
      </c>
      <c r="P2401" s="415">
        <v>1077.4100000000001</v>
      </c>
      <c r="Q2401" s="481">
        <f t="shared" si="83"/>
        <v>-192.4281043110002</v>
      </c>
    </row>
    <row r="2402" spans="1:17" outlineLevel="2" x14ac:dyDescent="0.3">
      <c r="A2402" s="366" t="str">
        <f>IFERROR(VLOOKUP(RIGHT(E2402,3)+0,[1]SchLocTable!$A$2:$B$47,2,FALSE)," ")</f>
        <v>Black Rock</v>
      </c>
      <c r="B2402" s="366" t="str">
        <f>VLOOKUP(VALUE(D2402),$D$3:F$106,3,FALSE)</f>
        <v>SPED Aides</v>
      </c>
      <c r="C2402" t="s">
        <v>314</v>
      </c>
      <c r="D2402">
        <v>829</v>
      </c>
      <c r="E2402" t="s">
        <v>851</v>
      </c>
      <c r="F2402" t="s">
        <v>392</v>
      </c>
      <c r="G2402" t="s">
        <v>319</v>
      </c>
      <c r="H2402" s="502">
        <v>52504</v>
      </c>
      <c r="I2402" s="415">
        <v>20239.836143160406</v>
      </c>
      <c r="J2402" s="415">
        <v>17778.53</v>
      </c>
      <c r="K2402" s="415">
        <v>18176.39</v>
      </c>
      <c r="L2402" s="415">
        <v>19481.189999999999</v>
      </c>
      <c r="M2402" s="415">
        <v>19109.21</v>
      </c>
      <c r="N2402" s="415">
        <v>16593.91</v>
      </c>
      <c r="O2402" s="415">
        <v>14332.97</v>
      </c>
      <c r="P2402" s="415">
        <v>11975.84</v>
      </c>
      <c r="Q2402" s="481">
        <f t="shared" si="83"/>
        <v>-2461.3061431604074</v>
      </c>
    </row>
    <row r="2403" spans="1:17" outlineLevel="2" x14ac:dyDescent="0.3">
      <c r="A2403" s="366" t="str">
        <f>IFERROR(VLOOKUP(RIGHT(E2403,3)+0,[1]SchLocTable!$A$2:$B$47,2,FALSE)," ")</f>
        <v>Bryant</v>
      </c>
      <c r="B2403" s="366" t="str">
        <f>VLOOKUP(VALUE(D2403),$D$3:F$106,3,FALSE)</f>
        <v>SPED Aides</v>
      </c>
      <c r="C2403" t="s">
        <v>314</v>
      </c>
      <c r="D2403">
        <v>829</v>
      </c>
      <c r="E2403" t="s">
        <v>852</v>
      </c>
      <c r="F2403" t="s">
        <v>316</v>
      </c>
      <c r="G2403">
        <v>7</v>
      </c>
      <c r="H2403" s="502">
        <v>51000</v>
      </c>
      <c r="I2403" s="415">
        <v>290459.30986400001</v>
      </c>
      <c r="J2403" s="415">
        <v>79315</v>
      </c>
      <c r="K2403" s="415">
        <v>77923.87</v>
      </c>
      <c r="L2403" s="415">
        <v>106858.87</v>
      </c>
      <c r="M2403" s="415">
        <v>86070.21</v>
      </c>
      <c r="N2403" s="415">
        <v>83039.679999999993</v>
      </c>
      <c r="O2403" s="415">
        <v>71091.929999999993</v>
      </c>
      <c r="P2403" s="415">
        <v>81754.92</v>
      </c>
      <c r="Q2403" s="481">
        <f t="shared" si="83"/>
        <v>-211144.30986400001</v>
      </c>
    </row>
    <row r="2404" spans="1:17" outlineLevel="2" x14ac:dyDescent="0.3">
      <c r="A2404" s="366" t="str">
        <f>IFERROR(VLOOKUP(RIGHT(E2404,3)+0,[1]SchLocTable!$A$2:$B$47,2,FALSE)," ")</f>
        <v>Bryant</v>
      </c>
      <c r="B2404" s="366" t="str">
        <f>VLOOKUP(VALUE(D2404),$D$3:F$106,3,FALSE)</f>
        <v>SPED Aides</v>
      </c>
      <c r="C2404" t="s">
        <v>314</v>
      </c>
      <c r="D2404">
        <v>829</v>
      </c>
      <c r="E2404" t="s">
        <v>852</v>
      </c>
      <c r="F2404" t="s">
        <v>360</v>
      </c>
      <c r="G2404" t="s">
        <v>319</v>
      </c>
      <c r="H2404" s="502">
        <v>52920</v>
      </c>
      <c r="I2404" s="415">
        <v>500</v>
      </c>
      <c r="J2404" s="415">
        <v>0</v>
      </c>
      <c r="K2404" s="415">
        <v>0</v>
      </c>
      <c r="L2404" s="415">
        <v>0</v>
      </c>
      <c r="M2404" s="415">
        <v>0</v>
      </c>
      <c r="N2404" s="415">
        <v>0</v>
      </c>
      <c r="O2404" s="415">
        <v>0</v>
      </c>
      <c r="P2404" s="415">
        <v>0</v>
      </c>
      <c r="Q2404" s="481">
        <f t="shared" si="83"/>
        <v>-500</v>
      </c>
    </row>
    <row r="2405" spans="1:17" outlineLevel="2" x14ac:dyDescent="0.3">
      <c r="A2405" s="366" t="str">
        <f>IFERROR(VLOOKUP(RIGHT(E2405,3)+0,[1]SchLocTable!$A$2:$B$47,2,FALSE)," ")</f>
        <v>Bryant</v>
      </c>
      <c r="B2405" s="366" t="str">
        <f>VLOOKUP(VALUE(D2405),$D$3:F$106,3,FALSE)</f>
        <v>SPED Aides</v>
      </c>
      <c r="C2405" t="s">
        <v>314</v>
      </c>
      <c r="D2405">
        <v>829</v>
      </c>
      <c r="E2405" t="s">
        <v>852</v>
      </c>
      <c r="F2405" t="s">
        <v>321</v>
      </c>
      <c r="G2405" t="s">
        <v>319</v>
      </c>
      <c r="H2405" s="502">
        <v>52917</v>
      </c>
      <c r="I2405" s="415">
        <v>63194.712</v>
      </c>
      <c r="J2405" s="415">
        <v>25542</v>
      </c>
      <c r="K2405" s="415">
        <v>31572.2</v>
      </c>
      <c r="L2405" s="415">
        <v>45298.84</v>
      </c>
      <c r="M2405" s="415">
        <v>38376.879999999997</v>
      </c>
      <c r="N2405" s="415">
        <v>35024.33</v>
      </c>
      <c r="O2405" s="415">
        <v>31011.93</v>
      </c>
      <c r="P2405" s="415">
        <v>31218.98</v>
      </c>
      <c r="Q2405" s="481">
        <f t="shared" si="83"/>
        <v>-37652.712</v>
      </c>
    </row>
    <row r="2406" spans="1:17" outlineLevel="2" x14ac:dyDescent="0.3">
      <c r="A2406" s="366" t="str">
        <f>IFERROR(VLOOKUP(RIGHT(E2406,3)+0,[1]SchLocTable!$A$2:$B$47,2,FALSE)," ")</f>
        <v>Bryant</v>
      </c>
      <c r="B2406" s="366" t="str">
        <f>VLOOKUP(VALUE(D2406),$D$3:F$106,3,FALSE)</f>
        <v>SPED Aides</v>
      </c>
      <c r="C2406" t="s">
        <v>314</v>
      </c>
      <c r="D2406">
        <v>829</v>
      </c>
      <c r="E2406" t="s">
        <v>852</v>
      </c>
      <c r="F2406" t="s">
        <v>318</v>
      </c>
      <c r="G2406" t="s">
        <v>319</v>
      </c>
      <c r="H2406" s="502">
        <v>51140</v>
      </c>
      <c r="I2406" s="415">
        <v>2030</v>
      </c>
      <c r="J2406" s="415">
        <v>0</v>
      </c>
      <c r="K2406" s="415">
        <v>1260</v>
      </c>
      <c r="L2406" s="415">
        <v>2100</v>
      </c>
      <c r="M2406" s="415">
        <v>1120</v>
      </c>
      <c r="N2406" s="415">
        <v>1050</v>
      </c>
      <c r="O2406" s="415">
        <v>980</v>
      </c>
      <c r="P2406" s="415">
        <v>910</v>
      </c>
      <c r="Q2406" s="481">
        <f t="shared" si="83"/>
        <v>-2030</v>
      </c>
    </row>
    <row r="2407" spans="1:17" outlineLevel="2" x14ac:dyDescent="0.3">
      <c r="A2407" s="366" t="str">
        <f>IFERROR(VLOOKUP(RIGHT(E2407,3)+0,[1]SchLocTable!$A$2:$B$47,2,FALSE)," ")</f>
        <v>Bryant</v>
      </c>
      <c r="B2407" s="366" t="str">
        <f>VLOOKUP(VALUE(D2407),$D$3:F$106,3,FALSE)</f>
        <v>SPED Aides</v>
      </c>
      <c r="C2407" t="s">
        <v>314</v>
      </c>
      <c r="D2407">
        <v>829</v>
      </c>
      <c r="E2407" t="s">
        <v>852</v>
      </c>
      <c r="F2407" t="s">
        <v>320</v>
      </c>
      <c r="G2407" t="s">
        <v>319</v>
      </c>
      <c r="H2407" s="502">
        <v>52360</v>
      </c>
      <c r="I2407" s="415">
        <v>4218.9099930280008</v>
      </c>
      <c r="J2407" s="415">
        <v>1051</v>
      </c>
      <c r="K2407" s="415">
        <v>1136.3399999999999</v>
      </c>
      <c r="L2407" s="415">
        <v>1345</v>
      </c>
      <c r="M2407" s="415">
        <v>1016.9</v>
      </c>
      <c r="N2407" s="415">
        <v>1029.8</v>
      </c>
      <c r="O2407" s="415">
        <v>883.74</v>
      </c>
      <c r="P2407" s="415">
        <v>834.91</v>
      </c>
      <c r="Q2407" s="481">
        <f t="shared" si="83"/>
        <v>-3167.9099930280008</v>
      </c>
    </row>
    <row r="2408" spans="1:17" outlineLevel="2" x14ac:dyDescent="0.3">
      <c r="A2408" s="366" t="str">
        <f>IFERROR(VLOOKUP(RIGHT(E2408,3)+0,[1]SchLocTable!$A$2:$B$47,2,FALSE)," ")</f>
        <v>Bryant</v>
      </c>
      <c r="B2408" s="366" t="str">
        <f>VLOOKUP(VALUE(D2408),$D$3:F$106,3,FALSE)</f>
        <v>SPED Aides</v>
      </c>
      <c r="C2408" t="s">
        <v>314</v>
      </c>
      <c r="D2408">
        <v>829</v>
      </c>
      <c r="E2408" t="s">
        <v>852</v>
      </c>
      <c r="F2408" t="s">
        <v>392</v>
      </c>
      <c r="G2408" t="s">
        <v>319</v>
      </c>
      <c r="H2408" s="502">
        <v>52504</v>
      </c>
      <c r="I2408" s="415">
        <v>60397.344589739208</v>
      </c>
      <c r="J2408" s="415">
        <v>9128</v>
      </c>
      <c r="K2408" s="415">
        <v>12692.77</v>
      </c>
      <c r="L2408" s="415">
        <v>15474.28</v>
      </c>
      <c r="M2408" s="415">
        <v>12752.1</v>
      </c>
      <c r="N2408" s="415">
        <v>13974.01</v>
      </c>
      <c r="O2408" s="415">
        <v>11854.84</v>
      </c>
      <c r="P2408" s="415">
        <v>9770.39</v>
      </c>
      <c r="Q2408" s="481">
        <f t="shared" si="83"/>
        <v>-51269.344589739208</v>
      </c>
    </row>
    <row r="2409" spans="1:17" outlineLevel="2" x14ac:dyDescent="0.3">
      <c r="A2409" s="366" t="str">
        <f>IFERROR(VLOOKUP(RIGHT(E2409,3)+0,[1]SchLocTable!$A$2:$B$47,2,FALSE)," ")</f>
        <v>Bryant</v>
      </c>
      <c r="B2409" s="366" t="str">
        <f>VLOOKUP(VALUE(D2409),$D$3:F$106,3,FALSE)</f>
        <v>SPED Aides</v>
      </c>
      <c r="C2409" t="s">
        <v>314</v>
      </c>
      <c r="D2409">
        <v>829</v>
      </c>
      <c r="E2409" t="s">
        <v>852</v>
      </c>
      <c r="F2409" t="s">
        <v>324</v>
      </c>
      <c r="G2409" t="s">
        <v>319</v>
      </c>
      <c r="H2409" s="502">
        <v>52385</v>
      </c>
      <c r="I2409" s="415">
        <v>0</v>
      </c>
      <c r="J2409" s="415">
        <v>0</v>
      </c>
      <c r="K2409" s="415">
        <v>0</v>
      </c>
      <c r="L2409" s="415">
        <v>0</v>
      </c>
      <c r="M2409" s="415">
        <v>1.8</v>
      </c>
      <c r="N2409" s="415">
        <v>600.42999999999995</v>
      </c>
      <c r="O2409" s="415">
        <v>0</v>
      </c>
      <c r="P2409" s="415">
        <v>0</v>
      </c>
      <c r="Q2409" s="481">
        <f t="shared" si="83"/>
        <v>0</v>
      </c>
    </row>
    <row r="2410" spans="1:17" outlineLevel="2" x14ac:dyDescent="0.3">
      <c r="A2410" s="366" t="str">
        <f>IFERROR(VLOOKUP(RIGHT(E2410,3)+0,[1]SchLocTable!$A$2:$B$47,2,FALSE)," ")</f>
        <v>Bryant</v>
      </c>
      <c r="B2410" s="366" t="str">
        <f>VLOOKUP(VALUE(D2410),$D$3:F$106,3,FALSE)</f>
        <v>SPED Aides</v>
      </c>
      <c r="C2410" t="s">
        <v>314</v>
      </c>
      <c r="D2410">
        <v>829</v>
      </c>
      <c r="E2410" t="s">
        <v>852</v>
      </c>
      <c r="F2410" t="s">
        <v>533</v>
      </c>
      <c r="G2410" t="s">
        <v>319</v>
      </c>
      <c r="H2410" s="502">
        <v>52397</v>
      </c>
      <c r="I2410" s="415">
        <v>0</v>
      </c>
      <c r="J2410" s="415">
        <v>0</v>
      </c>
      <c r="K2410" s="415">
        <v>0</v>
      </c>
      <c r="L2410" s="415">
        <v>0</v>
      </c>
      <c r="M2410" s="415">
        <v>7163</v>
      </c>
      <c r="N2410" s="415">
        <v>3306</v>
      </c>
      <c r="O2410" s="415">
        <v>0</v>
      </c>
      <c r="P2410" s="415">
        <v>0</v>
      </c>
      <c r="Q2410" s="481">
        <f t="shared" si="83"/>
        <v>0</v>
      </c>
    </row>
    <row r="2411" spans="1:17" outlineLevel="2" x14ac:dyDescent="0.3">
      <c r="A2411" s="366" t="str">
        <f>IFERROR(VLOOKUP(RIGHT(E2411,3)+0,[1]SchLocTable!$A$2:$B$47,2,FALSE)," ")</f>
        <v>Columbus</v>
      </c>
      <c r="B2411" s="366" t="str">
        <f>VLOOKUP(VALUE(D2411),$D$3:F$106,3,FALSE)</f>
        <v>SPED Aides</v>
      </c>
      <c r="C2411" t="s">
        <v>314</v>
      </c>
      <c r="D2411">
        <v>829</v>
      </c>
      <c r="E2411" t="s">
        <v>853</v>
      </c>
      <c r="F2411" t="s">
        <v>316</v>
      </c>
      <c r="G2411">
        <v>5</v>
      </c>
      <c r="H2411" s="502">
        <v>51000</v>
      </c>
      <c r="I2411" s="415">
        <v>207226.25172200002</v>
      </c>
      <c r="J2411" s="415">
        <v>50475.69</v>
      </c>
      <c r="K2411" s="415">
        <v>66763.009999999995</v>
      </c>
      <c r="L2411" s="415">
        <v>54387.92</v>
      </c>
      <c r="M2411" s="415">
        <v>86727.48</v>
      </c>
      <c r="N2411" s="415">
        <v>0</v>
      </c>
      <c r="O2411" s="415">
        <v>0</v>
      </c>
      <c r="P2411" s="415">
        <v>24651.599999999999</v>
      </c>
      <c r="Q2411" s="481">
        <f t="shared" si="83"/>
        <v>-156750.56172200001</v>
      </c>
    </row>
    <row r="2412" spans="1:17" outlineLevel="2" x14ac:dyDescent="0.3">
      <c r="A2412" s="366" t="str">
        <f>IFERROR(VLOOKUP(RIGHT(E2412,3)+0,[1]SchLocTable!$A$2:$B$47,2,FALSE)," ")</f>
        <v>Columbus</v>
      </c>
      <c r="B2412" s="366" t="str">
        <f>VLOOKUP(VALUE(D2412),$D$3:F$106,3,FALSE)</f>
        <v>SPED Aides</v>
      </c>
      <c r="C2412" t="s">
        <v>314</v>
      </c>
      <c r="D2412">
        <v>829</v>
      </c>
      <c r="E2412" t="s">
        <v>853</v>
      </c>
      <c r="F2412" t="s">
        <v>360</v>
      </c>
      <c r="G2412" t="s">
        <v>319</v>
      </c>
      <c r="H2412" s="502">
        <v>52920</v>
      </c>
      <c r="I2412" s="415">
        <v>0</v>
      </c>
      <c r="J2412" s="415">
        <v>500</v>
      </c>
      <c r="K2412" s="415">
        <v>500</v>
      </c>
      <c r="L2412" s="415">
        <v>750</v>
      </c>
      <c r="M2412" s="415">
        <v>958.35</v>
      </c>
      <c r="N2412" s="415">
        <v>0</v>
      </c>
      <c r="O2412" s="415">
        <v>0</v>
      </c>
      <c r="P2412" s="415">
        <v>0</v>
      </c>
      <c r="Q2412" s="481">
        <f t="shared" si="83"/>
        <v>500</v>
      </c>
    </row>
    <row r="2413" spans="1:17" outlineLevel="2" x14ac:dyDescent="0.3">
      <c r="A2413" s="366" t="str">
        <f>IFERROR(VLOOKUP(RIGHT(E2413,3)+0,[1]SchLocTable!$A$2:$B$47,2,FALSE)," ")</f>
        <v>Columbus</v>
      </c>
      <c r="B2413" s="366" t="str">
        <f>VLOOKUP(VALUE(D2413),$D$3:F$106,3,FALSE)</f>
        <v>SPED Aides</v>
      </c>
      <c r="C2413" t="s">
        <v>314</v>
      </c>
      <c r="D2413">
        <v>829</v>
      </c>
      <c r="E2413" t="s">
        <v>853</v>
      </c>
      <c r="F2413" t="s">
        <v>321</v>
      </c>
      <c r="G2413" t="s">
        <v>319</v>
      </c>
      <c r="H2413" s="502">
        <v>52917</v>
      </c>
      <c r="I2413" s="415">
        <v>47760.383999999998</v>
      </c>
      <c r="J2413" s="415">
        <v>13201.21</v>
      </c>
      <c r="K2413" s="415">
        <v>11590.53</v>
      </c>
      <c r="L2413" s="415">
        <v>0</v>
      </c>
      <c r="M2413" s="415">
        <v>8624.17</v>
      </c>
      <c r="N2413" s="415">
        <v>0</v>
      </c>
      <c r="O2413" s="415">
        <v>0</v>
      </c>
      <c r="P2413" s="415">
        <v>2367.8200000000002</v>
      </c>
      <c r="Q2413" s="481">
        <f t="shared" si="83"/>
        <v>-34559.173999999999</v>
      </c>
    </row>
    <row r="2414" spans="1:17" outlineLevel="2" x14ac:dyDescent="0.3">
      <c r="A2414" s="366" t="str">
        <f>IFERROR(VLOOKUP(RIGHT(E2414,3)+0,[1]SchLocTable!$A$2:$B$47,2,FALSE)," ")</f>
        <v>Columbus</v>
      </c>
      <c r="B2414" s="366" t="str">
        <f>VLOOKUP(VALUE(D2414),$D$3:F$106,3,FALSE)</f>
        <v>SPED Aides</v>
      </c>
      <c r="C2414" t="s">
        <v>314</v>
      </c>
      <c r="D2414">
        <v>829</v>
      </c>
      <c r="E2414" t="s">
        <v>853</v>
      </c>
      <c r="F2414" t="s">
        <v>318</v>
      </c>
      <c r="G2414" t="s">
        <v>319</v>
      </c>
      <c r="H2414" s="502">
        <v>51140</v>
      </c>
      <c r="I2414" s="415">
        <v>1260</v>
      </c>
      <c r="J2414" s="415">
        <v>0</v>
      </c>
      <c r="K2414" s="415">
        <v>1190</v>
      </c>
      <c r="L2414" s="415">
        <v>3080</v>
      </c>
      <c r="M2414" s="415">
        <v>0</v>
      </c>
      <c r="N2414" s="415">
        <v>0</v>
      </c>
      <c r="O2414" s="415">
        <v>0</v>
      </c>
      <c r="P2414" s="415">
        <v>0</v>
      </c>
      <c r="Q2414" s="481">
        <f t="shared" si="83"/>
        <v>-1260</v>
      </c>
    </row>
    <row r="2415" spans="1:17" outlineLevel="2" x14ac:dyDescent="0.3">
      <c r="A2415" s="366" t="str">
        <f>IFERROR(VLOOKUP(RIGHT(E2415,3)+0,[1]SchLocTable!$A$2:$B$47,2,FALSE)," ")</f>
        <v>Columbus</v>
      </c>
      <c r="B2415" s="366" t="str">
        <f>VLOOKUP(VALUE(D2415),$D$3:F$106,3,FALSE)</f>
        <v>SPED Aides</v>
      </c>
      <c r="C2415" t="s">
        <v>314</v>
      </c>
      <c r="D2415">
        <v>829</v>
      </c>
      <c r="E2415" t="s">
        <v>853</v>
      </c>
      <c r="F2415" t="s">
        <v>320</v>
      </c>
      <c r="G2415" t="s">
        <v>319</v>
      </c>
      <c r="H2415" s="502">
        <v>52360</v>
      </c>
      <c r="I2415" s="415">
        <v>3004.780649969</v>
      </c>
      <c r="J2415" s="415">
        <v>716.47</v>
      </c>
      <c r="K2415" s="415">
        <v>970.36</v>
      </c>
      <c r="L2415" s="415">
        <v>844.17</v>
      </c>
      <c r="M2415" s="415">
        <v>1207.32</v>
      </c>
      <c r="N2415" s="415">
        <v>0</v>
      </c>
      <c r="O2415" s="415">
        <v>0</v>
      </c>
      <c r="P2415" s="415">
        <v>141.24</v>
      </c>
      <c r="Q2415" s="481">
        <f t="shared" si="83"/>
        <v>-2288.3106499690002</v>
      </c>
    </row>
    <row r="2416" spans="1:17" outlineLevel="2" x14ac:dyDescent="0.3">
      <c r="A2416" s="366" t="str">
        <f>IFERROR(VLOOKUP(RIGHT(E2416,3)+0,[1]SchLocTable!$A$2:$B$47,2,FALSE)," ")</f>
        <v>Columbus</v>
      </c>
      <c r="B2416" s="366" t="str">
        <f>VLOOKUP(VALUE(D2416),$D$3:F$106,3,FALSE)</f>
        <v>SPED Aides</v>
      </c>
      <c r="C2416" t="s">
        <v>314</v>
      </c>
      <c r="D2416">
        <v>829</v>
      </c>
      <c r="E2416" t="s">
        <v>853</v>
      </c>
      <c r="F2416" t="s">
        <v>392</v>
      </c>
      <c r="G2416" t="s">
        <v>319</v>
      </c>
      <c r="H2416" s="502">
        <v>52504</v>
      </c>
      <c r="I2416" s="415">
        <v>42997.615107831603</v>
      </c>
      <c r="J2416" s="415">
        <v>10488.84</v>
      </c>
      <c r="K2416" s="415">
        <v>14220.67</v>
      </c>
      <c r="L2416" s="415">
        <v>11720.25</v>
      </c>
      <c r="M2416" s="415">
        <v>13556.9</v>
      </c>
      <c r="N2416" s="415">
        <v>0</v>
      </c>
      <c r="O2416" s="415">
        <v>0</v>
      </c>
      <c r="P2416" s="415">
        <v>1492.75</v>
      </c>
      <c r="Q2416" s="481">
        <f t="shared" si="83"/>
        <v>-32508.775107831603</v>
      </c>
    </row>
    <row r="2417" spans="1:17" outlineLevel="2" x14ac:dyDescent="0.3">
      <c r="A2417" s="366" t="str">
        <f>IFERROR(VLOOKUP(RIGHT(E2417,3)+0,[1]SchLocTable!$A$2:$B$47,2,FALSE)," ")</f>
        <v>Columbus</v>
      </c>
      <c r="B2417" s="366" t="str">
        <f>VLOOKUP(VALUE(D2417),$D$3:F$106,3,FALSE)</f>
        <v>SPED Aides</v>
      </c>
      <c r="C2417" t="s">
        <v>314</v>
      </c>
      <c r="D2417">
        <v>829</v>
      </c>
      <c r="E2417" t="s">
        <v>853</v>
      </c>
      <c r="F2417" t="s">
        <v>324</v>
      </c>
      <c r="G2417" t="s">
        <v>319</v>
      </c>
      <c r="H2417" s="502">
        <v>52385</v>
      </c>
      <c r="I2417" s="415">
        <v>0</v>
      </c>
      <c r="J2417" s="415">
        <v>0</v>
      </c>
      <c r="K2417" s="415">
        <v>0</v>
      </c>
      <c r="L2417" s="415">
        <v>0</v>
      </c>
      <c r="M2417" s="415">
        <v>1396.39</v>
      </c>
      <c r="N2417" s="415">
        <v>0</v>
      </c>
      <c r="O2417" s="415">
        <v>0</v>
      </c>
      <c r="P2417" s="415">
        <v>0</v>
      </c>
      <c r="Q2417" s="481">
        <f t="shared" si="83"/>
        <v>0</v>
      </c>
    </row>
    <row r="2418" spans="1:17" outlineLevel="2" x14ac:dyDescent="0.3">
      <c r="A2418" s="366" t="str">
        <f>IFERROR(VLOOKUP(RIGHT(E2418,3)+0,[1]SchLocTable!$A$2:$B$47,2,FALSE)," ")</f>
        <v>Edison</v>
      </c>
      <c r="B2418" s="366" t="str">
        <f>VLOOKUP(VALUE(D2418),$D$3:F$106,3,FALSE)</f>
        <v>SPED Aides</v>
      </c>
      <c r="C2418" t="s">
        <v>314</v>
      </c>
      <c r="D2418">
        <v>829</v>
      </c>
      <c r="E2418" t="s">
        <v>854</v>
      </c>
      <c r="F2418" t="s">
        <v>316</v>
      </c>
      <c r="G2418" t="s">
        <v>319</v>
      </c>
      <c r="H2418" s="502">
        <v>51000</v>
      </c>
      <c r="I2418" s="415">
        <v>0</v>
      </c>
      <c r="J2418" s="415">
        <v>7933.2</v>
      </c>
      <c r="K2418" s="415">
        <v>34957.08</v>
      </c>
      <c r="L2418" s="415">
        <v>56078.37</v>
      </c>
      <c r="M2418" s="415">
        <v>85597.96</v>
      </c>
      <c r="N2418" s="415">
        <v>83824.149999999994</v>
      </c>
      <c r="O2418" s="415">
        <v>84288.58</v>
      </c>
      <c r="P2418" s="415">
        <v>95437.1</v>
      </c>
      <c r="Q2418" s="481">
        <f t="shared" si="83"/>
        <v>7933.2</v>
      </c>
    </row>
    <row r="2419" spans="1:17" outlineLevel="2" x14ac:dyDescent="0.3">
      <c r="A2419" s="366" t="str">
        <f>IFERROR(VLOOKUP(RIGHT(E2419,3)+0,[1]SchLocTable!$A$2:$B$47,2,FALSE)," ")</f>
        <v>Edison</v>
      </c>
      <c r="B2419" s="366" t="str">
        <f>VLOOKUP(VALUE(D2419),$D$3:F$106,3,FALSE)</f>
        <v>SPED Aides</v>
      </c>
      <c r="C2419" t="s">
        <v>314</v>
      </c>
      <c r="D2419">
        <v>829</v>
      </c>
      <c r="E2419" t="s">
        <v>854</v>
      </c>
      <c r="F2419" t="s">
        <v>321</v>
      </c>
      <c r="G2419" t="s">
        <v>319</v>
      </c>
      <c r="H2419" s="502">
        <v>52917</v>
      </c>
      <c r="I2419" s="415">
        <v>0</v>
      </c>
      <c r="J2419" s="415">
        <v>2461.6</v>
      </c>
      <c r="K2419" s="415">
        <v>9777.02</v>
      </c>
      <c r="L2419" s="415">
        <v>15713.23</v>
      </c>
      <c r="M2419" s="415">
        <v>42340.59</v>
      </c>
      <c r="N2419" s="415">
        <v>39081.75</v>
      </c>
      <c r="O2419" s="415">
        <v>37509.31</v>
      </c>
      <c r="P2419" s="415">
        <v>36292.58</v>
      </c>
      <c r="Q2419" s="481">
        <f t="shared" si="83"/>
        <v>2461.6</v>
      </c>
    </row>
    <row r="2420" spans="1:17" outlineLevel="2" x14ac:dyDescent="0.3">
      <c r="A2420" s="366" t="str">
        <f>IFERROR(VLOOKUP(RIGHT(E2420,3)+0,[1]SchLocTable!$A$2:$B$47,2,FALSE)," ")</f>
        <v>Edison</v>
      </c>
      <c r="B2420" s="366" t="str">
        <f>VLOOKUP(VALUE(D2420),$D$3:F$106,3,FALSE)</f>
        <v>SPED Aides</v>
      </c>
      <c r="C2420" t="s">
        <v>314</v>
      </c>
      <c r="D2420">
        <v>829</v>
      </c>
      <c r="E2420" t="s">
        <v>854</v>
      </c>
      <c r="F2420" t="s">
        <v>318</v>
      </c>
      <c r="G2420" t="s">
        <v>319</v>
      </c>
      <c r="H2420" s="502">
        <v>51140</v>
      </c>
      <c r="I2420" s="415">
        <v>0</v>
      </c>
      <c r="J2420" s="415">
        <v>0</v>
      </c>
      <c r="K2420" s="415">
        <v>2870</v>
      </c>
      <c r="L2420" s="415">
        <v>3710</v>
      </c>
      <c r="M2420" s="415">
        <v>2240</v>
      </c>
      <c r="N2420" s="415">
        <v>2100</v>
      </c>
      <c r="O2420" s="415">
        <v>1960</v>
      </c>
      <c r="P2420" s="415">
        <v>1820</v>
      </c>
      <c r="Q2420" s="481">
        <f t="shared" si="83"/>
        <v>0</v>
      </c>
    </row>
    <row r="2421" spans="1:17" outlineLevel="2" x14ac:dyDescent="0.3">
      <c r="A2421" s="366" t="str">
        <f>IFERROR(VLOOKUP(RIGHT(E2421,3)+0,[1]SchLocTable!$A$2:$B$47,2,FALSE)," ")</f>
        <v>Edison</v>
      </c>
      <c r="B2421" s="366" t="str">
        <f>VLOOKUP(VALUE(D2421),$D$3:F$106,3,FALSE)</f>
        <v>SPED Aides</v>
      </c>
      <c r="C2421" t="s">
        <v>314</v>
      </c>
      <c r="D2421">
        <v>829</v>
      </c>
      <c r="E2421" t="s">
        <v>854</v>
      </c>
      <c r="F2421" t="s">
        <v>320</v>
      </c>
      <c r="G2421" t="s">
        <v>319</v>
      </c>
      <c r="H2421" s="502">
        <v>52360</v>
      </c>
      <c r="I2421" s="415">
        <v>0</v>
      </c>
      <c r="J2421" s="415">
        <v>103.54</v>
      </c>
      <c r="K2421" s="415">
        <v>533.87</v>
      </c>
      <c r="L2421" s="415">
        <v>792.79</v>
      </c>
      <c r="M2421" s="415">
        <v>1062.54</v>
      </c>
      <c r="N2421" s="415">
        <v>1066.17</v>
      </c>
      <c r="O2421" s="415">
        <v>1079.8499999999999</v>
      </c>
      <c r="P2421" s="415">
        <v>1042.56</v>
      </c>
      <c r="Q2421" s="481">
        <f t="shared" si="83"/>
        <v>103.54</v>
      </c>
    </row>
    <row r="2422" spans="1:17" outlineLevel="2" x14ac:dyDescent="0.3">
      <c r="A2422" s="366" t="str">
        <f>IFERROR(VLOOKUP(RIGHT(E2422,3)+0,[1]SchLocTable!$A$2:$B$47,2,FALSE)," ")</f>
        <v>Edison</v>
      </c>
      <c r="B2422" s="366" t="str">
        <f>VLOOKUP(VALUE(D2422),$D$3:F$106,3,FALSE)</f>
        <v>SPED Aides</v>
      </c>
      <c r="C2422" t="s">
        <v>314</v>
      </c>
      <c r="D2422">
        <v>829</v>
      </c>
      <c r="E2422" t="s">
        <v>854</v>
      </c>
      <c r="F2422" t="s">
        <v>392</v>
      </c>
      <c r="G2422" t="s">
        <v>319</v>
      </c>
      <c r="H2422" s="502">
        <v>52504</v>
      </c>
      <c r="I2422" s="415">
        <v>0</v>
      </c>
      <c r="J2422" s="415">
        <v>1648.52</v>
      </c>
      <c r="K2422" s="415">
        <v>8015.3</v>
      </c>
      <c r="L2422" s="415">
        <v>12190.79</v>
      </c>
      <c r="M2422" s="415">
        <v>18916.21</v>
      </c>
      <c r="N2422" s="415">
        <v>16409</v>
      </c>
      <c r="O2422" s="415">
        <v>14186.27</v>
      </c>
      <c r="P2422" s="415">
        <v>11851.16</v>
      </c>
      <c r="Q2422" s="481">
        <f t="shared" si="83"/>
        <v>1648.52</v>
      </c>
    </row>
    <row r="2423" spans="1:17" outlineLevel="2" x14ac:dyDescent="0.3">
      <c r="A2423" s="366" t="str">
        <f>IFERROR(VLOOKUP(RIGHT(E2423,3)+0,[1]SchLocTable!$A$2:$B$47,2,FALSE)," ")</f>
        <v>Marin</v>
      </c>
      <c r="B2423" s="366" t="str">
        <f>VLOOKUP(VALUE(D2423),$D$3:F$106,3,FALSE)</f>
        <v>SPED Aides</v>
      </c>
      <c r="C2423" t="s">
        <v>314</v>
      </c>
      <c r="D2423">
        <v>829</v>
      </c>
      <c r="E2423" t="s">
        <v>855</v>
      </c>
      <c r="F2423" t="s">
        <v>316</v>
      </c>
      <c r="G2423" t="s">
        <v>319</v>
      </c>
      <c r="H2423" s="502">
        <v>51000</v>
      </c>
      <c r="I2423" s="415">
        <v>40000</v>
      </c>
      <c r="J2423" s="415">
        <v>0</v>
      </c>
      <c r="K2423" s="415">
        <v>0</v>
      </c>
      <c r="L2423" s="415">
        <v>36618.39</v>
      </c>
      <c r="M2423" s="415">
        <v>27317.16</v>
      </c>
      <c r="N2423" s="415">
        <v>0</v>
      </c>
      <c r="O2423" s="415">
        <v>0</v>
      </c>
      <c r="P2423" s="415">
        <v>0</v>
      </c>
      <c r="Q2423" s="481">
        <f t="shared" si="83"/>
        <v>-40000</v>
      </c>
    </row>
    <row r="2424" spans="1:17" outlineLevel="2" x14ac:dyDescent="0.3">
      <c r="A2424" s="366" t="str">
        <f>IFERROR(VLOOKUP(RIGHT(E2424,3)+0,[1]SchLocTable!$A$2:$B$47,2,FALSE)," ")</f>
        <v>Marin</v>
      </c>
      <c r="B2424" s="366" t="str">
        <f>VLOOKUP(VALUE(D2424),$D$3:F$106,3,FALSE)</f>
        <v>SPED Aides</v>
      </c>
      <c r="C2424" t="s">
        <v>314</v>
      </c>
      <c r="D2424">
        <v>829</v>
      </c>
      <c r="E2424" t="s">
        <v>855</v>
      </c>
      <c r="F2424" t="s">
        <v>360</v>
      </c>
      <c r="G2424" t="s">
        <v>319</v>
      </c>
      <c r="H2424" s="502">
        <v>52920</v>
      </c>
      <c r="I2424" s="415">
        <v>0</v>
      </c>
      <c r="J2424" s="415">
        <v>0</v>
      </c>
      <c r="K2424" s="415">
        <v>0</v>
      </c>
      <c r="L2424" s="415">
        <v>500</v>
      </c>
      <c r="M2424" s="415">
        <v>458.35</v>
      </c>
      <c r="N2424" s="415">
        <v>0</v>
      </c>
      <c r="O2424" s="415">
        <v>0</v>
      </c>
      <c r="P2424" s="415">
        <v>0</v>
      </c>
      <c r="Q2424" s="481">
        <f t="shared" si="83"/>
        <v>0</v>
      </c>
    </row>
    <row r="2425" spans="1:17" outlineLevel="2" x14ac:dyDescent="0.3">
      <c r="A2425" s="366" t="str">
        <f>IFERROR(VLOOKUP(RIGHT(E2425,3)+0,[1]SchLocTable!$A$2:$B$47,2,FALSE)," ")</f>
        <v>Marin</v>
      </c>
      <c r="B2425" s="366" t="str">
        <f>VLOOKUP(VALUE(D2425),$D$3:F$106,3,FALSE)</f>
        <v>SPED Aides</v>
      </c>
      <c r="C2425" t="s">
        <v>314</v>
      </c>
      <c r="D2425">
        <v>829</v>
      </c>
      <c r="E2425" t="s">
        <v>855</v>
      </c>
      <c r="F2425" t="s">
        <v>320</v>
      </c>
      <c r="G2425" t="s">
        <v>319</v>
      </c>
      <c r="H2425" s="502">
        <v>52360</v>
      </c>
      <c r="I2425" s="415">
        <v>580</v>
      </c>
      <c r="J2425" s="415">
        <v>0</v>
      </c>
      <c r="K2425" s="415">
        <v>0</v>
      </c>
      <c r="L2425" s="415">
        <v>538.22</v>
      </c>
      <c r="M2425" s="415">
        <v>402.74</v>
      </c>
      <c r="N2425" s="415">
        <v>0</v>
      </c>
      <c r="O2425" s="415">
        <v>0</v>
      </c>
      <c r="P2425" s="415">
        <v>0</v>
      </c>
      <c r="Q2425" s="481">
        <f t="shared" si="83"/>
        <v>-580</v>
      </c>
    </row>
    <row r="2426" spans="1:17" outlineLevel="2" x14ac:dyDescent="0.3">
      <c r="A2426" s="366" t="str">
        <f>IFERROR(VLOOKUP(RIGHT(E2426,3)+0,[1]SchLocTable!$A$2:$B$47,2,FALSE)," ")</f>
        <v>Marin</v>
      </c>
      <c r="B2426" s="366" t="str">
        <f>VLOOKUP(VALUE(D2426),$D$3:F$106,3,FALSE)</f>
        <v>SPED Aides</v>
      </c>
      <c r="C2426" t="s">
        <v>314</v>
      </c>
      <c r="D2426">
        <v>829</v>
      </c>
      <c r="E2426" t="s">
        <v>855</v>
      </c>
      <c r="F2426" t="s">
        <v>392</v>
      </c>
      <c r="G2426" t="s">
        <v>319</v>
      </c>
      <c r="H2426" s="502">
        <v>52504</v>
      </c>
      <c r="I2426" s="415">
        <v>8296</v>
      </c>
      <c r="J2426" s="415">
        <v>0</v>
      </c>
      <c r="K2426" s="415">
        <v>0</v>
      </c>
      <c r="L2426" s="415">
        <v>7466.56</v>
      </c>
      <c r="M2426" s="415">
        <v>2053.83</v>
      </c>
      <c r="N2426" s="415">
        <v>0</v>
      </c>
      <c r="O2426" s="415">
        <v>0</v>
      </c>
      <c r="P2426" s="415">
        <v>0</v>
      </c>
      <c r="Q2426" s="481">
        <f t="shared" si="83"/>
        <v>-8296</v>
      </c>
    </row>
    <row r="2427" spans="1:17" outlineLevel="2" x14ac:dyDescent="0.3">
      <c r="A2427" s="366" t="str">
        <f>IFERROR(VLOOKUP(RIGHT(E2427,3)+0,[1]SchLocTable!$A$2:$B$47,2,FALSE)," ")</f>
        <v>Marin</v>
      </c>
      <c r="B2427" s="366" t="str">
        <f>VLOOKUP(VALUE(D2427),$D$3:F$106,3,FALSE)</f>
        <v>SPED Aides</v>
      </c>
      <c r="C2427" t="s">
        <v>314</v>
      </c>
      <c r="D2427">
        <v>829</v>
      </c>
      <c r="E2427" t="s">
        <v>855</v>
      </c>
      <c r="F2427" t="s">
        <v>324</v>
      </c>
      <c r="G2427" t="s">
        <v>319</v>
      </c>
      <c r="H2427" s="502">
        <v>52385</v>
      </c>
      <c r="I2427" s="415">
        <v>0</v>
      </c>
      <c r="J2427" s="415">
        <v>0</v>
      </c>
      <c r="K2427" s="415">
        <v>0</v>
      </c>
      <c r="L2427" s="415">
        <v>0</v>
      </c>
      <c r="M2427" s="415">
        <v>1112.4100000000001</v>
      </c>
      <c r="N2427" s="415">
        <v>0</v>
      </c>
      <c r="O2427" s="415">
        <v>0</v>
      </c>
      <c r="P2427" s="415">
        <v>0</v>
      </c>
      <c r="Q2427" s="481">
        <f t="shared" si="83"/>
        <v>0</v>
      </c>
    </row>
    <row r="2428" spans="1:17" outlineLevel="2" x14ac:dyDescent="0.3">
      <c r="A2428" s="366" t="str">
        <f>IFERROR(VLOOKUP(RIGHT(E2428,3)+0,[1]SchLocTable!$A$2:$B$47,2,FALSE)," ")</f>
        <v>Hall</v>
      </c>
      <c r="B2428" s="366" t="str">
        <f>VLOOKUP(VALUE(D2428),$D$3:F$106,3,FALSE)</f>
        <v>SPED Aides</v>
      </c>
      <c r="C2428" t="s">
        <v>314</v>
      </c>
      <c r="D2428">
        <v>829</v>
      </c>
      <c r="E2428" t="s">
        <v>1323</v>
      </c>
      <c r="F2428" t="s">
        <v>316</v>
      </c>
      <c r="G2428" t="s">
        <v>319</v>
      </c>
      <c r="H2428" s="502">
        <v>51000</v>
      </c>
      <c r="I2428" s="415">
        <v>80000</v>
      </c>
      <c r="J2428" s="415">
        <v>0</v>
      </c>
      <c r="K2428" s="415"/>
      <c r="L2428" s="415">
        <v>0</v>
      </c>
      <c r="M2428" s="415">
        <v>0</v>
      </c>
      <c r="N2428" s="415">
        <v>0</v>
      </c>
      <c r="O2428" s="415">
        <v>0</v>
      </c>
      <c r="P2428" s="415">
        <v>0</v>
      </c>
      <c r="Q2428" s="481">
        <f t="shared" si="83"/>
        <v>-80000</v>
      </c>
    </row>
    <row r="2429" spans="1:17" outlineLevel="2" x14ac:dyDescent="0.3">
      <c r="A2429" s="366" t="str">
        <f>IFERROR(VLOOKUP(RIGHT(E2429,3)+0,[1]SchLocTable!$A$2:$B$47,2,FALSE)," ")</f>
        <v>Hall</v>
      </c>
      <c r="B2429" s="366" t="str">
        <f>VLOOKUP(VALUE(D2429),$D$3:F$106,3,FALSE)</f>
        <v>SPED Aides</v>
      </c>
      <c r="C2429" t="s">
        <v>314</v>
      </c>
      <c r="D2429">
        <v>829</v>
      </c>
      <c r="E2429" t="s">
        <v>1323</v>
      </c>
      <c r="F2429" t="s">
        <v>321</v>
      </c>
      <c r="G2429" t="s">
        <v>319</v>
      </c>
      <c r="H2429" s="502">
        <v>52917</v>
      </c>
      <c r="I2429" s="415">
        <v>32400</v>
      </c>
      <c r="J2429" s="415">
        <v>0</v>
      </c>
      <c r="K2429" s="415"/>
      <c r="L2429" s="415">
        <v>0</v>
      </c>
      <c r="M2429" s="415">
        <v>0</v>
      </c>
      <c r="N2429" s="415">
        <v>0</v>
      </c>
      <c r="O2429" s="415">
        <v>0</v>
      </c>
      <c r="P2429" s="415">
        <v>0</v>
      </c>
      <c r="Q2429" s="481">
        <f t="shared" si="83"/>
        <v>-32400</v>
      </c>
    </row>
    <row r="2430" spans="1:17" outlineLevel="2" x14ac:dyDescent="0.3">
      <c r="A2430" s="366" t="str">
        <f>IFERROR(VLOOKUP(RIGHT(E2430,3)+0,[1]SchLocTable!$A$2:$B$47,2,FALSE)," ")</f>
        <v>Hall</v>
      </c>
      <c r="B2430" s="366" t="str">
        <f>VLOOKUP(VALUE(D2430),$D$3:F$106,3,FALSE)</f>
        <v>SPED Aides</v>
      </c>
      <c r="C2430" t="s">
        <v>314</v>
      </c>
      <c r="D2430">
        <v>829</v>
      </c>
      <c r="E2430" t="s">
        <v>1323</v>
      </c>
      <c r="F2430" t="s">
        <v>320</v>
      </c>
      <c r="G2430" t="s">
        <v>319</v>
      </c>
      <c r="H2430" s="502">
        <v>52360</v>
      </c>
      <c r="I2430" s="415">
        <v>1160</v>
      </c>
      <c r="J2430" s="415">
        <v>0</v>
      </c>
      <c r="K2430" s="415"/>
      <c r="L2430" s="415">
        <v>0</v>
      </c>
      <c r="M2430" s="415">
        <v>0</v>
      </c>
      <c r="N2430" s="415">
        <v>0</v>
      </c>
      <c r="O2430" s="415">
        <v>0</v>
      </c>
      <c r="P2430" s="415">
        <v>0</v>
      </c>
      <c r="Q2430" s="481">
        <f t="shared" si="83"/>
        <v>-1160</v>
      </c>
    </row>
    <row r="2431" spans="1:17" outlineLevel="2" x14ac:dyDescent="0.3">
      <c r="A2431" s="366" t="str">
        <f>IFERROR(VLOOKUP(RIGHT(E2431,3)+0,[1]SchLocTable!$A$2:$B$47,2,FALSE)," ")</f>
        <v>Hall</v>
      </c>
      <c r="B2431" s="366" t="str">
        <f>VLOOKUP(VALUE(D2431),$D$3:F$106,3,FALSE)</f>
        <v>SPED Aides</v>
      </c>
      <c r="C2431" t="s">
        <v>314</v>
      </c>
      <c r="D2431">
        <v>829</v>
      </c>
      <c r="E2431" t="s">
        <v>1323</v>
      </c>
      <c r="F2431" t="s">
        <v>392</v>
      </c>
      <c r="G2431" t="s">
        <v>319</v>
      </c>
      <c r="H2431" s="502">
        <v>52504</v>
      </c>
      <c r="I2431" s="415">
        <v>16592</v>
      </c>
      <c r="J2431" s="415">
        <v>0</v>
      </c>
      <c r="K2431" s="415"/>
      <c r="L2431" s="415">
        <v>0</v>
      </c>
      <c r="M2431" s="415">
        <v>0</v>
      </c>
      <c r="N2431" s="415">
        <v>0</v>
      </c>
      <c r="O2431" s="415">
        <v>0</v>
      </c>
      <c r="P2431" s="415">
        <v>0</v>
      </c>
      <c r="Q2431" s="481">
        <f t="shared" ref="Q2431:Q2494" si="84">J2431-I2431</f>
        <v>-16592</v>
      </c>
    </row>
    <row r="2432" spans="1:17" outlineLevel="2" x14ac:dyDescent="0.3">
      <c r="A2432" s="366" t="str">
        <f>IFERROR(VLOOKUP(RIGHT(E2432,3)+0,[1]SchLocTable!$A$2:$B$47,2,FALSE)," ")</f>
        <v>Hallen</v>
      </c>
      <c r="B2432" s="366" t="str">
        <f>VLOOKUP(VALUE(D2432),$D$3:F$106,3,FALSE)</f>
        <v>SPED Aides</v>
      </c>
      <c r="C2432" t="s">
        <v>314</v>
      </c>
      <c r="D2432">
        <v>829</v>
      </c>
      <c r="E2432" t="s">
        <v>856</v>
      </c>
      <c r="F2432" t="s">
        <v>316</v>
      </c>
      <c r="G2432">
        <v>2</v>
      </c>
      <c r="H2432" s="502">
        <v>51000</v>
      </c>
      <c r="I2432" s="415">
        <v>87226.251722000001</v>
      </c>
      <c r="J2432" s="415">
        <v>42596</v>
      </c>
      <c r="K2432" s="415">
        <v>57939.360000000001</v>
      </c>
      <c r="L2432" s="415">
        <v>46599.45</v>
      </c>
      <c r="M2432" s="415">
        <v>73569.679999999993</v>
      </c>
      <c r="N2432" s="415">
        <v>40225.56</v>
      </c>
      <c r="O2432" s="415">
        <v>41025.519999999997</v>
      </c>
      <c r="P2432" s="415">
        <v>52644.95</v>
      </c>
      <c r="Q2432" s="481">
        <f t="shared" si="84"/>
        <v>-44630.251722000001</v>
      </c>
    </row>
    <row r="2433" spans="1:17" outlineLevel="2" x14ac:dyDescent="0.3">
      <c r="A2433" s="366" t="str">
        <f>IFERROR(VLOOKUP(RIGHT(E2433,3)+0,[1]SchLocTable!$A$2:$B$47,2,FALSE)," ")</f>
        <v>Hallen</v>
      </c>
      <c r="B2433" s="366" t="str">
        <f>VLOOKUP(VALUE(D2433),$D$3:F$106,3,FALSE)</f>
        <v>SPED Aides</v>
      </c>
      <c r="C2433" t="s">
        <v>314</v>
      </c>
      <c r="D2433">
        <v>829</v>
      </c>
      <c r="E2433" t="s">
        <v>856</v>
      </c>
      <c r="F2433" t="s">
        <v>321</v>
      </c>
      <c r="G2433" t="s">
        <v>319</v>
      </c>
      <c r="H2433" s="502">
        <v>52917</v>
      </c>
      <c r="I2433" s="415">
        <v>46249.055999999997</v>
      </c>
      <c r="J2433" s="415">
        <v>11488</v>
      </c>
      <c r="K2433" s="415">
        <v>14960.5</v>
      </c>
      <c r="L2433" s="415">
        <v>11617.94</v>
      </c>
      <c r="M2433" s="415">
        <v>18475.52</v>
      </c>
      <c r="N2433" s="415">
        <v>9670.16</v>
      </c>
      <c r="O2433" s="415">
        <v>9286.41</v>
      </c>
      <c r="P2433" s="415">
        <v>9041.99</v>
      </c>
      <c r="Q2433" s="481">
        <f t="shared" si="84"/>
        <v>-34761.055999999997</v>
      </c>
    </row>
    <row r="2434" spans="1:17" outlineLevel="2" x14ac:dyDescent="0.3">
      <c r="A2434" s="366" t="str">
        <f>IFERROR(VLOOKUP(RIGHT(E2434,3)+0,[1]SchLocTable!$A$2:$B$47,2,FALSE)," ")</f>
        <v>Hallen</v>
      </c>
      <c r="B2434" s="366" t="str">
        <f>VLOOKUP(VALUE(D2434),$D$3:F$106,3,FALSE)</f>
        <v>SPED Aides</v>
      </c>
      <c r="C2434" t="s">
        <v>314</v>
      </c>
      <c r="D2434">
        <v>829</v>
      </c>
      <c r="E2434" t="s">
        <v>856</v>
      </c>
      <c r="F2434" t="s">
        <v>318</v>
      </c>
      <c r="G2434" t="s">
        <v>319</v>
      </c>
      <c r="H2434" s="502">
        <v>51140</v>
      </c>
      <c r="I2434" s="415">
        <v>770</v>
      </c>
      <c r="J2434" s="415">
        <v>0</v>
      </c>
      <c r="K2434" s="415">
        <v>1680</v>
      </c>
      <c r="L2434" s="415">
        <v>3902.5</v>
      </c>
      <c r="M2434" s="415">
        <v>840</v>
      </c>
      <c r="N2434" s="415">
        <v>0</v>
      </c>
      <c r="O2434" s="415">
        <v>0</v>
      </c>
      <c r="P2434" s="415">
        <v>0</v>
      </c>
      <c r="Q2434" s="481">
        <f t="shared" si="84"/>
        <v>-770</v>
      </c>
    </row>
    <row r="2435" spans="1:17" outlineLevel="2" x14ac:dyDescent="0.3">
      <c r="A2435" s="366" t="str">
        <f>IFERROR(VLOOKUP(RIGHT(E2435,3)+0,[1]SchLocTable!$A$2:$B$47,2,FALSE)," ")</f>
        <v>Hallen</v>
      </c>
      <c r="B2435" s="366" t="str">
        <f>VLOOKUP(VALUE(D2435),$D$3:F$106,3,FALSE)</f>
        <v>SPED Aides</v>
      </c>
      <c r="C2435" t="s">
        <v>314</v>
      </c>
      <c r="D2435">
        <v>829</v>
      </c>
      <c r="E2435" t="s">
        <v>856</v>
      </c>
      <c r="F2435" t="s">
        <v>320</v>
      </c>
      <c r="G2435" t="s">
        <v>319</v>
      </c>
      <c r="H2435" s="502">
        <v>52360</v>
      </c>
      <c r="I2435" s="415">
        <v>1264.780649969</v>
      </c>
      <c r="J2435" s="415">
        <v>538</v>
      </c>
      <c r="K2435" s="415">
        <v>805.27</v>
      </c>
      <c r="L2435" s="415">
        <v>611.72</v>
      </c>
      <c r="M2435" s="415">
        <v>967.97</v>
      </c>
      <c r="N2435" s="415">
        <v>521.54</v>
      </c>
      <c r="O2435" s="415">
        <v>537.91999999999996</v>
      </c>
      <c r="P2435" s="415">
        <v>505.51</v>
      </c>
      <c r="Q2435" s="481">
        <f t="shared" si="84"/>
        <v>-726.78064996900002</v>
      </c>
    </row>
    <row r="2436" spans="1:17" outlineLevel="2" x14ac:dyDescent="0.3">
      <c r="A2436" s="366" t="str">
        <f>IFERROR(VLOOKUP(RIGHT(E2436,3)+0,[1]SchLocTable!$A$2:$B$47,2,FALSE)," ")</f>
        <v>Hallen</v>
      </c>
      <c r="B2436" s="366" t="str">
        <f>VLOOKUP(VALUE(D2436),$D$3:F$106,3,FALSE)</f>
        <v>SPED Aides</v>
      </c>
      <c r="C2436" t="s">
        <v>314</v>
      </c>
      <c r="D2436">
        <v>829</v>
      </c>
      <c r="E2436" t="s">
        <v>856</v>
      </c>
      <c r="F2436" t="s">
        <v>392</v>
      </c>
      <c r="G2436" t="s">
        <v>319</v>
      </c>
      <c r="H2436" s="502">
        <v>52504</v>
      </c>
      <c r="I2436" s="415">
        <v>18109.615107831603</v>
      </c>
      <c r="J2436" s="415">
        <v>9011</v>
      </c>
      <c r="K2436" s="415">
        <v>12502.35</v>
      </c>
      <c r="L2436" s="415">
        <v>10300.61</v>
      </c>
      <c r="M2436" s="415">
        <v>16019.51</v>
      </c>
      <c r="N2436" s="415">
        <v>7683.18</v>
      </c>
      <c r="O2436" s="415">
        <v>6748.5</v>
      </c>
      <c r="P2436" s="415">
        <v>5489.11</v>
      </c>
      <c r="Q2436" s="481">
        <f t="shared" si="84"/>
        <v>-9098.6151078316034</v>
      </c>
    </row>
    <row r="2437" spans="1:17" outlineLevel="2" x14ac:dyDescent="0.3">
      <c r="A2437" s="366" t="str">
        <f>IFERROR(VLOOKUP(RIGHT(E2437,3)+0,[1]SchLocTable!$A$2:$B$47,2,FALSE)," ")</f>
        <v>Hooker</v>
      </c>
      <c r="B2437" s="366" t="str">
        <f>VLOOKUP(VALUE(D2437),$D$3:F$106,3,FALSE)</f>
        <v>SPED Aides</v>
      </c>
      <c r="C2437" t="s">
        <v>314</v>
      </c>
      <c r="D2437">
        <v>829</v>
      </c>
      <c r="E2437" t="s">
        <v>857</v>
      </c>
      <c r="F2437" t="s">
        <v>316</v>
      </c>
      <c r="G2437" t="s">
        <v>319</v>
      </c>
      <c r="H2437" s="502">
        <v>51000</v>
      </c>
      <c r="I2437" s="415">
        <v>40000</v>
      </c>
      <c r="J2437" s="415">
        <v>0</v>
      </c>
      <c r="K2437" s="415">
        <v>1936.08</v>
      </c>
      <c r="L2437" s="415">
        <v>253.92</v>
      </c>
      <c r="M2437" s="415">
        <v>41704.519999999997</v>
      </c>
      <c r="N2437" s="415">
        <v>60999.31</v>
      </c>
      <c r="O2437" s="415">
        <v>86909.4</v>
      </c>
      <c r="P2437" s="415">
        <v>93286.58</v>
      </c>
      <c r="Q2437" s="481">
        <f t="shared" si="84"/>
        <v>-40000</v>
      </c>
    </row>
    <row r="2438" spans="1:17" outlineLevel="2" x14ac:dyDescent="0.3">
      <c r="A2438" s="366" t="str">
        <f>IFERROR(VLOOKUP(RIGHT(E2438,3)+0,[1]SchLocTable!$A$2:$B$47,2,FALSE)," ")</f>
        <v>Hooker</v>
      </c>
      <c r="B2438" s="366" t="str">
        <f>VLOOKUP(VALUE(D2438),$D$3:F$106,3,FALSE)</f>
        <v>SPED Aides</v>
      </c>
      <c r="C2438" t="s">
        <v>314</v>
      </c>
      <c r="D2438">
        <v>829</v>
      </c>
      <c r="E2438" t="s">
        <v>857</v>
      </c>
      <c r="F2438" t="s">
        <v>360</v>
      </c>
      <c r="G2438" t="s">
        <v>319</v>
      </c>
      <c r="H2438" s="502">
        <v>52920</v>
      </c>
      <c r="I2438" s="415">
        <v>0</v>
      </c>
      <c r="J2438" s="415">
        <v>0</v>
      </c>
      <c r="K2438" s="415">
        <v>0</v>
      </c>
      <c r="L2438" s="415">
        <v>0</v>
      </c>
      <c r="M2438" s="415">
        <v>0</v>
      </c>
      <c r="N2438" s="415">
        <v>250</v>
      </c>
      <c r="O2438" s="415">
        <v>500</v>
      </c>
      <c r="P2438" s="415">
        <v>500</v>
      </c>
      <c r="Q2438" s="481">
        <f t="shared" si="84"/>
        <v>0</v>
      </c>
    </row>
    <row r="2439" spans="1:17" outlineLevel="2" x14ac:dyDescent="0.3">
      <c r="A2439" s="366" t="str">
        <f>IFERROR(VLOOKUP(RIGHT(E2439,3)+0,[1]SchLocTable!$A$2:$B$47,2,FALSE)," ")</f>
        <v>Hooker</v>
      </c>
      <c r="B2439" s="366" t="str">
        <f>VLOOKUP(VALUE(D2439),$D$3:F$106,3,FALSE)</f>
        <v>SPED Aides</v>
      </c>
      <c r="C2439" t="s">
        <v>314</v>
      </c>
      <c r="D2439">
        <v>829</v>
      </c>
      <c r="E2439" t="s">
        <v>857</v>
      </c>
      <c r="F2439" t="s">
        <v>321</v>
      </c>
      <c r="G2439" t="s">
        <v>319</v>
      </c>
      <c r="H2439" s="502">
        <v>52917</v>
      </c>
      <c r="I2439" s="415">
        <v>32400</v>
      </c>
      <c r="J2439" s="415">
        <v>0</v>
      </c>
      <c r="K2439" s="415">
        <v>0</v>
      </c>
      <c r="L2439" s="415">
        <v>74.900000000000006</v>
      </c>
      <c r="M2439" s="415">
        <v>25563.8</v>
      </c>
      <c r="N2439" s="415">
        <v>21508.75</v>
      </c>
      <c r="O2439" s="415">
        <v>27382.18</v>
      </c>
      <c r="P2439" s="415">
        <v>27103.53</v>
      </c>
      <c r="Q2439" s="481">
        <f t="shared" si="84"/>
        <v>-32400</v>
      </c>
    </row>
    <row r="2440" spans="1:17" outlineLevel="2" x14ac:dyDescent="0.3">
      <c r="A2440" s="366" t="str">
        <f>IFERROR(VLOOKUP(RIGHT(E2440,3)+0,[1]SchLocTable!$A$2:$B$47,2,FALSE)," ")</f>
        <v>Hooker</v>
      </c>
      <c r="B2440" s="366" t="str">
        <f>VLOOKUP(VALUE(D2440),$D$3:F$106,3,FALSE)</f>
        <v>SPED Aides</v>
      </c>
      <c r="C2440" t="s">
        <v>314</v>
      </c>
      <c r="D2440">
        <v>829</v>
      </c>
      <c r="E2440" t="s">
        <v>857</v>
      </c>
      <c r="F2440" t="s">
        <v>318</v>
      </c>
      <c r="G2440" t="s">
        <v>319</v>
      </c>
      <c r="H2440" s="502">
        <v>51140</v>
      </c>
      <c r="I2440" s="415">
        <v>0</v>
      </c>
      <c r="J2440" s="415">
        <v>0</v>
      </c>
      <c r="K2440" s="415">
        <v>0</v>
      </c>
      <c r="L2440" s="415">
        <v>1295</v>
      </c>
      <c r="M2440" s="415">
        <v>2730</v>
      </c>
      <c r="N2440" s="415">
        <v>2590</v>
      </c>
      <c r="O2440" s="415">
        <v>2450</v>
      </c>
      <c r="P2440" s="415">
        <v>2310</v>
      </c>
      <c r="Q2440" s="481">
        <f t="shared" si="84"/>
        <v>0</v>
      </c>
    </row>
    <row r="2441" spans="1:17" outlineLevel="2" x14ac:dyDescent="0.3">
      <c r="A2441" s="366" t="str">
        <f>IFERROR(VLOOKUP(RIGHT(E2441,3)+0,[1]SchLocTable!$A$2:$B$47,2,FALSE)," ")</f>
        <v>Hooker</v>
      </c>
      <c r="B2441" s="366" t="str">
        <f>VLOOKUP(VALUE(D2441),$D$3:F$106,3,FALSE)</f>
        <v>SPED Aides</v>
      </c>
      <c r="C2441" t="s">
        <v>314</v>
      </c>
      <c r="D2441">
        <v>829</v>
      </c>
      <c r="E2441" t="s">
        <v>857</v>
      </c>
      <c r="F2441" t="s">
        <v>320</v>
      </c>
      <c r="G2441" t="s">
        <v>319</v>
      </c>
      <c r="H2441" s="502">
        <v>52360</v>
      </c>
      <c r="I2441" s="415">
        <v>580</v>
      </c>
      <c r="J2441" s="415">
        <v>0</v>
      </c>
      <c r="K2441" s="415">
        <v>28.07</v>
      </c>
      <c r="L2441" s="415">
        <v>21.88</v>
      </c>
      <c r="M2441" s="415">
        <v>523.72</v>
      </c>
      <c r="N2441" s="415">
        <v>830.07</v>
      </c>
      <c r="O2441" s="415">
        <v>1181.9000000000001</v>
      </c>
      <c r="P2441" s="415">
        <v>1068.82</v>
      </c>
      <c r="Q2441" s="481">
        <f t="shared" si="84"/>
        <v>-580</v>
      </c>
    </row>
    <row r="2442" spans="1:17" outlineLevel="2" x14ac:dyDescent="0.3">
      <c r="A2442" s="366" t="str">
        <f>IFERROR(VLOOKUP(RIGHT(E2442,3)+0,[1]SchLocTable!$A$2:$B$47,2,FALSE)," ")</f>
        <v>Hooker</v>
      </c>
      <c r="B2442" s="366" t="str">
        <f>VLOOKUP(VALUE(D2442),$D$3:F$106,3,FALSE)</f>
        <v>SPED Aides</v>
      </c>
      <c r="C2442" t="s">
        <v>314</v>
      </c>
      <c r="D2442">
        <v>829</v>
      </c>
      <c r="E2442" t="s">
        <v>857</v>
      </c>
      <c r="F2442" t="s">
        <v>392</v>
      </c>
      <c r="G2442" t="s">
        <v>319</v>
      </c>
      <c r="H2442" s="502">
        <v>52504</v>
      </c>
      <c r="I2442" s="415">
        <v>8296</v>
      </c>
      <c r="J2442" s="415">
        <v>0</v>
      </c>
      <c r="K2442" s="415">
        <v>398.64</v>
      </c>
      <c r="L2442" s="415">
        <v>315.82</v>
      </c>
      <c r="M2442" s="415">
        <v>9547.89</v>
      </c>
      <c r="N2442" s="415">
        <v>12126.94</v>
      </c>
      <c r="O2442" s="415">
        <v>14670.48</v>
      </c>
      <c r="P2442" s="415">
        <v>11614.22</v>
      </c>
      <c r="Q2442" s="481">
        <f t="shared" si="84"/>
        <v>-8296</v>
      </c>
    </row>
    <row r="2443" spans="1:17" outlineLevel="2" x14ac:dyDescent="0.3">
      <c r="A2443" s="366" t="str">
        <f>IFERROR(VLOOKUP(RIGHT(E2443,3)+0,[1]SchLocTable!$A$2:$B$47,2,FALSE)," ")</f>
        <v>Hooker</v>
      </c>
      <c r="B2443" s="366" t="str">
        <f>VLOOKUP(VALUE(D2443),$D$3:F$106,3,FALSE)</f>
        <v>SPED Aides</v>
      </c>
      <c r="C2443" t="s">
        <v>314</v>
      </c>
      <c r="D2443">
        <v>829</v>
      </c>
      <c r="E2443" t="s">
        <v>857</v>
      </c>
      <c r="F2443" t="s">
        <v>324</v>
      </c>
      <c r="G2443" t="s">
        <v>319</v>
      </c>
      <c r="H2443" s="502">
        <v>52385</v>
      </c>
      <c r="I2443" s="415">
        <v>0</v>
      </c>
      <c r="J2443" s="415">
        <v>0</v>
      </c>
      <c r="K2443" s="415">
        <v>0</v>
      </c>
      <c r="L2443" s="415">
        <v>0</v>
      </c>
      <c r="M2443" s="415">
        <v>6.3</v>
      </c>
      <c r="N2443" s="415">
        <v>0</v>
      </c>
      <c r="O2443" s="415">
        <v>0</v>
      </c>
      <c r="P2443" s="415">
        <v>0</v>
      </c>
      <c r="Q2443" s="481">
        <f t="shared" si="84"/>
        <v>0</v>
      </c>
    </row>
    <row r="2444" spans="1:17" outlineLevel="2" x14ac:dyDescent="0.3">
      <c r="A2444" s="366" t="str">
        <f>IFERROR(VLOOKUP(RIGHT(E2444,3)+0,[1]SchLocTable!$A$2:$B$47,2,FALSE)," ")</f>
        <v>Batalla</v>
      </c>
      <c r="B2444" s="366" t="str">
        <f>VLOOKUP(VALUE(D2444),$D$3:F$106,3,FALSE)</f>
        <v>SPED Aides</v>
      </c>
      <c r="C2444" t="s">
        <v>314</v>
      </c>
      <c r="D2444">
        <v>829</v>
      </c>
      <c r="E2444" t="s">
        <v>858</v>
      </c>
      <c r="F2444" t="s">
        <v>316</v>
      </c>
      <c r="G2444">
        <v>7</v>
      </c>
      <c r="H2444" s="502">
        <v>51000</v>
      </c>
      <c r="I2444" s="415">
        <v>297750.85292900004</v>
      </c>
      <c r="J2444" s="415">
        <v>138583.29</v>
      </c>
      <c r="K2444" s="415">
        <v>189276.25</v>
      </c>
      <c r="L2444" s="415">
        <v>233233.86</v>
      </c>
      <c r="M2444" s="415">
        <v>223256.32000000001</v>
      </c>
      <c r="N2444" s="415">
        <v>277289</v>
      </c>
      <c r="O2444" s="415">
        <v>284803.09999999998</v>
      </c>
      <c r="P2444" s="415">
        <v>283430.08</v>
      </c>
      <c r="Q2444" s="481">
        <f t="shared" si="84"/>
        <v>-159167.56292900004</v>
      </c>
    </row>
    <row r="2445" spans="1:17" outlineLevel="2" x14ac:dyDescent="0.3">
      <c r="A2445" s="366" t="str">
        <f>IFERROR(VLOOKUP(RIGHT(E2445,3)+0,[1]SchLocTable!$A$2:$B$47,2,FALSE)," ")</f>
        <v>Batalla</v>
      </c>
      <c r="B2445" s="366" t="str">
        <f>VLOOKUP(VALUE(D2445),$D$3:F$106,3,FALSE)</f>
        <v>SPED Aides</v>
      </c>
      <c r="C2445" t="s">
        <v>314</v>
      </c>
      <c r="D2445">
        <v>829</v>
      </c>
      <c r="E2445" t="s">
        <v>858</v>
      </c>
      <c r="F2445" t="s">
        <v>360</v>
      </c>
      <c r="G2445" t="s">
        <v>319</v>
      </c>
      <c r="H2445" s="502">
        <v>52920</v>
      </c>
      <c r="I2445" s="415">
        <v>166.68</v>
      </c>
      <c r="J2445" s="415">
        <v>0</v>
      </c>
      <c r="K2445" s="415">
        <v>0</v>
      </c>
      <c r="L2445" s="415">
        <v>0</v>
      </c>
      <c r="M2445" s="415">
        <v>0</v>
      </c>
      <c r="N2445" s="415">
        <v>208.35</v>
      </c>
      <c r="O2445" s="415">
        <v>0</v>
      </c>
      <c r="P2445" s="415">
        <v>0</v>
      </c>
      <c r="Q2445" s="481">
        <f t="shared" si="84"/>
        <v>-166.68</v>
      </c>
    </row>
    <row r="2446" spans="1:17" outlineLevel="2" x14ac:dyDescent="0.3">
      <c r="A2446" s="366" t="str">
        <f>IFERROR(VLOOKUP(RIGHT(E2446,3)+0,[1]SchLocTable!$A$2:$B$47,2,FALSE)," ")</f>
        <v>Batalla</v>
      </c>
      <c r="B2446" s="366" t="str">
        <f>VLOOKUP(VALUE(D2446),$D$3:F$106,3,FALSE)</f>
        <v>SPED Aides</v>
      </c>
      <c r="C2446" t="s">
        <v>314</v>
      </c>
      <c r="D2446">
        <v>829</v>
      </c>
      <c r="E2446" t="s">
        <v>858</v>
      </c>
      <c r="F2446" t="s">
        <v>321</v>
      </c>
      <c r="G2446" t="s">
        <v>319</v>
      </c>
      <c r="H2446" s="502">
        <v>52917</v>
      </c>
      <c r="I2446" s="415">
        <v>79040.88</v>
      </c>
      <c r="J2446" s="415">
        <v>40986.17</v>
      </c>
      <c r="K2446" s="415">
        <v>51911.32</v>
      </c>
      <c r="L2446" s="415">
        <v>63358.67</v>
      </c>
      <c r="M2446" s="415">
        <v>65739.67</v>
      </c>
      <c r="N2446" s="415">
        <v>62499.29</v>
      </c>
      <c r="O2446" s="415">
        <v>63392.93</v>
      </c>
      <c r="P2446" s="415">
        <v>61308.54</v>
      </c>
      <c r="Q2446" s="481">
        <f t="shared" si="84"/>
        <v>-38054.710000000006</v>
      </c>
    </row>
    <row r="2447" spans="1:17" outlineLevel="2" x14ac:dyDescent="0.3">
      <c r="A2447" s="366" t="str">
        <f>IFERROR(VLOOKUP(RIGHT(E2447,3)+0,[1]SchLocTable!$A$2:$B$47,2,FALSE)," ")</f>
        <v>Batalla</v>
      </c>
      <c r="B2447" s="366" t="str">
        <f>VLOOKUP(VALUE(D2447),$D$3:F$106,3,FALSE)</f>
        <v>SPED Aides</v>
      </c>
      <c r="C2447" t="s">
        <v>314</v>
      </c>
      <c r="D2447">
        <v>829</v>
      </c>
      <c r="E2447" t="s">
        <v>858</v>
      </c>
      <c r="F2447" t="s">
        <v>318</v>
      </c>
      <c r="G2447" t="s">
        <v>319</v>
      </c>
      <c r="H2447" s="502">
        <v>51140</v>
      </c>
      <c r="I2447" s="415">
        <v>4200</v>
      </c>
      <c r="J2447" s="415">
        <v>0</v>
      </c>
      <c r="K2447" s="415">
        <v>5600</v>
      </c>
      <c r="L2447" s="415">
        <v>6440</v>
      </c>
      <c r="M2447" s="415">
        <v>5880</v>
      </c>
      <c r="N2447" s="415">
        <v>8400</v>
      </c>
      <c r="O2447" s="415">
        <v>7680</v>
      </c>
      <c r="P2447" s="415">
        <v>5370</v>
      </c>
      <c r="Q2447" s="481">
        <f t="shared" si="84"/>
        <v>-4200</v>
      </c>
    </row>
    <row r="2448" spans="1:17" outlineLevel="2" x14ac:dyDescent="0.3">
      <c r="A2448" s="366" t="str">
        <f>IFERROR(VLOOKUP(RIGHT(E2448,3)+0,[1]SchLocTable!$A$2:$B$47,2,FALSE)," ")</f>
        <v>Batalla</v>
      </c>
      <c r="B2448" s="366" t="str">
        <f>VLOOKUP(VALUE(D2448),$D$3:F$106,3,FALSE)</f>
        <v>SPED Aides</v>
      </c>
      <c r="C2448" t="s">
        <v>314</v>
      </c>
      <c r="D2448">
        <v>829</v>
      </c>
      <c r="E2448" t="s">
        <v>858</v>
      </c>
      <c r="F2448" t="s">
        <v>320</v>
      </c>
      <c r="G2448" t="s">
        <v>319</v>
      </c>
      <c r="H2448" s="502">
        <v>52360</v>
      </c>
      <c r="I2448" s="415">
        <v>4319.8042274705003</v>
      </c>
      <c r="J2448" s="415">
        <v>1972.69</v>
      </c>
      <c r="K2448" s="415">
        <v>2748.12</v>
      </c>
      <c r="L2448" s="415">
        <v>3178.54</v>
      </c>
      <c r="M2448" s="415">
        <v>3025.6</v>
      </c>
      <c r="N2448" s="415">
        <v>3928.88</v>
      </c>
      <c r="O2448" s="415">
        <v>4040.59</v>
      </c>
      <c r="P2448" s="415">
        <v>3785.69</v>
      </c>
      <c r="Q2448" s="481">
        <f t="shared" si="84"/>
        <v>-2347.1142274705003</v>
      </c>
    </row>
    <row r="2449" spans="1:17" outlineLevel="2" x14ac:dyDescent="0.3">
      <c r="A2449" s="366" t="str">
        <f>IFERROR(VLOOKUP(RIGHT(E2449,3)+0,[1]SchLocTable!$A$2:$B$47,2,FALSE)," ")</f>
        <v>Batalla</v>
      </c>
      <c r="B2449" s="366" t="str">
        <f>VLOOKUP(VALUE(D2449),$D$3:F$106,3,FALSE)</f>
        <v>SPED Aides</v>
      </c>
      <c r="C2449" t="s">
        <v>314</v>
      </c>
      <c r="D2449">
        <v>829</v>
      </c>
      <c r="E2449" t="s">
        <v>858</v>
      </c>
      <c r="F2449" t="s">
        <v>392</v>
      </c>
      <c r="G2449" t="s">
        <v>319</v>
      </c>
      <c r="H2449" s="502">
        <v>52504</v>
      </c>
      <c r="I2449" s="415">
        <v>61859.263342646205</v>
      </c>
      <c r="J2449" s="415">
        <v>28797.58</v>
      </c>
      <c r="K2449" s="415">
        <v>41092.449999999997</v>
      </c>
      <c r="L2449" s="415">
        <v>48640.9</v>
      </c>
      <c r="M2449" s="415">
        <v>45588.01</v>
      </c>
      <c r="N2449" s="415">
        <v>53508.86</v>
      </c>
      <c r="O2449" s="415">
        <v>47834.31</v>
      </c>
      <c r="P2449" s="415">
        <v>39159.06</v>
      </c>
      <c r="Q2449" s="481">
        <f t="shared" si="84"/>
        <v>-33061.683342646204</v>
      </c>
    </row>
    <row r="2450" spans="1:17" outlineLevel="2" x14ac:dyDescent="0.3">
      <c r="A2450" s="366" t="str">
        <f>IFERROR(VLOOKUP(RIGHT(E2450,3)+0,[1]SchLocTable!$A$2:$B$47,2,FALSE)," ")</f>
        <v>Batalla</v>
      </c>
      <c r="B2450" s="366" t="str">
        <f>VLOOKUP(VALUE(D2450),$D$3:F$106,3,FALSE)</f>
        <v>SPED Aides</v>
      </c>
      <c r="C2450" t="s">
        <v>314</v>
      </c>
      <c r="D2450">
        <v>829</v>
      </c>
      <c r="E2450" t="s">
        <v>858</v>
      </c>
      <c r="F2450" t="s">
        <v>324</v>
      </c>
      <c r="G2450" t="s">
        <v>319</v>
      </c>
      <c r="H2450" s="502">
        <v>52385</v>
      </c>
      <c r="I2450" s="415">
        <v>0</v>
      </c>
      <c r="J2450" s="415">
        <v>0</v>
      </c>
      <c r="K2450" s="415">
        <v>0</v>
      </c>
      <c r="L2450" s="415">
        <v>58.9</v>
      </c>
      <c r="M2450" s="415">
        <v>759.91</v>
      </c>
      <c r="N2450" s="415">
        <v>298.33</v>
      </c>
      <c r="O2450" s="415">
        <v>74.94</v>
      </c>
      <c r="P2450" s="415">
        <v>0</v>
      </c>
      <c r="Q2450" s="481">
        <f t="shared" si="84"/>
        <v>0</v>
      </c>
    </row>
    <row r="2451" spans="1:17" outlineLevel="2" x14ac:dyDescent="0.3">
      <c r="A2451" s="366" t="str">
        <f>IFERROR(VLOOKUP(RIGHT(E2451,3)+0,[1]SchLocTable!$A$2:$B$47,2,FALSE)," ")</f>
        <v>Park City Magnet</v>
      </c>
      <c r="B2451" s="366" t="str">
        <f>VLOOKUP(VALUE(D2451),$D$3:F$106,3,FALSE)</f>
        <v>SPED Aides</v>
      </c>
      <c r="C2451" t="s">
        <v>314</v>
      </c>
      <c r="D2451">
        <v>829</v>
      </c>
      <c r="E2451" t="s">
        <v>859</v>
      </c>
      <c r="F2451" t="s">
        <v>316</v>
      </c>
      <c r="G2451">
        <v>4</v>
      </c>
      <c r="H2451" s="502">
        <v>51000</v>
      </c>
      <c r="I2451" s="415">
        <v>152798.217779</v>
      </c>
      <c r="J2451" s="415">
        <v>71862.05</v>
      </c>
      <c r="K2451" s="415">
        <v>85112.38</v>
      </c>
      <c r="L2451" s="415">
        <v>18896.509999999998</v>
      </c>
      <c r="M2451" s="415">
        <v>95028.06</v>
      </c>
      <c r="N2451" s="415">
        <v>92158.31</v>
      </c>
      <c r="O2451" s="415">
        <v>90896.04</v>
      </c>
      <c r="P2451" s="415">
        <v>143140.89000000001</v>
      </c>
      <c r="Q2451" s="481">
        <f t="shared" si="84"/>
        <v>-80936.167778999996</v>
      </c>
    </row>
    <row r="2452" spans="1:17" outlineLevel="2" x14ac:dyDescent="0.3">
      <c r="A2452" s="366" t="str">
        <f>IFERROR(VLOOKUP(RIGHT(E2452,3)+0,[1]SchLocTable!$A$2:$B$47,2,FALSE)," ")</f>
        <v>Park City Magnet</v>
      </c>
      <c r="B2452" s="366" t="str">
        <f>VLOOKUP(VALUE(D2452),$D$3:F$106,3,FALSE)</f>
        <v>SPED Aides</v>
      </c>
      <c r="C2452" t="s">
        <v>314</v>
      </c>
      <c r="D2452">
        <v>829</v>
      </c>
      <c r="E2452" t="s">
        <v>859</v>
      </c>
      <c r="F2452" t="s">
        <v>360</v>
      </c>
      <c r="G2452" t="s">
        <v>319</v>
      </c>
      <c r="H2452" s="502">
        <v>52920</v>
      </c>
      <c r="I2452" s="415">
        <v>1000</v>
      </c>
      <c r="J2452" s="415">
        <v>500</v>
      </c>
      <c r="K2452" s="415">
        <v>750</v>
      </c>
      <c r="L2452" s="415">
        <v>1000</v>
      </c>
      <c r="M2452" s="415">
        <v>1000</v>
      </c>
      <c r="N2452" s="415">
        <v>166.68</v>
      </c>
      <c r="O2452" s="415">
        <v>0</v>
      </c>
      <c r="P2452" s="415">
        <v>0</v>
      </c>
      <c r="Q2452" s="481">
        <f t="shared" si="84"/>
        <v>-500</v>
      </c>
    </row>
    <row r="2453" spans="1:17" outlineLevel="2" x14ac:dyDescent="0.3">
      <c r="A2453" s="366" t="str">
        <f>IFERROR(VLOOKUP(RIGHT(E2453,3)+0,[1]SchLocTable!$A$2:$B$47,2,FALSE)," ")</f>
        <v>Park City Magnet</v>
      </c>
      <c r="B2453" s="366" t="str">
        <f>VLOOKUP(VALUE(D2453),$D$3:F$106,3,FALSE)</f>
        <v>SPED Aides</v>
      </c>
      <c r="C2453" t="s">
        <v>314</v>
      </c>
      <c r="D2453">
        <v>829</v>
      </c>
      <c r="E2453" t="s">
        <v>859</v>
      </c>
      <c r="F2453" t="s">
        <v>321</v>
      </c>
      <c r="G2453" t="s">
        <v>319</v>
      </c>
      <c r="H2453" s="502">
        <v>52917</v>
      </c>
      <c r="I2453" s="415">
        <v>32400</v>
      </c>
      <c r="J2453" s="415">
        <v>0</v>
      </c>
      <c r="K2453" s="415">
        <v>527.85</v>
      </c>
      <c r="L2453" s="415">
        <v>529.95000000000005</v>
      </c>
      <c r="M2453" s="415">
        <v>12567.55</v>
      </c>
      <c r="N2453" s="415">
        <v>29699.01</v>
      </c>
      <c r="O2453" s="415">
        <v>33134.18</v>
      </c>
      <c r="P2453" s="415">
        <v>55414.89</v>
      </c>
      <c r="Q2453" s="481">
        <f t="shared" si="84"/>
        <v>-32400</v>
      </c>
    </row>
    <row r="2454" spans="1:17" outlineLevel="2" x14ac:dyDescent="0.3">
      <c r="A2454" s="366" t="str">
        <f>IFERROR(VLOOKUP(RIGHT(E2454,3)+0,[1]SchLocTable!$A$2:$B$47,2,FALSE)," ")</f>
        <v>Park City Magnet</v>
      </c>
      <c r="B2454" s="366" t="str">
        <f>VLOOKUP(VALUE(D2454),$D$3:F$106,3,FALSE)</f>
        <v>SPED Aides</v>
      </c>
      <c r="C2454" t="s">
        <v>314</v>
      </c>
      <c r="D2454">
        <v>829</v>
      </c>
      <c r="E2454" t="s">
        <v>859</v>
      </c>
      <c r="F2454" t="s">
        <v>318</v>
      </c>
      <c r="G2454" t="s">
        <v>319</v>
      </c>
      <c r="H2454" s="502">
        <v>51140</v>
      </c>
      <c r="I2454" s="415">
        <v>0</v>
      </c>
      <c r="J2454" s="415">
        <v>0</v>
      </c>
      <c r="K2454" s="415">
        <v>0</v>
      </c>
      <c r="L2454" s="415">
        <v>3920</v>
      </c>
      <c r="M2454" s="415">
        <v>892.51</v>
      </c>
      <c r="N2454" s="415">
        <v>0</v>
      </c>
      <c r="O2454" s="415">
        <v>256.64</v>
      </c>
      <c r="P2454" s="415">
        <v>1405.76</v>
      </c>
      <c r="Q2454" s="481">
        <f t="shared" si="84"/>
        <v>0</v>
      </c>
    </row>
    <row r="2455" spans="1:17" outlineLevel="2" x14ac:dyDescent="0.3">
      <c r="A2455" s="366" t="str">
        <f>IFERROR(VLOOKUP(RIGHT(E2455,3)+0,[1]SchLocTable!$A$2:$B$47,2,FALSE)," ")</f>
        <v>Park City Magnet</v>
      </c>
      <c r="B2455" s="366" t="str">
        <f>VLOOKUP(VALUE(D2455),$D$3:F$106,3,FALSE)</f>
        <v>SPED Aides</v>
      </c>
      <c r="C2455" t="s">
        <v>314</v>
      </c>
      <c r="D2455">
        <v>829</v>
      </c>
      <c r="E2455" t="s">
        <v>859</v>
      </c>
      <c r="F2455" t="s">
        <v>320</v>
      </c>
      <c r="G2455" t="s">
        <v>319</v>
      </c>
      <c r="H2455" s="502">
        <v>52360</v>
      </c>
      <c r="I2455" s="415">
        <v>2230.0741577955</v>
      </c>
      <c r="J2455" s="415">
        <v>1041.99</v>
      </c>
      <c r="K2455" s="415">
        <v>1245</v>
      </c>
      <c r="L2455" s="415">
        <v>345.33</v>
      </c>
      <c r="M2455" s="415">
        <v>1292.6600000000001</v>
      </c>
      <c r="N2455" s="415">
        <v>1127.5999999999999</v>
      </c>
      <c r="O2455" s="415">
        <v>1182.67</v>
      </c>
      <c r="P2455" s="415">
        <v>1679.97</v>
      </c>
      <c r="Q2455" s="481">
        <f t="shared" si="84"/>
        <v>-1188.0841577955</v>
      </c>
    </row>
    <row r="2456" spans="1:17" outlineLevel="2" x14ac:dyDescent="0.3">
      <c r="A2456" s="366" t="str">
        <f>IFERROR(VLOOKUP(RIGHT(E2456,3)+0,[1]SchLocTable!$A$2:$B$47,2,FALSE)," ")</f>
        <v>Park City Magnet</v>
      </c>
      <c r="B2456" s="366" t="str">
        <f>VLOOKUP(VALUE(D2456),$D$3:F$106,3,FALSE)</f>
        <v>SPED Aides</v>
      </c>
      <c r="C2456" t="s">
        <v>314</v>
      </c>
      <c r="D2456">
        <v>829</v>
      </c>
      <c r="E2456" t="s">
        <v>859</v>
      </c>
      <c r="F2456" t="s">
        <v>392</v>
      </c>
      <c r="G2456" t="s">
        <v>319</v>
      </c>
      <c r="H2456" s="502">
        <v>52504</v>
      </c>
      <c r="I2456" s="415">
        <v>31943.2696544762</v>
      </c>
      <c r="J2456" s="415">
        <v>14900</v>
      </c>
      <c r="K2456" s="415">
        <v>13761.67</v>
      </c>
      <c r="L2456" s="415">
        <v>4654.8599999999997</v>
      </c>
      <c r="M2456" s="415">
        <v>12707.9</v>
      </c>
      <c r="N2456" s="415">
        <v>15601.24</v>
      </c>
      <c r="O2456" s="415">
        <v>14857.09</v>
      </c>
      <c r="P2456" s="415">
        <v>18592.73</v>
      </c>
      <c r="Q2456" s="481">
        <f t="shared" si="84"/>
        <v>-17043.2696544762</v>
      </c>
    </row>
    <row r="2457" spans="1:17" outlineLevel="2" x14ac:dyDescent="0.3">
      <c r="A2457" s="366" t="str">
        <f>IFERROR(VLOOKUP(RIGHT(E2457,3)+0,[1]SchLocTable!$A$2:$B$47,2,FALSE)," ")</f>
        <v>Park City Magnet</v>
      </c>
      <c r="B2457" s="366" t="str">
        <f>VLOOKUP(VALUE(D2457),$D$3:F$106,3,FALSE)</f>
        <v>SPED Aides</v>
      </c>
      <c r="C2457" t="s">
        <v>314</v>
      </c>
      <c r="D2457">
        <v>829</v>
      </c>
      <c r="E2457" t="s">
        <v>859</v>
      </c>
      <c r="F2457" t="s">
        <v>324</v>
      </c>
      <c r="G2457" t="s">
        <v>319</v>
      </c>
      <c r="H2457" s="502">
        <v>52385</v>
      </c>
      <c r="I2457" s="415">
        <v>0</v>
      </c>
      <c r="J2457" s="415">
        <v>0</v>
      </c>
      <c r="K2457" s="415">
        <v>1134.5999999999999</v>
      </c>
      <c r="L2457" s="415">
        <v>0</v>
      </c>
      <c r="M2457" s="415">
        <v>2307.27</v>
      </c>
      <c r="N2457" s="415">
        <v>659.61</v>
      </c>
      <c r="O2457" s="415">
        <v>0</v>
      </c>
      <c r="P2457" s="415">
        <v>0</v>
      </c>
      <c r="Q2457" s="481">
        <f t="shared" si="84"/>
        <v>0</v>
      </c>
    </row>
    <row r="2458" spans="1:17" outlineLevel="2" x14ac:dyDescent="0.3">
      <c r="A2458" s="366" t="str">
        <f>IFERROR(VLOOKUP(RIGHT(E2458,3)+0,[1]SchLocTable!$A$2:$B$47,2,FALSE)," ")</f>
        <v>Madison</v>
      </c>
      <c r="B2458" s="366" t="str">
        <f>VLOOKUP(VALUE(D2458),$D$3:F$106,3,FALSE)</f>
        <v>SPED Aides</v>
      </c>
      <c r="C2458" t="s">
        <v>314</v>
      </c>
      <c r="D2458">
        <v>829</v>
      </c>
      <c r="E2458" t="s">
        <v>860</v>
      </c>
      <c r="F2458" t="s">
        <v>316</v>
      </c>
      <c r="G2458" t="s">
        <v>319</v>
      </c>
      <c r="H2458" s="502">
        <v>51000</v>
      </c>
      <c r="I2458" s="415">
        <v>0</v>
      </c>
      <c r="J2458" s="415">
        <v>0</v>
      </c>
      <c r="K2458" s="415">
        <v>0</v>
      </c>
      <c r="L2458" s="415">
        <v>0</v>
      </c>
      <c r="M2458" s="415">
        <v>0</v>
      </c>
      <c r="N2458" s="415">
        <v>30868.04</v>
      </c>
      <c r="O2458" s="415">
        <v>40404.839999999997</v>
      </c>
      <c r="P2458" s="415">
        <v>86820.08</v>
      </c>
      <c r="Q2458" s="481">
        <f t="shared" si="84"/>
        <v>0</v>
      </c>
    </row>
    <row r="2459" spans="1:17" outlineLevel="2" x14ac:dyDescent="0.3">
      <c r="A2459" s="366" t="str">
        <f>IFERROR(VLOOKUP(RIGHT(E2459,3)+0,[1]SchLocTable!$A$2:$B$47,2,FALSE)," ")</f>
        <v>Madison</v>
      </c>
      <c r="B2459" s="366" t="str">
        <f>VLOOKUP(VALUE(D2459),$D$3:F$106,3,FALSE)</f>
        <v>SPED Aides</v>
      </c>
      <c r="C2459" t="s">
        <v>314</v>
      </c>
      <c r="D2459">
        <v>829</v>
      </c>
      <c r="E2459" t="s">
        <v>860</v>
      </c>
      <c r="F2459" t="s">
        <v>321</v>
      </c>
      <c r="G2459" t="s">
        <v>319</v>
      </c>
      <c r="H2459" s="502">
        <v>52917</v>
      </c>
      <c r="I2459" s="415">
        <v>0</v>
      </c>
      <c r="J2459" s="415">
        <v>0</v>
      </c>
      <c r="K2459" s="415">
        <v>0</v>
      </c>
      <c r="L2459" s="415">
        <v>0</v>
      </c>
      <c r="M2459" s="415">
        <v>0</v>
      </c>
      <c r="N2459" s="415">
        <v>852.29</v>
      </c>
      <c r="O2459" s="415">
        <v>1084.81</v>
      </c>
      <c r="P2459" s="415">
        <v>25409.78</v>
      </c>
      <c r="Q2459" s="481">
        <f t="shared" si="84"/>
        <v>0</v>
      </c>
    </row>
    <row r="2460" spans="1:17" outlineLevel="2" x14ac:dyDescent="0.3">
      <c r="A2460" s="366" t="str">
        <f>IFERROR(VLOOKUP(RIGHT(E2460,3)+0,[1]SchLocTable!$A$2:$B$47,2,FALSE)," ")</f>
        <v>Madison</v>
      </c>
      <c r="B2460" s="366" t="str">
        <f>VLOOKUP(VALUE(D2460),$D$3:F$106,3,FALSE)</f>
        <v>SPED Aides</v>
      </c>
      <c r="C2460" t="s">
        <v>314</v>
      </c>
      <c r="D2460">
        <v>829</v>
      </c>
      <c r="E2460" t="s">
        <v>860</v>
      </c>
      <c r="F2460" t="s">
        <v>318</v>
      </c>
      <c r="G2460" t="s">
        <v>319</v>
      </c>
      <c r="H2460" s="502">
        <v>51140</v>
      </c>
      <c r="I2460" s="415">
        <v>0</v>
      </c>
      <c r="J2460" s="415">
        <v>0</v>
      </c>
      <c r="K2460" s="415">
        <v>0</v>
      </c>
      <c r="L2460" s="415">
        <v>8780</v>
      </c>
      <c r="M2460" s="415">
        <v>0</v>
      </c>
      <c r="N2460" s="415">
        <v>1225</v>
      </c>
      <c r="O2460" s="415">
        <v>700</v>
      </c>
      <c r="P2460" s="415">
        <v>2954.99</v>
      </c>
      <c r="Q2460" s="481">
        <f t="shared" si="84"/>
        <v>0</v>
      </c>
    </row>
    <row r="2461" spans="1:17" outlineLevel="2" x14ac:dyDescent="0.3">
      <c r="A2461" s="366" t="str">
        <f>IFERROR(VLOOKUP(RIGHT(E2461,3)+0,[1]SchLocTable!$A$2:$B$47,2,FALSE)," ")</f>
        <v>Madison</v>
      </c>
      <c r="B2461" s="366" t="str">
        <f>VLOOKUP(VALUE(D2461),$D$3:F$106,3,FALSE)</f>
        <v>SPED Aides</v>
      </c>
      <c r="C2461" t="s">
        <v>314</v>
      </c>
      <c r="D2461">
        <v>829</v>
      </c>
      <c r="E2461" t="s">
        <v>860</v>
      </c>
      <c r="F2461" t="s">
        <v>320</v>
      </c>
      <c r="G2461" t="s">
        <v>319</v>
      </c>
      <c r="H2461" s="502">
        <v>52360</v>
      </c>
      <c r="I2461" s="415">
        <v>0</v>
      </c>
      <c r="J2461" s="415">
        <v>0</v>
      </c>
      <c r="K2461" s="415">
        <v>0</v>
      </c>
      <c r="L2461" s="415">
        <v>101.22</v>
      </c>
      <c r="M2461" s="415">
        <v>0</v>
      </c>
      <c r="N2461" s="415">
        <v>470.78</v>
      </c>
      <c r="O2461" s="415">
        <v>603.27</v>
      </c>
      <c r="P2461" s="415">
        <v>1414.31</v>
      </c>
      <c r="Q2461" s="481">
        <f t="shared" si="84"/>
        <v>0</v>
      </c>
    </row>
    <row r="2462" spans="1:17" outlineLevel="2" x14ac:dyDescent="0.3">
      <c r="A2462" s="366" t="str">
        <f>IFERROR(VLOOKUP(RIGHT(E2462,3)+0,[1]SchLocTable!$A$2:$B$47,2,FALSE)," ")</f>
        <v>Madison</v>
      </c>
      <c r="B2462" s="366" t="str">
        <f>VLOOKUP(VALUE(D2462),$D$3:F$106,3,FALSE)</f>
        <v>SPED Aides</v>
      </c>
      <c r="C2462" t="s">
        <v>314</v>
      </c>
      <c r="D2462">
        <v>829</v>
      </c>
      <c r="E2462" t="s">
        <v>860</v>
      </c>
      <c r="F2462" t="s">
        <v>392</v>
      </c>
      <c r="G2462" t="s">
        <v>319</v>
      </c>
      <c r="H2462" s="502">
        <v>52504</v>
      </c>
      <c r="I2462" s="415">
        <v>0</v>
      </c>
      <c r="J2462" s="415">
        <v>0</v>
      </c>
      <c r="K2462" s="415">
        <v>0</v>
      </c>
      <c r="L2462" s="415">
        <v>1790.24</v>
      </c>
      <c r="M2462" s="415">
        <v>0</v>
      </c>
      <c r="N2462" s="415">
        <v>6104.09</v>
      </c>
      <c r="O2462" s="415">
        <v>6761.48</v>
      </c>
      <c r="P2462" s="415">
        <v>10796.87</v>
      </c>
      <c r="Q2462" s="481">
        <f t="shared" si="84"/>
        <v>0</v>
      </c>
    </row>
    <row r="2463" spans="1:17" outlineLevel="2" x14ac:dyDescent="0.3">
      <c r="A2463" s="366" t="str">
        <f>IFERROR(VLOOKUP(RIGHT(E2463,3)+0,[1]SchLocTable!$A$2:$B$47,2,FALSE)," ")</f>
        <v>Classical Studies Academy</v>
      </c>
      <c r="B2463" s="366" t="str">
        <f>VLOOKUP(VALUE(D2463),$D$3:F$106,3,FALSE)</f>
        <v>SPED Aides</v>
      </c>
      <c r="C2463" t="s">
        <v>314</v>
      </c>
      <c r="D2463">
        <v>829</v>
      </c>
      <c r="E2463" t="s">
        <v>861</v>
      </c>
      <c r="F2463" t="s">
        <v>316</v>
      </c>
      <c r="G2463" t="s">
        <v>319</v>
      </c>
      <c r="H2463" s="502">
        <v>51000</v>
      </c>
      <c r="I2463" s="415">
        <v>0</v>
      </c>
      <c r="J2463" s="415">
        <v>0</v>
      </c>
      <c r="K2463" s="415">
        <v>0</v>
      </c>
      <c r="L2463" s="415">
        <v>44748.13</v>
      </c>
      <c r="M2463" s="415">
        <v>39591.22</v>
      </c>
      <c r="N2463" s="415">
        <v>38808.99</v>
      </c>
      <c r="O2463" s="415">
        <v>38987.980000000003</v>
      </c>
      <c r="P2463" s="415">
        <v>51753.03</v>
      </c>
      <c r="Q2463" s="481">
        <f t="shared" si="84"/>
        <v>0</v>
      </c>
    </row>
    <row r="2464" spans="1:17" outlineLevel="2" x14ac:dyDescent="0.3">
      <c r="A2464" s="366" t="str">
        <f>IFERROR(VLOOKUP(RIGHT(E2464,3)+0,[1]SchLocTable!$A$2:$B$47,2,FALSE)," ")</f>
        <v>Classical Studies Academy</v>
      </c>
      <c r="B2464" s="366" t="str">
        <f>VLOOKUP(VALUE(D2464),$D$3:F$106,3,FALSE)</f>
        <v>SPED Aides</v>
      </c>
      <c r="C2464" t="s">
        <v>314</v>
      </c>
      <c r="D2464">
        <v>829</v>
      </c>
      <c r="E2464" t="s">
        <v>861</v>
      </c>
      <c r="F2464" t="s">
        <v>321</v>
      </c>
      <c r="G2464" t="s">
        <v>319</v>
      </c>
      <c r="H2464" s="502">
        <v>52917</v>
      </c>
      <c r="I2464" s="415">
        <v>0</v>
      </c>
      <c r="J2464" s="415">
        <v>0</v>
      </c>
      <c r="K2464" s="415">
        <v>0</v>
      </c>
      <c r="L2464" s="415">
        <v>25302.73</v>
      </c>
      <c r="M2464" s="415">
        <v>25652.89</v>
      </c>
      <c r="N2464" s="415">
        <v>23704.19</v>
      </c>
      <c r="O2464" s="415">
        <v>22465.71</v>
      </c>
      <c r="P2464" s="415">
        <v>21421.22</v>
      </c>
      <c r="Q2464" s="481">
        <f t="shared" si="84"/>
        <v>0</v>
      </c>
    </row>
    <row r="2465" spans="1:17" outlineLevel="1" x14ac:dyDescent="0.3">
      <c r="A2465" s="366" t="str">
        <f>IFERROR(VLOOKUP(RIGHT(E2465,3)+0,[1]SchLocTable!$A$2:$B$47,2,FALSE)," ")</f>
        <v>Classical Studies Academy</v>
      </c>
      <c r="B2465" s="366" t="str">
        <f>VLOOKUP(VALUE(D2465),$D$3:F$106,3,FALSE)</f>
        <v>SPED Aides</v>
      </c>
      <c r="C2465" t="s">
        <v>314</v>
      </c>
      <c r="D2465">
        <v>829</v>
      </c>
      <c r="E2465" t="s">
        <v>861</v>
      </c>
      <c r="F2465" t="s">
        <v>318</v>
      </c>
      <c r="G2465" t="s">
        <v>319</v>
      </c>
      <c r="H2465" s="502">
        <v>51140</v>
      </c>
      <c r="I2465" s="415">
        <v>0</v>
      </c>
      <c r="J2465" s="415">
        <v>0</v>
      </c>
      <c r="K2465" s="415">
        <v>0</v>
      </c>
      <c r="L2465" s="415">
        <v>4830</v>
      </c>
      <c r="M2465" s="415">
        <v>1800</v>
      </c>
      <c r="N2465" s="415">
        <v>1800</v>
      </c>
      <c r="O2465" s="415">
        <v>1800</v>
      </c>
      <c r="P2465" s="415">
        <v>1800</v>
      </c>
      <c r="Q2465" s="481">
        <f t="shared" si="84"/>
        <v>0</v>
      </c>
    </row>
    <row r="2466" spans="1:17" outlineLevel="2" x14ac:dyDescent="0.3">
      <c r="A2466" s="366" t="str">
        <f>IFERROR(VLOOKUP(RIGHT(E2466,3)+0,[1]SchLocTable!$A$2:$B$47,2,FALSE)," ")</f>
        <v>Classical Studies Academy</v>
      </c>
      <c r="B2466" s="366" t="str">
        <f>VLOOKUP(VALUE(D2466),$D$3:F$106,3,FALSE)</f>
        <v>SPED Aides</v>
      </c>
      <c r="C2466" t="s">
        <v>314</v>
      </c>
      <c r="D2466">
        <v>829</v>
      </c>
      <c r="E2466" t="s">
        <v>861</v>
      </c>
      <c r="F2466" t="s">
        <v>320</v>
      </c>
      <c r="G2466" t="s">
        <v>319</v>
      </c>
      <c r="H2466" s="502">
        <v>52360</v>
      </c>
      <c r="I2466" s="415">
        <v>0</v>
      </c>
      <c r="J2466" s="415">
        <v>0</v>
      </c>
      <c r="K2466" s="415">
        <v>0</v>
      </c>
      <c r="L2466" s="415">
        <v>962.88</v>
      </c>
      <c r="M2466" s="415">
        <v>600.16999999999996</v>
      </c>
      <c r="N2466" s="415">
        <v>588.84</v>
      </c>
      <c r="O2466" s="415">
        <v>591.41999999999996</v>
      </c>
      <c r="P2466" s="415">
        <v>571.17999999999995</v>
      </c>
      <c r="Q2466" s="481">
        <f t="shared" si="84"/>
        <v>0</v>
      </c>
    </row>
    <row r="2467" spans="1:17" outlineLevel="2" x14ac:dyDescent="0.3">
      <c r="A2467" s="366" t="str">
        <f>IFERROR(VLOOKUP(RIGHT(E2467,3)+0,[1]SchLocTable!$A$2:$B$47,2,FALSE)," ")</f>
        <v>Classical Studies Academy</v>
      </c>
      <c r="B2467" s="366" t="str">
        <f>VLOOKUP(VALUE(D2467),$D$3:F$106,3,FALSE)</f>
        <v>SPED Aides</v>
      </c>
      <c r="C2467" t="s">
        <v>314</v>
      </c>
      <c r="D2467">
        <v>829</v>
      </c>
      <c r="E2467" t="s">
        <v>861</v>
      </c>
      <c r="F2467" t="s">
        <v>392</v>
      </c>
      <c r="G2467" t="s">
        <v>319</v>
      </c>
      <c r="H2467" s="502">
        <v>52504</v>
      </c>
      <c r="I2467" s="415">
        <v>0</v>
      </c>
      <c r="J2467" s="415">
        <v>0</v>
      </c>
      <c r="K2467" s="415">
        <v>0</v>
      </c>
      <c r="L2467" s="415">
        <v>10109.030000000001</v>
      </c>
      <c r="M2467" s="415">
        <v>8914.1</v>
      </c>
      <c r="N2467" s="415">
        <v>7754.49</v>
      </c>
      <c r="O2467" s="415">
        <v>6708.28</v>
      </c>
      <c r="P2467" s="415">
        <v>5617.61</v>
      </c>
      <c r="Q2467" s="481">
        <f t="shared" si="84"/>
        <v>0</v>
      </c>
    </row>
    <row r="2468" spans="1:17" outlineLevel="1" x14ac:dyDescent="0.3">
      <c r="A2468" s="366" t="str">
        <f>IFERROR(VLOOKUP(RIGHT(E2468,3)+0,[1]SchLocTable!$A$2:$B$47,2,FALSE)," ")</f>
        <v>Classical Studies Academy</v>
      </c>
      <c r="B2468" s="366" t="str">
        <f>VLOOKUP(VALUE(D2468),$D$3:F$106,3,FALSE)</f>
        <v>SPED Aides</v>
      </c>
      <c r="C2468" t="s">
        <v>314</v>
      </c>
      <c r="D2468">
        <v>829</v>
      </c>
      <c r="E2468" t="s">
        <v>861</v>
      </c>
      <c r="F2468" t="s">
        <v>329</v>
      </c>
      <c r="G2468" t="s">
        <v>319</v>
      </c>
      <c r="H2468" s="502">
        <v>51154</v>
      </c>
      <c r="I2468" s="415">
        <v>0</v>
      </c>
      <c r="J2468" s="415">
        <v>0</v>
      </c>
      <c r="K2468" s="415">
        <v>0</v>
      </c>
      <c r="L2468" s="415">
        <v>16827.169999999998</v>
      </c>
      <c r="M2468" s="415">
        <v>0</v>
      </c>
      <c r="N2468" s="415">
        <v>0</v>
      </c>
      <c r="O2468" s="415">
        <v>0</v>
      </c>
      <c r="P2468" s="415">
        <v>0</v>
      </c>
      <c r="Q2468" s="481">
        <f t="shared" si="84"/>
        <v>0</v>
      </c>
    </row>
    <row r="2469" spans="1:17" outlineLevel="1" x14ac:dyDescent="0.3">
      <c r="A2469" s="366" t="str">
        <f>IFERROR(VLOOKUP(RIGHT(E2469,3)+0,[1]SchLocTable!$A$2:$B$47,2,FALSE)," ")</f>
        <v>Tisdale</v>
      </c>
      <c r="B2469" s="366" t="str">
        <f>VLOOKUP(VALUE(D2469),$D$3:F$106,3,FALSE)</f>
        <v>SPED Aides</v>
      </c>
      <c r="C2469" t="s">
        <v>314</v>
      </c>
      <c r="D2469">
        <v>829</v>
      </c>
      <c r="E2469" t="s">
        <v>862</v>
      </c>
      <c r="F2469" t="s">
        <v>316</v>
      </c>
      <c r="G2469">
        <v>12</v>
      </c>
      <c r="H2469" s="502">
        <v>51000</v>
      </c>
      <c r="I2469" s="415">
        <v>493414.97151200008</v>
      </c>
      <c r="J2469" s="415">
        <v>242088</v>
      </c>
      <c r="K2469" s="415">
        <v>184442.43</v>
      </c>
      <c r="L2469" s="415">
        <v>145240.93</v>
      </c>
      <c r="M2469" s="415">
        <v>175252.97</v>
      </c>
      <c r="N2469" s="415">
        <v>138687.64000000001</v>
      </c>
      <c r="O2469" s="415">
        <v>152748.39000000001</v>
      </c>
      <c r="P2469" s="415">
        <v>145888.6</v>
      </c>
      <c r="Q2469" s="481">
        <f t="shared" si="84"/>
        <v>-251326.97151200008</v>
      </c>
    </row>
    <row r="2470" spans="1:17" outlineLevel="2" x14ac:dyDescent="0.3">
      <c r="A2470" s="366" t="str">
        <f>IFERROR(VLOOKUP(RIGHT(E2470,3)+0,[1]SchLocTable!$A$2:$B$47,2,FALSE)," ")</f>
        <v>Tisdale</v>
      </c>
      <c r="B2470" s="366" t="str">
        <f>VLOOKUP(VALUE(D2470),$D$3:F$106,3,FALSE)</f>
        <v>SPED Aides</v>
      </c>
      <c r="C2470" t="s">
        <v>314</v>
      </c>
      <c r="D2470">
        <v>829</v>
      </c>
      <c r="E2470" t="s">
        <v>862</v>
      </c>
      <c r="F2470" t="s">
        <v>334</v>
      </c>
      <c r="G2470" t="s">
        <v>319</v>
      </c>
      <c r="H2470" s="502">
        <v>51400</v>
      </c>
      <c r="I2470" s="415">
        <v>0</v>
      </c>
      <c r="J2470" s="415">
        <v>0</v>
      </c>
      <c r="K2470" s="415">
        <v>150</v>
      </c>
      <c r="L2470" s="415">
        <v>0</v>
      </c>
      <c r="M2470" s="415">
        <v>0</v>
      </c>
      <c r="N2470" s="415">
        <v>0</v>
      </c>
      <c r="O2470" s="415">
        <v>0</v>
      </c>
      <c r="P2470" s="415">
        <v>0</v>
      </c>
      <c r="Q2470" s="481">
        <f t="shared" si="84"/>
        <v>0</v>
      </c>
    </row>
    <row r="2471" spans="1:17" outlineLevel="2" x14ac:dyDescent="0.3">
      <c r="A2471" s="366" t="str">
        <f>IFERROR(VLOOKUP(RIGHT(E2471,3)+0,[1]SchLocTable!$A$2:$B$47,2,FALSE)," ")</f>
        <v>Tisdale</v>
      </c>
      <c r="B2471" s="366" t="str">
        <f>VLOOKUP(VALUE(D2471),$D$3:F$106,3,FALSE)</f>
        <v>SPED Aides</v>
      </c>
      <c r="C2471" t="s">
        <v>314</v>
      </c>
      <c r="D2471">
        <v>829</v>
      </c>
      <c r="E2471" t="s">
        <v>862</v>
      </c>
      <c r="F2471" t="s">
        <v>360</v>
      </c>
      <c r="G2471" t="s">
        <v>319</v>
      </c>
      <c r="H2471" s="502">
        <v>52920</v>
      </c>
      <c r="I2471" s="415">
        <v>1333.36</v>
      </c>
      <c r="J2471" s="415">
        <v>1000</v>
      </c>
      <c r="K2471" s="415">
        <v>1000</v>
      </c>
      <c r="L2471" s="415">
        <v>1666.68</v>
      </c>
      <c r="M2471" s="415">
        <v>1375.03</v>
      </c>
      <c r="N2471" s="415">
        <v>250</v>
      </c>
      <c r="O2471" s="415">
        <v>500</v>
      </c>
      <c r="P2471" s="415">
        <v>500</v>
      </c>
      <c r="Q2471" s="481">
        <f t="shared" si="84"/>
        <v>-333.3599999999999</v>
      </c>
    </row>
    <row r="2472" spans="1:17" outlineLevel="2" x14ac:dyDescent="0.3">
      <c r="A2472" s="366" t="str">
        <f>IFERROR(VLOOKUP(RIGHT(E2472,3)+0,[1]SchLocTable!$A$2:$B$47,2,FALSE)," ")</f>
        <v>Tisdale</v>
      </c>
      <c r="B2472" s="366" t="str">
        <f>VLOOKUP(VALUE(D2472),$D$3:F$106,3,FALSE)</f>
        <v>SPED Aides</v>
      </c>
      <c r="C2472" t="s">
        <v>314</v>
      </c>
      <c r="D2472">
        <v>829</v>
      </c>
      <c r="E2472" t="s">
        <v>862</v>
      </c>
      <c r="F2472" t="s">
        <v>321</v>
      </c>
      <c r="G2472" t="s">
        <v>319</v>
      </c>
      <c r="H2472" s="502">
        <v>52917</v>
      </c>
      <c r="I2472" s="415">
        <v>108795.07199999999</v>
      </c>
      <c r="J2472" s="415">
        <v>54395.21</v>
      </c>
      <c r="K2472" s="415">
        <v>48683.55</v>
      </c>
      <c r="L2472" s="415">
        <v>32140.39</v>
      </c>
      <c r="M2472" s="415">
        <v>21390.94</v>
      </c>
      <c r="N2472" s="415">
        <v>30261.5</v>
      </c>
      <c r="O2472" s="415">
        <v>28602.29</v>
      </c>
      <c r="P2472" s="415">
        <v>26740.21</v>
      </c>
      <c r="Q2472" s="481">
        <f t="shared" si="84"/>
        <v>-54399.861999999986</v>
      </c>
    </row>
    <row r="2473" spans="1:17" outlineLevel="2" x14ac:dyDescent="0.3">
      <c r="A2473" s="366" t="str">
        <f>IFERROR(VLOOKUP(RIGHT(E2473,3)+0,[1]SchLocTable!$A$2:$B$47,2,FALSE)," ")</f>
        <v>Tisdale</v>
      </c>
      <c r="B2473" s="366" t="str">
        <f>VLOOKUP(VALUE(D2473),$D$3:F$106,3,FALSE)</f>
        <v>SPED Aides</v>
      </c>
      <c r="C2473" t="s">
        <v>314</v>
      </c>
      <c r="D2473">
        <v>829</v>
      </c>
      <c r="E2473" t="s">
        <v>862</v>
      </c>
      <c r="F2473" t="s">
        <v>318</v>
      </c>
      <c r="G2473" t="s">
        <v>319</v>
      </c>
      <c r="H2473" s="502">
        <v>51140</v>
      </c>
      <c r="I2473" s="415">
        <v>3080</v>
      </c>
      <c r="J2473" s="415">
        <v>0</v>
      </c>
      <c r="K2473" s="415">
        <v>2240</v>
      </c>
      <c r="L2473" s="415">
        <v>12016.67</v>
      </c>
      <c r="M2473" s="415">
        <v>0</v>
      </c>
      <c r="N2473" s="415">
        <v>1540</v>
      </c>
      <c r="O2473" s="415">
        <v>1400</v>
      </c>
      <c r="P2473" s="415">
        <v>0</v>
      </c>
      <c r="Q2473" s="481">
        <f t="shared" si="84"/>
        <v>-3080</v>
      </c>
    </row>
    <row r="2474" spans="1:17" outlineLevel="2" x14ac:dyDescent="0.3">
      <c r="A2474" s="366" t="str">
        <f>IFERROR(VLOOKUP(RIGHT(E2474,3)+0,[1]SchLocTable!$A$2:$B$47,2,FALSE)," ")</f>
        <v>Tisdale</v>
      </c>
      <c r="B2474" s="366" t="str">
        <f>VLOOKUP(VALUE(D2474),$D$3:F$106,3,FALSE)</f>
        <v>SPED Aides</v>
      </c>
      <c r="C2474" t="s">
        <v>314</v>
      </c>
      <c r="D2474">
        <v>829</v>
      </c>
      <c r="E2474" t="s">
        <v>862</v>
      </c>
      <c r="F2474" t="s">
        <v>320</v>
      </c>
      <c r="G2474" t="s">
        <v>319</v>
      </c>
      <c r="H2474" s="502">
        <v>52360</v>
      </c>
      <c r="I2474" s="415">
        <v>7173.8508069240006</v>
      </c>
      <c r="J2474" s="415">
        <v>3187</v>
      </c>
      <c r="K2474" s="415">
        <v>2624.23</v>
      </c>
      <c r="L2474" s="415">
        <v>2102.08</v>
      </c>
      <c r="M2474" s="415">
        <v>2453.38</v>
      </c>
      <c r="N2474" s="415">
        <v>1947.61</v>
      </c>
      <c r="O2474" s="415">
        <v>2160.5100000000002</v>
      </c>
      <c r="P2474" s="415">
        <v>1775.55</v>
      </c>
      <c r="Q2474" s="481">
        <f t="shared" si="84"/>
        <v>-3986.8508069240006</v>
      </c>
    </row>
    <row r="2475" spans="1:17" outlineLevel="2" x14ac:dyDescent="0.3">
      <c r="A2475" s="366" t="str">
        <f>IFERROR(VLOOKUP(RIGHT(E2475,3)+0,[1]SchLocTable!$A$2:$B$47,2,FALSE)," ")</f>
        <v>Tisdale</v>
      </c>
      <c r="B2475" s="366" t="str">
        <f>VLOOKUP(VALUE(D2475),$D$3:F$106,3,FALSE)</f>
        <v>SPED Aides</v>
      </c>
      <c r="C2475" t="s">
        <v>314</v>
      </c>
      <c r="D2475">
        <v>829</v>
      </c>
      <c r="E2475" t="s">
        <v>862</v>
      </c>
      <c r="F2475" t="s">
        <v>392</v>
      </c>
      <c r="G2475" t="s">
        <v>319</v>
      </c>
      <c r="H2475" s="502">
        <v>52504</v>
      </c>
      <c r="I2475" s="415">
        <v>102728.70328819362</v>
      </c>
      <c r="J2475" s="415">
        <v>42095</v>
      </c>
      <c r="K2475" s="415">
        <v>34527.69</v>
      </c>
      <c r="L2475" s="415">
        <v>27433.46</v>
      </c>
      <c r="M2475" s="415">
        <v>24097.88</v>
      </c>
      <c r="N2475" s="415">
        <v>26768.1</v>
      </c>
      <c r="O2475" s="415">
        <v>25338.16</v>
      </c>
      <c r="P2475" s="415">
        <v>18793.669999999998</v>
      </c>
      <c r="Q2475" s="481">
        <f t="shared" si="84"/>
        <v>-60633.703288193617</v>
      </c>
    </row>
    <row r="2476" spans="1:17" outlineLevel="1" x14ac:dyDescent="0.3">
      <c r="A2476" s="366" t="str">
        <f>IFERROR(VLOOKUP(RIGHT(E2476,3)+0,[1]SchLocTable!$A$2:$B$47,2,FALSE)," ")</f>
        <v>Tisdale</v>
      </c>
      <c r="B2476" s="366" t="str">
        <f>VLOOKUP(VALUE(D2476),$D$3:F$106,3,FALSE)</f>
        <v>SPED Aides</v>
      </c>
      <c r="C2476" t="s">
        <v>314</v>
      </c>
      <c r="D2476">
        <v>829</v>
      </c>
      <c r="E2476" t="s">
        <v>862</v>
      </c>
      <c r="F2476" t="s">
        <v>324</v>
      </c>
      <c r="G2476" t="s">
        <v>319</v>
      </c>
      <c r="H2476" s="502">
        <v>52385</v>
      </c>
      <c r="I2476" s="415">
        <v>0</v>
      </c>
      <c r="J2476" s="415">
        <v>0</v>
      </c>
      <c r="K2476" s="415">
        <v>9.3000000000000007</v>
      </c>
      <c r="L2476" s="415">
        <v>1348.52</v>
      </c>
      <c r="M2476" s="415">
        <v>3512.74</v>
      </c>
      <c r="N2476" s="415">
        <v>0</v>
      </c>
      <c r="O2476" s="415">
        <v>0</v>
      </c>
      <c r="P2476" s="415">
        <v>0</v>
      </c>
      <c r="Q2476" s="481">
        <f t="shared" si="84"/>
        <v>0</v>
      </c>
    </row>
    <row r="2477" spans="1:17" outlineLevel="2" x14ac:dyDescent="0.3">
      <c r="A2477" s="366" t="str">
        <f>IFERROR(VLOOKUP(RIGHT(E2477,3)+0,[1]SchLocTable!$A$2:$B$47,2,FALSE)," ")</f>
        <v>Read</v>
      </c>
      <c r="B2477" s="366" t="str">
        <f>VLOOKUP(VALUE(D2477),$D$3:F$106,3,FALSE)</f>
        <v>SPED Aides</v>
      </c>
      <c r="C2477" t="s">
        <v>314</v>
      </c>
      <c r="D2477">
        <v>829</v>
      </c>
      <c r="E2477" t="s">
        <v>863</v>
      </c>
      <c r="F2477" t="s">
        <v>316</v>
      </c>
      <c r="G2477">
        <v>7</v>
      </c>
      <c r="H2477" s="502">
        <v>51000</v>
      </c>
      <c r="I2477" s="415">
        <v>267083.74515199999</v>
      </c>
      <c r="J2477" s="415">
        <v>112101</v>
      </c>
      <c r="K2477" s="415">
        <v>96770.95</v>
      </c>
      <c r="L2477" s="415">
        <v>0</v>
      </c>
      <c r="M2477" s="415">
        <v>31140.91</v>
      </c>
      <c r="N2477" s="415">
        <v>28114.06</v>
      </c>
      <c r="O2477" s="415">
        <v>42196.69</v>
      </c>
      <c r="P2477" s="415">
        <v>54868.87</v>
      </c>
      <c r="Q2477" s="481">
        <f t="shared" si="84"/>
        <v>-154982.74515199999</v>
      </c>
    </row>
    <row r="2478" spans="1:17" outlineLevel="2" x14ac:dyDescent="0.3">
      <c r="A2478" s="366" t="str">
        <f>IFERROR(VLOOKUP(RIGHT(E2478,3)+0,[1]SchLocTable!$A$2:$B$47,2,FALSE)," ")</f>
        <v>Read</v>
      </c>
      <c r="B2478" s="366" t="str">
        <f>VLOOKUP(VALUE(D2478),$D$3:F$106,3,FALSE)</f>
        <v>SPED Aides</v>
      </c>
      <c r="C2478" t="s">
        <v>314</v>
      </c>
      <c r="D2478">
        <v>829</v>
      </c>
      <c r="E2478" t="s">
        <v>863</v>
      </c>
      <c r="F2478" t="s">
        <v>360</v>
      </c>
      <c r="G2478" t="s">
        <v>319</v>
      </c>
      <c r="H2478" s="502">
        <v>52920</v>
      </c>
      <c r="I2478" s="415">
        <v>666.72</v>
      </c>
      <c r="J2478" s="415">
        <v>500</v>
      </c>
      <c r="K2478" s="415">
        <v>500</v>
      </c>
      <c r="L2478" s="415">
        <v>916.68</v>
      </c>
      <c r="M2478" s="415">
        <v>500</v>
      </c>
      <c r="N2478" s="415">
        <v>375</v>
      </c>
      <c r="O2478" s="415">
        <v>500</v>
      </c>
      <c r="P2478" s="415">
        <v>166.68</v>
      </c>
      <c r="Q2478" s="481">
        <f t="shared" si="84"/>
        <v>-166.72000000000003</v>
      </c>
    </row>
    <row r="2479" spans="1:17" outlineLevel="2" x14ac:dyDescent="0.3">
      <c r="A2479" s="366" t="str">
        <f>IFERROR(VLOOKUP(RIGHT(E2479,3)+0,[1]SchLocTable!$A$2:$B$47,2,FALSE)," ")</f>
        <v>Read</v>
      </c>
      <c r="B2479" s="366" t="str">
        <f>VLOOKUP(VALUE(D2479),$D$3:F$106,3,FALSE)</f>
        <v>SPED Aides</v>
      </c>
      <c r="C2479" t="s">
        <v>314</v>
      </c>
      <c r="D2479">
        <v>829</v>
      </c>
      <c r="E2479" t="s">
        <v>863</v>
      </c>
      <c r="F2479" t="s">
        <v>321</v>
      </c>
      <c r="G2479" t="s">
        <v>319</v>
      </c>
      <c r="H2479" s="502">
        <v>52917</v>
      </c>
      <c r="I2479" s="415">
        <v>46224.216</v>
      </c>
      <c r="J2479" s="415">
        <v>12800.34</v>
      </c>
      <c r="K2479" s="415">
        <v>19809.43</v>
      </c>
      <c r="L2479" s="415">
        <v>0</v>
      </c>
      <c r="M2479" s="415">
        <v>10205.85</v>
      </c>
      <c r="N2479" s="415">
        <v>14479.8</v>
      </c>
      <c r="O2479" s="415">
        <v>501.6</v>
      </c>
      <c r="P2479" s="415">
        <v>5742.72</v>
      </c>
      <c r="Q2479" s="481">
        <f t="shared" si="84"/>
        <v>-33423.876000000004</v>
      </c>
    </row>
    <row r="2480" spans="1:17" outlineLevel="2" x14ac:dyDescent="0.3">
      <c r="A2480" s="366" t="str">
        <f>IFERROR(VLOOKUP(RIGHT(E2480,3)+0,[1]SchLocTable!$A$2:$B$47,2,FALSE)," ")</f>
        <v>Read</v>
      </c>
      <c r="B2480" s="366" t="str">
        <f>VLOOKUP(VALUE(D2480),$D$3:F$106,3,FALSE)</f>
        <v>SPED Aides</v>
      </c>
      <c r="C2480" t="s">
        <v>314</v>
      </c>
      <c r="D2480">
        <v>829</v>
      </c>
      <c r="E2480" t="s">
        <v>863</v>
      </c>
      <c r="F2480" t="s">
        <v>318</v>
      </c>
      <c r="G2480" t="s">
        <v>319</v>
      </c>
      <c r="H2480" s="502">
        <v>51140</v>
      </c>
      <c r="I2480" s="415">
        <v>1610</v>
      </c>
      <c r="J2480" s="415">
        <v>0</v>
      </c>
      <c r="K2480" s="415">
        <v>1540</v>
      </c>
      <c r="L2480" s="415">
        <v>4550</v>
      </c>
      <c r="M2480" s="415">
        <v>1400</v>
      </c>
      <c r="N2480" s="415">
        <v>142.5</v>
      </c>
      <c r="O2480" s="415">
        <v>0</v>
      </c>
      <c r="P2480" s="415">
        <v>0</v>
      </c>
      <c r="Q2480" s="481">
        <f t="shared" si="84"/>
        <v>-1610</v>
      </c>
    </row>
    <row r="2481" spans="1:17" outlineLevel="1" x14ac:dyDescent="0.3">
      <c r="A2481" s="366" t="str">
        <f>IFERROR(VLOOKUP(RIGHT(E2481,3)+0,[1]SchLocTable!$A$2:$B$47,2,FALSE)," ")</f>
        <v>Read</v>
      </c>
      <c r="B2481" s="366" t="str">
        <f>VLOOKUP(VALUE(D2481),$D$3:F$106,3,FALSE)</f>
        <v>SPED Aides</v>
      </c>
      <c r="C2481" t="s">
        <v>314</v>
      </c>
      <c r="D2481">
        <v>829</v>
      </c>
      <c r="E2481" t="s">
        <v>863</v>
      </c>
      <c r="F2481" t="s">
        <v>320</v>
      </c>
      <c r="G2481" t="s">
        <v>319</v>
      </c>
      <c r="H2481" s="502">
        <v>52360</v>
      </c>
      <c r="I2481" s="415">
        <v>3882.3817447040005</v>
      </c>
      <c r="J2481" s="415">
        <v>1499</v>
      </c>
      <c r="K2481" s="415">
        <v>1353.58</v>
      </c>
      <c r="L2481" s="415">
        <v>0</v>
      </c>
      <c r="M2481" s="415">
        <v>417.68</v>
      </c>
      <c r="N2481" s="415">
        <v>360.46</v>
      </c>
      <c r="O2481" s="415">
        <v>606.95000000000005</v>
      </c>
      <c r="P2481" s="415">
        <v>558.89</v>
      </c>
      <c r="Q2481" s="481">
        <f t="shared" si="84"/>
        <v>-2383.3817447040005</v>
      </c>
    </row>
    <row r="2482" spans="1:17" outlineLevel="1" x14ac:dyDescent="0.3">
      <c r="A2482" s="366" t="str">
        <f>IFERROR(VLOOKUP(RIGHT(E2482,3)+0,[1]SchLocTable!$A$2:$B$47,2,FALSE)," ")</f>
        <v>Read</v>
      </c>
      <c r="B2482" s="366" t="str">
        <f>VLOOKUP(VALUE(D2482),$D$3:F$106,3,FALSE)</f>
        <v>SPED Aides</v>
      </c>
      <c r="C2482" t="s">
        <v>314</v>
      </c>
      <c r="D2482">
        <v>829</v>
      </c>
      <c r="E2482" t="s">
        <v>863</v>
      </c>
      <c r="F2482" t="s">
        <v>392</v>
      </c>
      <c r="G2482" t="s">
        <v>319</v>
      </c>
      <c r="H2482" s="502">
        <v>52504</v>
      </c>
      <c r="I2482" s="415">
        <v>55574.546658585605</v>
      </c>
      <c r="J2482" s="415">
        <v>23629</v>
      </c>
      <c r="K2482" s="415">
        <v>20689.400000000001</v>
      </c>
      <c r="L2482" s="415">
        <v>0</v>
      </c>
      <c r="M2482" s="415">
        <v>7022.36</v>
      </c>
      <c r="N2482" s="415">
        <v>5533.83</v>
      </c>
      <c r="O2482" s="415">
        <v>6925.64</v>
      </c>
      <c r="P2482" s="415">
        <v>5803.74</v>
      </c>
      <c r="Q2482" s="481">
        <f t="shared" si="84"/>
        <v>-31945.546658585605</v>
      </c>
    </row>
    <row r="2483" spans="1:17" outlineLevel="2" x14ac:dyDescent="0.3">
      <c r="A2483" s="366" t="str">
        <f>IFERROR(VLOOKUP(RIGHT(E2483,3)+0,[1]SchLocTable!$A$2:$B$47,2,FALSE)," ")</f>
        <v>Read</v>
      </c>
      <c r="B2483" s="366" t="str">
        <f>VLOOKUP(VALUE(D2483),$D$3:F$106,3,FALSE)</f>
        <v>SPED Aides</v>
      </c>
      <c r="C2483" t="s">
        <v>314</v>
      </c>
      <c r="D2483">
        <v>829</v>
      </c>
      <c r="E2483" t="s">
        <v>863</v>
      </c>
      <c r="F2483" t="s">
        <v>324</v>
      </c>
      <c r="G2483" t="s">
        <v>319</v>
      </c>
      <c r="H2483" s="502">
        <v>52385</v>
      </c>
      <c r="I2483" s="415">
        <v>0</v>
      </c>
      <c r="J2483" s="415">
        <v>0</v>
      </c>
      <c r="K2483" s="415">
        <v>0</v>
      </c>
      <c r="L2483" s="415">
        <v>601.32000000000005</v>
      </c>
      <c r="M2483" s="415">
        <v>0</v>
      </c>
      <c r="N2483" s="415">
        <v>0</v>
      </c>
      <c r="O2483" s="415">
        <v>0</v>
      </c>
      <c r="P2483" s="415">
        <v>0</v>
      </c>
      <c r="Q2483" s="481">
        <f t="shared" si="84"/>
        <v>0</v>
      </c>
    </row>
    <row r="2484" spans="1:17" outlineLevel="2" x14ac:dyDescent="0.3">
      <c r="A2484" s="366" t="str">
        <f>IFERROR(VLOOKUP(RIGHT(E2484,3)+0,[1]SchLocTable!$A$2:$B$47,2,FALSE)," ")</f>
        <v>Roosevelt</v>
      </c>
      <c r="B2484" s="366" t="str">
        <f>VLOOKUP(VALUE(D2484),$D$3:F$106,3,FALSE)</f>
        <v>SPED Aides</v>
      </c>
      <c r="C2484" t="s">
        <v>314</v>
      </c>
      <c r="D2484">
        <v>829</v>
      </c>
      <c r="E2484" t="s">
        <v>864</v>
      </c>
      <c r="F2484" t="s">
        <v>316</v>
      </c>
      <c r="G2484" t="s">
        <v>319</v>
      </c>
      <c r="H2484" s="502">
        <v>51000</v>
      </c>
      <c r="I2484" s="415">
        <v>0</v>
      </c>
      <c r="J2484" s="415">
        <v>0</v>
      </c>
      <c r="K2484" s="415">
        <v>0</v>
      </c>
      <c r="L2484" s="415">
        <v>0</v>
      </c>
      <c r="M2484" s="415">
        <v>0</v>
      </c>
      <c r="N2484" s="415">
        <v>4524.75</v>
      </c>
      <c r="O2484" s="415">
        <v>35028.199999999997</v>
      </c>
      <c r="P2484" s="415">
        <v>47297.85</v>
      </c>
      <c r="Q2484" s="481">
        <f t="shared" si="84"/>
        <v>0</v>
      </c>
    </row>
    <row r="2485" spans="1:17" outlineLevel="2" x14ac:dyDescent="0.3">
      <c r="A2485" s="366" t="str">
        <f>IFERROR(VLOOKUP(RIGHT(E2485,3)+0,[1]SchLocTable!$A$2:$B$47,2,FALSE)," ")</f>
        <v>Roosevelt</v>
      </c>
      <c r="B2485" s="366" t="str">
        <f>VLOOKUP(VALUE(D2485),$D$3:F$106,3,FALSE)</f>
        <v>SPED Aides</v>
      </c>
      <c r="C2485" t="s">
        <v>314</v>
      </c>
      <c r="D2485">
        <v>829</v>
      </c>
      <c r="E2485" t="s">
        <v>864</v>
      </c>
      <c r="F2485" t="s">
        <v>321</v>
      </c>
      <c r="G2485" t="s">
        <v>319</v>
      </c>
      <c r="H2485" s="502">
        <v>52917</v>
      </c>
      <c r="I2485" s="415">
        <v>0</v>
      </c>
      <c r="J2485" s="415">
        <v>0</v>
      </c>
      <c r="K2485" s="415">
        <v>0</v>
      </c>
      <c r="L2485" s="415">
        <v>0</v>
      </c>
      <c r="M2485" s="415">
        <v>0</v>
      </c>
      <c r="N2485" s="415">
        <v>1135.94</v>
      </c>
      <c r="O2485" s="415">
        <v>8404.76</v>
      </c>
      <c r="P2485" s="415">
        <v>8159.76</v>
      </c>
      <c r="Q2485" s="481">
        <f t="shared" si="84"/>
        <v>0</v>
      </c>
    </row>
    <row r="2486" spans="1:17" outlineLevel="2" x14ac:dyDescent="0.3">
      <c r="A2486" s="366" t="str">
        <f>IFERROR(VLOOKUP(RIGHT(E2486,3)+0,[1]SchLocTable!$A$2:$B$47,2,FALSE)," ")</f>
        <v>Roosevelt</v>
      </c>
      <c r="B2486" s="366" t="str">
        <f>VLOOKUP(VALUE(D2486),$D$3:F$106,3,FALSE)</f>
        <v>SPED Aides</v>
      </c>
      <c r="C2486" t="s">
        <v>314</v>
      </c>
      <c r="D2486">
        <v>829</v>
      </c>
      <c r="E2486" t="s">
        <v>864</v>
      </c>
      <c r="F2486" t="s">
        <v>318</v>
      </c>
      <c r="G2486" t="s">
        <v>319</v>
      </c>
      <c r="H2486" s="502">
        <v>51140</v>
      </c>
      <c r="I2486" s="415">
        <v>0</v>
      </c>
      <c r="J2486" s="415">
        <v>0</v>
      </c>
      <c r="K2486" s="415">
        <v>0</v>
      </c>
      <c r="L2486" s="415">
        <v>2100</v>
      </c>
      <c r="M2486" s="415">
        <v>0</v>
      </c>
      <c r="N2486" s="415">
        <v>0</v>
      </c>
      <c r="O2486" s="415">
        <v>0</v>
      </c>
      <c r="P2486" s="415">
        <v>0</v>
      </c>
      <c r="Q2486" s="481">
        <f t="shared" si="84"/>
        <v>0</v>
      </c>
    </row>
    <row r="2487" spans="1:17" outlineLevel="2" x14ac:dyDescent="0.3">
      <c r="A2487" s="366" t="str">
        <f>IFERROR(VLOOKUP(RIGHT(E2487,3)+0,[1]SchLocTable!$A$2:$B$47,2,FALSE)," ")</f>
        <v>Roosevelt</v>
      </c>
      <c r="B2487" s="366" t="str">
        <f>VLOOKUP(VALUE(D2487),$D$3:F$106,3,FALSE)</f>
        <v>SPED Aides</v>
      </c>
      <c r="C2487" t="s">
        <v>314</v>
      </c>
      <c r="D2487">
        <v>829</v>
      </c>
      <c r="E2487" t="s">
        <v>864</v>
      </c>
      <c r="F2487" t="s">
        <v>320</v>
      </c>
      <c r="G2487" t="s">
        <v>319</v>
      </c>
      <c r="H2487" s="502">
        <v>52360</v>
      </c>
      <c r="I2487" s="415">
        <v>0</v>
      </c>
      <c r="J2487" s="415">
        <v>0</v>
      </c>
      <c r="K2487" s="415">
        <v>0</v>
      </c>
      <c r="L2487" s="415">
        <v>30.45</v>
      </c>
      <c r="M2487" s="415">
        <v>0</v>
      </c>
      <c r="N2487" s="415">
        <v>57.6</v>
      </c>
      <c r="O2487" s="415">
        <v>450.95</v>
      </c>
      <c r="P2487" s="415">
        <v>430.17</v>
      </c>
      <c r="Q2487" s="481">
        <f t="shared" si="84"/>
        <v>0</v>
      </c>
    </row>
    <row r="2488" spans="1:17" outlineLevel="2" x14ac:dyDescent="0.3">
      <c r="A2488" s="366" t="str">
        <f>IFERROR(VLOOKUP(RIGHT(E2488,3)+0,[1]SchLocTable!$A$2:$B$47,2,FALSE)," ")</f>
        <v>Roosevelt</v>
      </c>
      <c r="B2488" s="366" t="str">
        <f>VLOOKUP(VALUE(D2488),$D$3:F$106,3,FALSE)</f>
        <v>SPED Aides</v>
      </c>
      <c r="C2488" t="s">
        <v>314</v>
      </c>
      <c r="D2488">
        <v>829</v>
      </c>
      <c r="E2488" t="s">
        <v>864</v>
      </c>
      <c r="F2488" t="s">
        <v>392</v>
      </c>
      <c r="G2488" t="s">
        <v>319</v>
      </c>
      <c r="H2488" s="502">
        <v>52504</v>
      </c>
      <c r="I2488" s="415">
        <v>0</v>
      </c>
      <c r="J2488" s="415">
        <v>0</v>
      </c>
      <c r="K2488" s="415">
        <v>0</v>
      </c>
      <c r="L2488" s="415">
        <v>428.19</v>
      </c>
      <c r="M2488" s="415">
        <v>0</v>
      </c>
      <c r="N2488" s="415">
        <v>860.61</v>
      </c>
      <c r="O2488" s="415">
        <v>5762.1</v>
      </c>
      <c r="P2488" s="415">
        <v>4725.83</v>
      </c>
      <c r="Q2488" s="481">
        <f t="shared" si="84"/>
        <v>0</v>
      </c>
    </row>
    <row r="2489" spans="1:17" outlineLevel="1" x14ac:dyDescent="0.3">
      <c r="A2489" s="366" t="str">
        <f>IFERROR(VLOOKUP(RIGHT(E2489,3)+0,[1]SchLocTable!$A$2:$B$47,2,FALSE)," ")</f>
        <v>Bridgeport Learning Center</v>
      </c>
      <c r="B2489" s="366" t="str">
        <f>VLOOKUP(VALUE(D2489),$D$3:F$106,3,FALSE)</f>
        <v>SPED Aides</v>
      </c>
      <c r="C2489" t="s">
        <v>314</v>
      </c>
      <c r="D2489">
        <v>829</v>
      </c>
      <c r="E2489" t="s">
        <v>865</v>
      </c>
      <c r="F2489" t="s">
        <v>316</v>
      </c>
      <c r="G2489" t="s">
        <v>319</v>
      </c>
      <c r="H2489" s="502">
        <v>51000</v>
      </c>
      <c r="I2489" s="415">
        <v>0</v>
      </c>
      <c r="J2489" s="415">
        <v>0</v>
      </c>
      <c r="K2489" s="415">
        <v>0</v>
      </c>
      <c r="L2489" s="415">
        <v>0</v>
      </c>
      <c r="M2489" s="415">
        <v>0</v>
      </c>
      <c r="N2489" s="415">
        <v>0</v>
      </c>
      <c r="O2489" s="415">
        <v>0</v>
      </c>
      <c r="P2489" s="415">
        <v>64288.79</v>
      </c>
      <c r="Q2489" s="481">
        <f t="shared" si="84"/>
        <v>0</v>
      </c>
    </row>
    <row r="2490" spans="1:17" outlineLevel="2" x14ac:dyDescent="0.3">
      <c r="A2490" s="366" t="str">
        <f>IFERROR(VLOOKUP(RIGHT(E2490,3)+0,[1]SchLocTable!$A$2:$B$47,2,FALSE)," ")</f>
        <v>Bridgeport Learning Center</v>
      </c>
      <c r="B2490" s="366" t="str">
        <f>VLOOKUP(VALUE(D2490),$D$3:F$106,3,FALSE)</f>
        <v>SPED Aides</v>
      </c>
      <c r="C2490" t="s">
        <v>314</v>
      </c>
      <c r="D2490">
        <v>829</v>
      </c>
      <c r="E2490" t="s">
        <v>865</v>
      </c>
      <c r="F2490" t="s">
        <v>321</v>
      </c>
      <c r="G2490" t="s">
        <v>319</v>
      </c>
      <c r="H2490" s="502">
        <v>52917</v>
      </c>
      <c r="I2490" s="415">
        <v>0</v>
      </c>
      <c r="J2490" s="415">
        <v>0</v>
      </c>
      <c r="K2490" s="415">
        <v>0</v>
      </c>
      <c r="L2490" s="415">
        <v>0</v>
      </c>
      <c r="M2490" s="415">
        <v>0</v>
      </c>
      <c r="N2490" s="415">
        <v>0</v>
      </c>
      <c r="O2490" s="415">
        <v>0</v>
      </c>
      <c r="P2490" s="415">
        <v>26056.68</v>
      </c>
      <c r="Q2490" s="481">
        <f t="shared" si="84"/>
        <v>0</v>
      </c>
    </row>
    <row r="2491" spans="1:17" outlineLevel="2" x14ac:dyDescent="0.3">
      <c r="A2491" s="366" t="str">
        <f>IFERROR(VLOOKUP(RIGHT(E2491,3)+0,[1]SchLocTable!$A$2:$B$47,2,FALSE)," ")</f>
        <v>Bridgeport Learning Center</v>
      </c>
      <c r="B2491" s="366" t="str">
        <f>VLOOKUP(VALUE(D2491),$D$3:F$106,3,FALSE)</f>
        <v>SPED Aides</v>
      </c>
      <c r="C2491" t="s">
        <v>314</v>
      </c>
      <c r="D2491">
        <v>829</v>
      </c>
      <c r="E2491" t="s">
        <v>865</v>
      </c>
      <c r="F2491" t="s">
        <v>318</v>
      </c>
      <c r="G2491" t="s">
        <v>319</v>
      </c>
      <c r="H2491" s="502">
        <v>51140</v>
      </c>
      <c r="I2491" s="415">
        <v>0</v>
      </c>
      <c r="J2491" s="415">
        <v>0</v>
      </c>
      <c r="K2491" s="415">
        <v>0</v>
      </c>
      <c r="L2491" s="415">
        <v>19302.5</v>
      </c>
      <c r="M2491" s="415">
        <v>0</v>
      </c>
      <c r="N2491" s="415">
        <v>0</v>
      </c>
      <c r="O2491" s="415">
        <v>0</v>
      </c>
      <c r="P2491" s="415">
        <v>0</v>
      </c>
      <c r="Q2491" s="481">
        <f t="shared" si="84"/>
        <v>0</v>
      </c>
    </row>
    <row r="2492" spans="1:17" outlineLevel="2" x14ac:dyDescent="0.3">
      <c r="A2492" s="366" t="str">
        <f>IFERROR(VLOOKUP(RIGHT(E2492,3)+0,[1]SchLocTable!$A$2:$B$47,2,FALSE)," ")</f>
        <v>Bridgeport Learning Center</v>
      </c>
      <c r="B2492" s="366" t="str">
        <f>VLOOKUP(VALUE(D2492),$D$3:F$106,3,FALSE)</f>
        <v>SPED Aides</v>
      </c>
      <c r="C2492" t="s">
        <v>314</v>
      </c>
      <c r="D2492">
        <v>829</v>
      </c>
      <c r="E2492" t="s">
        <v>865</v>
      </c>
      <c r="F2492" t="s">
        <v>320</v>
      </c>
      <c r="G2492" t="s">
        <v>319</v>
      </c>
      <c r="H2492" s="502">
        <v>52360</v>
      </c>
      <c r="I2492" s="415">
        <v>0</v>
      </c>
      <c r="J2492" s="415">
        <v>0</v>
      </c>
      <c r="K2492" s="415">
        <v>0</v>
      </c>
      <c r="L2492" s="415">
        <v>278.93</v>
      </c>
      <c r="M2492" s="415">
        <v>0</v>
      </c>
      <c r="N2492" s="415">
        <v>0</v>
      </c>
      <c r="O2492" s="415">
        <v>0</v>
      </c>
      <c r="P2492" s="415">
        <v>766.5</v>
      </c>
      <c r="Q2492" s="481">
        <f t="shared" si="84"/>
        <v>0</v>
      </c>
    </row>
    <row r="2493" spans="1:17" outlineLevel="2" x14ac:dyDescent="0.3">
      <c r="A2493" s="366" t="str">
        <f>IFERROR(VLOOKUP(RIGHT(E2493,3)+0,[1]SchLocTable!$A$2:$B$47,2,FALSE)," ")</f>
        <v>Bridgeport Learning Center</v>
      </c>
      <c r="B2493" s="366" t="str">
        <f>VLOOKUP(VALUE(D2493),$D$3:F$106,3,FALSE)</f>
        <v>SPED Aides</v>
      </c>
      <c r="C2493" t="s">
        <v>314</v>
      </c>
      <c r="D2493">
        <v>829</v>
      </c>
      <c r="E2493" t="s">
        <v>865</v>
      </c>
      <c r="F2493" t="s">
        <v>392</v>
      </c>
      <c r="G2493" t="s">
        <v>319</v>
      </c>
      <c r="H2493" s="502">
        <v>52504</v>
      </c>
      <c r="I2493" s="415">
        <v>0</v>
      </c>
      <c r="J2493" s="415">
        <v>0</v>
      </c>
      <c r="K2493" s="415">
        <v>0</v>
      </c>
      <c r="L2493" s="415">
        <v>3935.77</v>
      </c>
      <c r="M2493" s="415">
        <v>0</v>
      </c>
      <c r="N2493" s="415">
        <v>0</v>
      </c>
      <c r="O2493" s="415">
        <v>0</v>
      </c>
      <c r="P2493" s="415">
        <v>7522.26</v>
      </c>
      <c r="Q2493" s="481">
        <f t="shared" si="84"/>
        <v>0</v>
      </c>
    </row>
    <row r="2494" spans="1:17" outlineLevel="2" x14ac:dyDescent="0.3">
      <c r="A2494" s="366" t="str">
        <f>IFERROR(VLOOKUP(RIGHT(E2494,3)+0,[1]SchLocTable!$A$2:$B$47,2,FALSE)," ")</f>
        <v>Waltersville</v>
      </c>
      <c r="B2494" s="366" t="str">
        <f>VLOOKUP(VALUE(D2494),$D$3:F$106,3,FALSE)</f>
        <v>SPED Aides</v>
      </c>
      <c r="C2494" t="s">
        <v>314</v>
      </c>
      <c r="D2494">
        <v>829</v>
      </c>
      <c r="E2494" t="s">
        <v>866</v>
      </c>
      <c r="F2494" t="s">
        <v>316</v>
      </c>
      <c r="G2494">
        <v>7</v>
      </c>
      <c r="H2494" s="502">
        <v>51000</v>
      </c>
      <c r="I2494" s="415">
        <v>269757.87423999998</v>
      </c>
      <c r="J2494" s="415">
        <v>75487.429999999993</v>
      </c>
      <c r="K2494" s="415">
        <v>98308.53</v>
      </c>
      <c r="L2494" s="415">
        <v>58719.51</v>
      </c>
      <c r="M2494" s="415">
        <v>54316.639999999999</v>
      </c>
      <c r="N2494" s="415">
        <v>0</v>
      </c>
      <c r="O2494" s="415">
        <v>2278.27</v>
      </c>
      <c r="P2494" s="415">
        <v>51753.03</v>
      </c>
      <c r="Q2494" s="481">
        <f t="shared" si="84"/>
        <v>-194270.44423999998</v>
      </c>
    </row>
    <row r="2495" spans="1:17" outlineLevel="2" x14ac:dyDescent="0.3">
      <c r="A2495" s="366" t="str">
        <f>IFERROR(VLOOKUP(RIGHT(E2495,3)+0,[1]SchLocTable!$A$2:$B$47,2,FALSE)," ")</f>
        <v>Waltersville</v>
      </c>
      <c r="B2495" s="366" t="str">
        <f>VLOOKUP(VALUE(D2495),$D$3:F$106,3,FALSE)</f>
        <v>SPED Aides</v>
      </c>
      <c r="C2495" t="s">
        <v>314</v>
      </c>
      <c r="D2495">
        <v>829</v>
      </c>
      <c r="E2495" t="s">
        <v>866</v>
      </c>
      <c r="F2495" t="s">
        <v>360</v>
      </c>
      <c r="G2495" t="s">
        <v>319</v>
      </c>
      <c r="H2495" s="502">
        <v>52920</v>
      </c>
      <c r="I2495" s="415">
        <v>1333.36</v>
      </c>
      <c r="J2495" s="415">
        <v>791.68</v>
      </c>
      <c r="K2495" s="415">
        <v>1000</v>
      </c>
      <c r="L2495" s="415">
        <v>958.34</v>
      </c>
      <c r="M2495" s="415">
        <v>791.68</v>
      </c>
      <c r="N2495" s="415">
        <v>0</v>
      </c>
      <c r="O2495" s="415">
        <v>0</v>
      </c>
      <c r="P2495" s="415">
        <v>0</v>
      </c>
      <c r="Q2495" s="481">
        <f t="shared" ref="Q2495:Q2558" si="85">J2495-I2495</f>
        <v>-541.67999999999995</v>
      </c>
    </row>
    <row r="2496" spans="1:17" outlineLevel="2" x14ac:dyDescent="0.3">
      <c r="A2496" s="366" t="str">
        <f>IFERROR(VLOOKUP(RIGHT(E2496,3)+0,[1]SchLocTable!$A$2:$B$47,2,FALSE)," ")</f>
        <v>Waltersville</v>
      </c>
      <c r="B2496" s="366" t="str">
        <f>VLOOKUP(VALUE(D2496),$D$3:F$106,3,FALSE)</f>
        <v>SPED Aides</v>
      </c>
      <c r="C2496" t="s">
        <v>314</v>
      </c>
      <c r="D2496">
        <v>829</v>
      </c>
      <c r="E2496" t="s">
        <v>866</v>
      </c>
      <c r="F2496" t="s">
        <v>321</v>
      </c>
      <c r="G2496" t="s">
        <v>319</v>
      </c>
      <c r="H2496" s="502">
        <v>52917</v>
      </c>
      <c r="I2496" s="415">
        <v>42729.732000000004</v>
      </c>
      <c r="J2496" s="415">
        <v>2049.5500000000002</v>
      </c>
      <c r="K2496" s="415">
        <v>9573.93</v>
      </c>
      <c r="L2496" s="415">
        <v>7837.06</v>
      </c>
      <c r="M2496" s="415">
        <v>0</v>
      </c>
      <c r="N2496" s="415">
        <v>0</v>
      </c>
      <c r="O2496" s="415">
        <v>540.66</v>
      </c>
      <c r="P2496" s="415">
        <v>8929.92</v>
      </c>
      <c r="Q2496" s="481">
        <f t="shared" si="85"/>
        <v>-40680.182000000001</v>
      </c>
    </row>
    <row r="2497" spans="1:17" outlineLevel="2" x14ac:dyDescent="0.3">
      <c r="A2497" s="366" t="str">
        <f>IFERROR(VLOOKUP(RIGHT(E2497,3)+0,[1]SchLocTable!$A$2:$B$47,2,FALSE)," ")</f>
        <v>Waltersville</v>
      </c>
      <c r="B2497" s="366" t="str">
        <f>VLOOKUP(VALUE(D2497),$D$3:F$106,3,FALSE)</f>
        <v>SPED Aides</v>
      </c>
      <c r="C2497" t="s">
        <v>314</v>
      </c>
      <c r="D2497">
        <v>829</v>
      </c>
      <c r="E2497" t="s">
        <v>866</v>
      </c>
      <c r="F2497" t="s">
        <v>318</v>
      </c>
      <c r="G2497" t="s">
        <v>319</v>
      </c>
      <c r="H2497" s="502">
        <v>51140</v>
      </c>
      <c r="I2497" s="415">
        <v>0</v>
      </c>
      <c r="J2497" s="415">
        <v>0</v>
      </c>
      <c r="K2497" s="415">
        <v>0</v>
      </c>
      <c r="L2497" s="415">
        <v>2240</v>
      </c>
      <c r="M2497" s="415">
        <v>0</v>
      </c>
      <c r="N2497" s="415">
        <v>0</v>
      </c>
      <c r="O2497" s="415">
        <v>0</v>
      </c>
      <c r="P2497" s="415">
        <v>1800</v>
      </c>
      <c r="Q2497" s="481">
        <f t="shared" si="85"/>
        <v>0</v>
      </c>
    </row>
    <row r="2498" spans="1:17" outlineLevel="2" x14ac:dyDescent="0.3">
      <c r="A2498" s="366" t="str">
        <f>IFERROR(VLOOKUP(RIGHT(E2498,3)+0,[1]SchLocTable!$A$2:$B$47,2,FALSE)," ")</f>
        <v>Waltersville</v>
      </c>
      <c r="B2498" s="366" t="str">
        <f>VLOOKUP(VALUE(D2498),$D$3:F$106,3,FALSE)</f>
        <v>SPED Aides</v>
      </c>
      <c r="C2498" t="s">
        <v>314</v>
      </c>
      <c r="D2498">
        <v>829</v>
      </c>
      <c r="E2498" t="s">
        <v>866</v>
      </c>
      <c r="F2498" t="s">
        <v>320</v>
      </c>
      <c r="G2498" t="s">
        <v>319</v>
      </c>
      <c r="H2498" s="502">
        <v>52360</v>
      </c>
      <c r="I2498" s="415">
        <v>3930.8228964800001</v>
      </c>
      <c r="J2498" s="415">
        <v>1077.0899999999999</v>
      </c>
      <c r="K2498" s="415">
        <v>1393.73</v>
      </c>
      <c r="L2498" s="415">
        <v>836.64</v>
      </c>
      <c r="M2498" s="415">
        <v>799.07</v>
      </c>
      <c r="N2498" s="415">
        <v>0</v>
      </c>
      <c r="O2498" s="415">
        <v>33.03</v>
      </c>
      <c r="P2498" s="415">
        <v>571.17999999999995</v>
      </c>
      <c r="Q2498" s="481">
        <f t="shared" si="85"/>
        <v>-2853.7328964799999</v>
      </c>
    </row>
    <row r="2499" spans="1:17" outlineLevel="1" x14ac:dyDescent="0.3">
      <c r="A2499" s="366" t="str">
        <f>IFERROR(VLOOKUP(RIGHT(E2499,3)+0,[1]SchLocTable!$A$2:$B$47,2,FALSE)," ")</f>
        <v>Waltersville</v>
      </c>
      <c r="B2499" s="366" t="str">
        <f>VLOOKUP(VALUE(D2499),$D$3:F$106,3,FALSE)</f>
        <v>SPED Aides</v>
      </c>
      <c r="C2499" t="s">
        <v>314</v>
      </c>
      <c r="D2499">
        <v>829</v>
      </c>
      <c r="E2499" t="s">
        <v>866</v>
      </c>
      <c r="F2499" t="s">
        <v>392</v>
      </c>
      <c r="G2499" t="s">
        <v>319</v>
      </c>
      <c r="H2499" s="502">
        <v>52504</v>
      </c>
      <c r="I2499" s="415">
        <v>56284.758475071998</v>
      </c>
      <c r="J2499" s="415">
        <v>14924.55</v>
      </c>
      <c r="K2499" s="415">
        <v>20470.259999999998</v>
      </c>
      <c r="L2499" s="415">
        <v>8114.68</v>
      </c>
      <c r="M2499" s="415">
        <v>3622.12</v>
      </c>
      <c r="N2499" s="415">
        <v>0</v>
      </c>
      <c r="O2499" s="415">
        <v>373.41</v>
      </c>
      <c r="P2499" s="415">
        <v>5617.61</v>
      </c>
      <c r="Q2499" s="481">
        <f t="shared" si="85"/>
        <v>-41360.208475071995</v>
      </c>
    </row>
    <row r="2500" spans="1:17" outlineLevel="2" x14ac:dyDescent="0.3">
      <c r="A2500" s="366" t="str">
        <f>IFERROR(VLOOKUP(RIGHT(E2500,3)+0,[1]SchLocTable!$A$2:$B$47,2,FALSE)," ")</f>
        <v>Waltersville</v>
      </c>
      <c r="B2500" s="366" t="str">
        <f>VLOOKUP(VALUE(D2500),$D$3:F$106,3,FALSE)</f>
        <v>SPED Aides</v>
      </c>
      <c r="C2500" t="s">
        <v>314</v>
      </c>
      <c r="D2500">
        <v>829</v>
      </c>
      <c r="E2500" t="s">
        <v>866</v>
      </c>
      <c r="F2500" t="s">
        <v>324</v>
      </c>
      <c r="G2500" t="s">
        <v>319</v>
      </c>
      <c r="H2500" s="502">
        <v>52385</v>
      </c>
      <c r="I2500" s="415">
        <v>0</v>
      </c>
      <c r="J2500" s="415">
        <v>1750.05</v>
      </c>
      <c r="K2500" s="415">
        <v>0</v>
      </c>
      <c r="L2500" s="415">
        <v>1321.35</v>
      </c>
      <c r="M2500" s="415">
        <v>2273.3200000000002</v>
      </c>
      <c r="N2500" s="415">
        <v>0</v>
      </c>
      <c r="O2500" s="415">
        <v>0</v>
      </c>
      <c r="P2500" s="415">
        <v>0</v>
      </c>
      <c r="Q2500" s="481">
        <f t="shared" si="85"/>
        <v>1750.05</v>
      </c>
    </row>
    <row r="2501" spans="1:17" outlineLevel="2" x14ac:dyDescent="0.3">
      <c r="A2501" s="366" t="str">
        <f>IFERROR(VLOOKUP(RIGHT(E2501,3)+0,[1]SchLocTable!$A$2:$B$47,2,FALSE)," ")</f>
        <v>Claytor</v>
      </c>
      <c r="B2501" s="366" t="str">
        <f>VLOOKUP(VALUE(D2501),$D$3:F$106,3,FALSE)</f>
        <v>SPED Aides</v>
      </c>
      <c r="C2501" t="s">
        <v>314</v>
      </c>
      <c r="D2501">
        <v>829</v>
      </c>
      <c r="E2501" t="s">
        <v>867</v>
      </c>
      <c r="F2501" t="s">
        <v>316</v>
      </c>
      <c r="G2501" t="s">
        <v>319</v>
      </c>
      <c r="H2501" s="502">
        <v>51000</v>
      </c>
      <c r="I2501" s="415">
        <v>0</v>
      </c>
      <c r="J2501" s="415">
        <v>0</v>
      </c>
      <c r="K2501" s="415">
        <v>0</v>
      </c>
      <c r="L2501" s="415">
        <v>0</v>
      </c>
      <c r="M2501" s="415">
        <v>0</v>
      </c>
      <c r="N2501" s="415">
        <v>0</v>
      </c>
      <c r="O2501" s="415">
        <v>32298.67</v>
      </c>
      <c r="P2501" s="415">
        <v>117386.11</v>
      </c>
      <c r="Q2501" s="481">
        <f t="shared" si="85"/>
        <v>0</v>
      </c>
    </row>
    <row r="2502" spans="1:17" outlineLevel="2" x14ac:dyDescent="0.3">
      <c r="A2502" s="366" t="str">
        <f>IFERROR(VLOOKUP(RIGHT(E2502,3)+0,[1]SchLocTable!$A$2:$B$47,2,FALSE)," ")</f>
        <v>Claytor</v>
      </c>
      <c r="B2502" s="366" t="str">
        <f>VLOOKUP(VALUE(D2502),$D$3:F$106,3,FALSE)</f>
        <v>SPED Aides</v>
      </c>
      <c r="C2502" t="s">
        <v>314</v>
      </c>
      <c r="D2502">
        <v>829</v>
      </c>
      <c r="E2502" t="s">
        <v>867</v>
      </c>
      <c r="F2502" t="s">
        <v>321</v>
      </c>
      <c r="G2502" t="s">
        <v>319</v>
      </c>
      <c r="H2502" s="502">
        <v>52917</v>
      </c>
      <c r="I2502" s="415">
        <v>0</v>
      </c>
      <c r="J2502" s="415">
        <v>0</v>
      </c>
      <c r="K2502" s="415">
        <v>0</v>
      </c>
      <c r="L2502" s="415">
        <v>0</v>
      </c>
      <c r="M2502" s="415">
        <v>0</v>
      </c>
      <c r="N2502" s="415">
        <v>0</v>
      </c>
      <c r="O2502" s="415">
        <v>1835.89</v>
      </c>
      <c r="P2502" s="415">
        <v>15268.46</v>
      </c>
      <c r="Q2502" s="481">
        <f t="shared" si="85"/>
        <v>0</v>
      </c>
    </row>
    <row r="2503" spans="1:17" outlineLevel="2" x14ac:dyDescent="0.3">
      <c r="A2503" s="366" t="str">
        <f>IFERROR(VLOOKUP(RIGHT(E2503,3)+0,[1]SchLocTable!$A$2:$B$47,2,FALSE)," ")</f>
        <v>Claytor</v>
      </c>
      <c r="B2503" s="366" t="str">
        <f>VLOOKUP(VALUE(D2503),$D$3:F$106,3,FALSE)</f>
        <v>SPED Aides</v>
      </c>
      <c r="C2503" t="s">
        <v>314</v>
      </c>
      <c r="D2503">
        <v>829</v>
      </c>
      <c r="E2503" t="s">
        <v>867</v>
      </c>
      <c r="F2503" t="s">
        <v>318</v>
      </c>
      <c r="G2503" t="s">
        <v>319</v>
      </c>
      <c r="H2503" s="502">
        <v>51140</v>
      </c>
      <c r="I2503" s="415">
        <v>0</v>
      </c>
      <c r="J2503" s="415">
        <v>0</v>
      </c>
      <c r="K2503" s="415">
        <v>0</v>
      </c>
      <c r="L2503" s="415">
        <v>840</v>
      </c>
      <c r="M2503" s="415">
        <v>0</v>
      </c>
      <c r="N2503" s="415">
        <v>0</v>
      </c>
      <c r="O2503" s="415">
        <v>0</v>
      </c>
      <c r="P2503" s="415">
        <v>1645.03</v>
      </c>
      <c r="Q2503" s="481">
        <f t="shared" si="85"/>
        <v>0</v>
      </c>
    </row>
    <row r="2504" spans="1:17" outlineLevel="2" x14ac:dyDescent="0.3">
      <c r="A2504" s="366" t="str">
        <f>IFERROR(VLOOKUP(RIGHT(E2504,3)+0,[1]SchLocTable!$A$2:$B$47,2,FALSE)," ")</f>
        <v>Claytor</v>
      </c>
      <c r="B2504" s="366" t="str">
        <f>VLOOKUP(VALUE(D2504),$D$3:F$106,3,FALSE)</f>
        <v>SPED Aides</v>
      </c>
      <c r="C2504" t="s">
        <v>314</v>
      </c>
      <c r="D2504">
        <v>829</v>
      </c>
      <c r="E2504" t="s">
        <v>867</v>
      </c>
      <c r="F2504" t="s">
        <v>320</v>
      </c>
      <c r="G2504" t="s">
        <v>319</v>
      </c>
      <c r="H2504" s="502">
        <v>52360</v>
      </c>
      <c r="I2504" s="415">
        <v>0</v>
      </c>
      <c r="J2504" s="415">
        <v>0</v>
      </c>
      <c r="K2504" s="415">
        <v>0</v>
      </c>
      <c r="L2504" s="415">
        <v>12.18</v>
      </c>
      <c r="M2504" s="415">
        <v>0</v>
      </c>
      <c r="N2504" s="415">
        <v>0</v>
      </c>
      <c r="O2504" s="415">
        <v>505.12</v>
      </c>
      <c r="P2504" s="415">
        <v>1313.7</v>
      </c>
      <c r="Q2504" s="481">
        <f t="shared" si="85"/>
        <v>0</v>
      </c>
    </row>
    <row r="2505" spans="1:17" outlineLevel="1" x14ac:dyDescent="0.3">
      <c r="A2505" s="366" t="str">
        <f>IFERROR(VLOOKUP(RIGHT(E2505,3)+0,[1]SchLocTable!$A$2:$B$47,2,FALSE)," ")</f>
        <v>Claytor</v>
      </c>
      <c r="B2505" s="366" t="str">
        <f>VLOOKUP(VALUE(D2505),$D$3:F$106,3,FALSE)</f>
        <v>SPED Aides</v>
      </c>
      <c r="C2505" t="s">
        <v>314</v>
      </c>
      <c r="D2505">
        <v>829</v>
      </c>
      <c r="E2505" t="s">
        <v>867</v>
      </c>
      <c r="F2505" t="s">
        <v>392</v>
      </c>
      <c r="G2505" t="s">
        <v>319</v>
      </c>
      <c r="H2505" s="502">
        <v>52504</v>
      </c>
      <c r="I2505" s="415">
        <v>0</v>
      </c>
      <c r="J2505" s="415">
        <v>0</v>
      </c>
      <c r="K2505" s="415">
        <v>0</v>
      </c>
      <c r="L2505" s="415">
        <v>171.28</v>
      </c>
      <c r="M2505" s="415">
        <v>0</v>
      </c>
      <c r="N2505" s="415">
        <v>0</v>
      </c>
      <c r="O2505" s="415">
        <v>4634.32</v>
      </c>
      <c r="P2505" s="415">
        <v>12694.47</v>
      </c>
      <c r="Q2505" s="481">
        <f t="shared" si="85"/>
        <v>0</v>
      </c>
    </row>
    <row r="2506" spans="1:17" outlineLevel="2" x14ac:dyDescent="0.3">
      <c r="A2506" s="366" t="str">
        <f>IFERROR(VLOOKUP(RIGHT(E2506,3)+0,[1]SchLocTable!$A$2:$B$47,2,FALSE)," ")</f>
        <v>Johnson</v>
      </c>
      <c r="B2506" s="366" t="str">
        <f>VLOOKUP(VALUE(D2506),$D$3:F$106,3,FALSE)</f>
        <v>SPED Aides</v>
      </c>
      <c r="C2506" t="s">
        <v>314</v>
      </c>
      <c r="D2506">
        <v>829</v>
      </c>
      <c r="E2506" t="s">
        <v>868</v>
      </c>
      <c r="F2506" t="s">
        <v>316</v>
      </c>
      <c r="G2506">
        <v>6</v>
      </c>
      <c r="H2506" s="502">
        <v>51000</v>
      </c>
      <c r="I2506" s="415">
        <v>256286.62609999999</v>
      </c>
      <c r="J2506" s="415">
        <v>199492</v>
      </c>
      <c r="K2506" s="415">
        <v>190684.14</v>
      </c>
      <c r="L2506" s="415">
        <v>231986.15</v>
      </c>
      <c r="M2506" s="415">
        <v>223618.43</v>
      </c>
      <c r="N2506" s="415">
        <v>232573.75</v>
      </c>
      <c r="O2506" s="415">
        <v>278830.19</v>
      </c>
      <c r="P2506" s="415">
        <v>237622.29</v>
      </c>
      <c r="Q2506" s="481">
        <f t="shared" si="85"/>
        <v>-56794.626099999994</v>
      </c>
    </row>
    <row r="2507" spans="1:17" outlineLevel="2" x14ac:dyDescent="0.3">
      <c r="A2507" s="366" t="str">
        <f>IFERROR(VLOOKUP(RIGHT(E2507,3)+0,[1]SchLocTable!$A$2:$B$47,2,FALSE)," ")</f>
        <v>Johnson</v>
      </c>
      <c r="B2507" s="366" t="str">
        <f>VLOOKUP(VALUE(D2507),$D$3:F$106,3,FALSE)</f>
        <v>SPED Aides</v>
      </c>
      <c r="C2507" t="s">
        <v>314</v>
      </c>
      <c r="D2507">
        <v>829</v>
      </c>
      <c r="E2507" t="s">
        <v>868</v>
      </c>
      <c r="F2507" t="s">
        <v>360</v>
      </c>
      <c r="G2507" t="s">
        <v>319</v>
      </c>
      <c r="H2507" s="502">
        <v>52920</v>
      </c>
      <c r="I2507" s="415">
        <v>500</v>
      </c>
      <c r="J2507" s="415">
        <v>458.35</v>
      </c>
      <c r="K2507" s="415">
        <v>1000</v>
      </c>
      <c r="L2507" s="415">
        <v>958.35</v>
      </c>
      <c r="M2507" s="415">
        <v>458.35</v>
      </c>
      <c r="N2507" s="415">
        <v>0</v>
      </c>
      <c r="O2507" s="415">
        <v>583.34</v>
      </c>
      <c r="P2507" s="415">
        <v>250</v>
      </c>
      <c r="Q2507" s="481">
        <f t="shared" si="85"/>
        <v>-41.649999999999977</v>
      </c>
    </row>
    <row r="2508" spans="1:17" outlineLevel="2" x14ac:dyDescent="0.3">
      <c r="A2508" s="366" t="str">
        <f>IFERROR(VLOOKUP(RIGHT(E2508,3)+0,[1]SchLocTable!$A$2:$B$47,2,FALSE)," ")</f>
        <v>Johnson</v>
      </c>
      <c r="B2508" s="366" t="str">
        <f>VLOOKUP(VALUE(D2508),$D$3:F$106,3,FALSE)</f>
        <v>SPED Aides</v>
      </c>
      <c r="C2508" t="s">
        <v>314</v>
      </c>
      <c r="D2508">
        <v>829</v>
      </c>
      <c r="E2508" t="s">
        <v>868</v>
      </c>
      <c r="F2508" t="s">
        <v>321</v>
      </c>
      <c r="G2508" t="s">
        <v>319</v>
      </c>
      <c r="H2508" s="502">
        <v>52917</v>
      </c>
      <c r="I2508" s="415">
        <v>121663.82399999999</v>
      </c>
      <c r="J2508" s="415">
        <v>74041</v>
      </c>
      <c r="K2508" s="415">
        <v>68335.64</v>
      </c>
      <c r="L2508" s="415">
        <v>90390.85</v>
      </c>
      <c r="M2508" s="415">
        <v>103092.17</v>
      </c>
      <c r="N2508" s="415">
        <v>92557.56</v>
      </c>
      <c r="O2508" s="415">
        <v>99951.34</v>
      </c>
      <c r="P2508" s="415">
        <v>84496.46</v>
      </c>
      <c r="Q2508" s="481">
        <f t="shared" si="85"/>
        <v>-47622.823999999993</v>
      </c>
    </row>
    <row r="2509" spans="1:17" outlineLevel="2" x14ac:dyDescent="0.3">
      <c r="A2509" s="366" t="str">
        <f>IFERROR(VLOOKUP(RIGHT(E2509,3)+0,[1]SchLocTable!$A$2:$B$47,2,FALSE)," ")</f>
        <v>Johnson</v>
      </c>
      <c r="B2509" s="366" t="str">
        <f>VLOOKUP(VALUE(D2509),$D$3:F$106,3,FALSE)</f>
        <v>SPED Aides</v>
      </c>
      <c r="C2509" t="s">
        <v>314</v>
      </c>
      <c r="D2509">
        <v>829</v>
      </c>
      <c r="E2509" t="s">
        <v>868</v>
      </c>
      <c r="F2509" t="s">
        <v>318</v>
      </c>
      <c r="G2509" t="s">
        <v>319</v>
      </c>
      <c r="H2509" s="502">
        <v>51140</v>
      </c>
      <c r="I2509" s="415">
        <v>4740</v>
      </c>
      <c r="J2509" s="415">
        <v>0</v>
      </c>
      <c r="K2509" s="415">
        <v>4600</v>
      </c>
      <c r="L2509" s="415">
        <v>12731.67</v>
      </c>
      <c r="M2509" s="415">
        <v>6910</v>
      </c>
      <c r="N2509" s="415">
        <v>6630</v>
      </c>
      <c r="O2509" s="415">
        <v>6350</v>
      </c>
      <c r="P2509" s="415">
        <v>6070</v>
      </c>
      <c r="Q2509" s="481">
        <f t="shared" si="85"/>
        <v>-4740</v>
      </c>
    </row>
    <row r="2510" spans="1:17" outlineLevel="2" x14ac:dyDescent="0.3">
      <c r="A2510" s="366" t="str">
        <f>IFERROR(VLOOKUP(RIGHT(E2510,3)+0,[1]SchLocTable!$A$2:$B$47,2,FALSE)," ")</f>
        <v>Johnson</v>
      </c>
      <c r="B2510" s="366" t="str">
        <f>VLOOKUP(VALUE(D2510),$D$3:F$106,3,FALSE)</f>
        <v>SPED Aides</v>
      </c>
      <c r="C2510" t="s">
        <v>314</v>
      </c>
      <c r="D2510">
        <v>829</v>
      </c>
      <c r="E2510" t="s">
        <v>868</v>
      </c>
      <c r="F2510" t="s">
        <v>320</v>
      </c>
      <c r="G2510" t="s">
        <v>319</v>
      </c>
      <c r="H2510" s="502">
        <v>52360</v>
      </c>
      <c r="I2510" s="415">
        <v>3723.4060784500007</v>
      </c>
      <c r="J2510" s="415">
        <v>2758</v>
      </c>
      <c r="K2510" s="415">
        <v>2802.32</v>
      </c>
      <c r="L2510" s="415">
        <v>3263.52</v>
      </c>
      <c r="M2510" s="415">
        <v>2940.56</v>
      </c>
      <c r="N2510" s="415">
        <v>3134.1</v>
      </c>
      <c r="O2510" s="415">
        <v>3773.78</v>
      </c>
      <c r="P2510" s="415">
        <v>3031.3</v>
      </c>
      <c r="Q2510" s="481">
        <f t="shared" si="85"/>
        <v>-965.40607845000068</v>
      </c>
    </row>
    <row r="2511" spans="1:17" outlineLevel="2" x14ac:dyDescent="0.3">
      <c r="A2511" s="366" t="str">
        <f>IFERROR(VLOOKUP(RIGHT(E2511,3)+0,[1]SchLocTable!$A$2:$B$47,2,FALSE)," ")</f>
        <v>Johnson</v>
      </c>
      <c r="B2511" s="366" t="str">
        <f>VLOOKUP(VALUE(D2511),$D$3:F$106,3,FALSE)</f>
        <v>SPED Aides</v>
      </c>
      <c r="C2511" t="s">
        <v>314</v>
      </c>
      <c r="D2511">
        <v>829</v>
      </c>
      <c r="E2511" t="s">
        <v>868</v>
      </c>
      <c r="F2511" t="s">
        <v>392</v>
      </c>
      <c r="G2511" t="s">
        <v>319</v>
      </c>
      <c r="H2511" s="502">
        <v>52504</v>
      </c>
      <c r="I2511" s="415">
        <v>53328.260903580012</v>
      </c>
      <c r="J2511" s="415">
        <v>42440</v>
      </c>
      <c r="K2511" s="415">
        <v>41559.839999999997</v>
      </c>
      <c r="L2511" s="415">
        <v>46442.28</v>
      </c>
      <c r="M2511" s="415">
        <v>45584.57</v>
      </c>
      <c r="N2511" s="415">
        <v>41982.51</v>
      </c>
      <c r="O2511" s="415">
        <v>46350.91</v>
      </c>
      <c r="P2511" s="415">
        <v>30340.41</v>
      </c>
      <c r="Q2511" s="481">
        <f t="shared" si="85"/>
        <v>-10888.260903580012</v>
      </c>
    </row>
    <row r="2512" spans="1:17" outlineLevel="2" x14ac:dyDescent="0.3">
      <c r="A2512" s="366" t="str">
        <f>IFERROR(VLOOKUP(RIGHT(E2512,3)+0,[1]SchLocTable!$A$2:$B$47,2,FALSE)," ")</f>
        <v>Johnson</v>
      </c>
      <c r="B2512" s="366" t="str">
        <f>VLOOKUP(VALUE(D2512),$D$3:F$106,3,FALSE)</f>
        <v>SPED Aides</v>
      </c>
      <c r="C2512" t="s">
        <v>314</v>
      </c>
      <c r="D2512">
        <v>829</v>
      </c>
      <c r="E2512" t="s">
        <v>868</v>
      </c>
      <c r="F2512" t="s">
        <v>324</v>
      </c>
      <c r="G2512" t="s">
        <v>319</v>
      </c>
      <c r="H2512" s="502">
        <v>52385</v>
      </c>
      <c r="I2512" s="415">
        <v>0</v>
      </c>
      <c r="J2512" s="415">
        <v>1750.05</v>
      </c>
      <c r="K2512" s="415">
        <v>0</v>
      </c>
      <c r="L2512" s="415">
        <v>1058.6600000000001</v>
      </c>
      <c r="M2512" s="415">
        <v>1112.4100000000001</v>
      </c>
      <c r="N2512" s="415">
        <v>1037.3699999999999</v>
      </c>
      <c r="O2512" s="415">
        <v>118.17</v>
      </c>
      <c r="P2512" s="415">
        <v>1051.1099999999999</v>
      </c>
      <c r="Q2512" s="481">
        <f t="shared" si="85"/>
        <v>1750.05</v>
      </c>
    </row>
    <row r="2513" spans="1:17" outlineLevel="2" x14ac:dyDescent="0.3">
      <c r="A2513" s="366" t="str">
        <f>IFERROR(VLOOKUP(RIGHT(E2513,3)+0,[1]SchLocTable!$A$2:$B$47,2,FALSE)," ")</f>
        <v>Winthrop</v>
      </c>
      <c r="B2513" s="366" t="str">
        <f>VLOOKUP(VALUE(D2513),$D$3:F$106,3,FALSE)</f>
        <v>SPED Aides</v>
      </c>
      <c r="C2513" t="s">
        <v>314</v>
      </c>
      <c r="D2513">
        <v>829</v>
      </c>
      <c r="E2513" t="s">
        <v>869</v>
      </c>
      <c r="F2513" t="s">
        <v>316</v>
      </c>
      <c r="G2513">
        <v>3</v>
      </c>
      <c r="H2513" s="502">
        <v>51000</v>
      </c>
      <c r="I2513" s="415">
        <v>112181.95784799999</v>
      </c>
      <c r="J2513" s="415">
        <v>34034.5</v>
      </c>
      <c r="K2513" s="415">
        <v>63792.23</v>
      </c>
      <c r="L2513" s="415">
        <v>42458.35</v>
      </c>
      <c r="M2513" s="415">
        <v>66970.58</v>
      </c>
      <c r="N2513" s="415">
        <v>38539.620000000003</v>
      </c>
      <c r="O2513" s="415">
        <v>38718.620000000003</v>
      </c>
      <c r="P2513" s="415">
        <v>46752.35</v>
      </c>
      <c r="Q2513" s="481">
        <f t="shared" si="85"/>
        <v>-78147.457847999991</v>
      </c>
    </row>
    <row r="2514" spans="1:17" outlineLevel="2" x14ac:dyDescent="0.3">
      <c r="A2514" s="366" t="str">
        <f>IFERROR(VLOOKUP(RIGHT(E2514,3)+0,[1]SchLocTable!$A$2:$B$47,2,FALSE)," ")</f>
        <v>Winthrop</v>
      </c>
      <c r="B2514" s="366" t="str">
        <f>VLOOKUP(VALUE(D2514),$D$3:F$106,3,FALSE)</f>
        <v>SPED Aides</v>
      </c>
      <c r="C2514" t="s">
        <v>314</v>
      </c>
      <c r="D2514">
        <v>829</v>
      </c>
      <c r="E2514" t="s">
        <v>869</v>
      </c>
      <c r="F2514" t="s">
        <v>360</v>
      </c>
      <c r="G2514" t="s">
        <v>319</v>
      </c>
      <c r="H2514" s="502">
        <v>52920</v>
      </c>
      <c r="I2514" s="415">
        <v>500</v>
      </c>
      <c r="J2514" s="415">
        <v>416.68</v>
      </c>
      <c r="K2514" s="415">
        <v>500</v>
      </c>
      <c r="L2514" s="415">
        <v>458.35</v>
      </c>
      <c r="M2514" s="415">
        <v>166.68</v>
      </c>
      <c r="N2514" s="415">
        <v>0</v>
      </c>
      <c r="O2514" s="415">
        <v>0</v>
      </c>
      <c r="P2514" s="415">
        <v>0</v>
      </c>
      <c r="Q2514" s="481">
        <f t="shared" si="85"/>
        <v>-83.32</v>
      </c>
    </row>
    <row r="2515" spans="1:17" outlineLevel="2" x14ac:dyDescent="0.3">
      <c r="A2515" s="366" t="str">
        <f>IFERROR(VLOOKUP(RIGHT(E2515,3)+0,[1]SchLocTable!$A$2:$B$47,2,FALSE)," ")</f>
        <v>Winthrop</v>
      </c>
      <c r="B2515" s="366" t="str">
        <f>VLOOKUP(VALUE(D2515),$D$3:F$106,3,FALSE)</f>
        <v>SPED Aides</v>
      </c>
      <c r="C2515" t="s">
        <v>314</v>
      </c>
      <c r="D2515">
        <v>829</v>
      </c>
      <c r="E2515" t="s">
        <v>869</v>
      </c>
      <c r="F2515" t="s">
        <v>321</v>
      </c>
      <c r="G2515" t="s">
        <v>319</v>
      </c>
      <c r="H2515" s="502">
        <v>52917</v>
      </c>
      <c r="I2515" s="415">
        <v>32400</v>
      </c>
      <c r="J2515" s="415">
        <v>0</v>
      </c>
      <c r="K2515" s="415">
        <v>22888.32</v>
      </c>
      <c r="L2515" s="415">
        <v>0</v>
      </c>
      <c r="M2515" s="415">
        <v>31425.24</v>
      </c>
      <c r="N2515" s="415">
        <v>29048.46</v>
      </c>
      <c r="O2515" s="415">
        <v>27705.15</v>
      </c>
      <c r="P2515" s="415">
        <v>22334.400000000001</v>
      </c>
      <c r="Q2515" s="481">
        <f t="shared" si="85"/>
        <v>-32400</v>
      </c>
    </row>
    <row r="2516" spans="1:17" outlineLevel="2" x14ac:dyDescent="0.3">
      <c r="A2516" s="366" t="str">
        <f>IFERROR(VLOOKUP(RIGHT(E2516,3)+0,[1]SchLocTable!$A$2:$B$47,2,FALSE)," ")</f>
        <v>Winthrop</v>
      </c>
      <c r="B2516" s="366" t="str">
        <f>VLOOKUP(VALUE(D2516),$D$3:F$106,3,FALSE)</f>
        <v>SPED Aides</v>
      </c>
      <c r="C2516" t="s">
        <v>314</v>
      </c>
      <c r="D2516">
        <v>829</v>
      </c>
      <c r="E2516" t="s">
        <v>869</v>
      </c>
      <c r="F2516" t="s">
        <v>318</v>
      </c>
      <c r="G2516" t="s">
        <v>319</v>
      </c>
      <c r="H2516" s="502">
        <v>51140</v>
      </c>
      <c r="I2516" s="415">
        <v>0</v>
      </c>
      <c r="J2516" s="415">
        <v>0</v>
      </c>
      <c r="K2516" s="415">
        <v>1800</v>
      </c>
      <c r="L2516" s="415">
        <v>3600</v>
      </c>
      <c r="M2516" s="415">
        <v>1800</v>
      </c>
      <c r="N2516" s="415">
        <v>1800</v>
      </c>
      <c r="O2516" s="415">
        <v>1750</v>
      </c>
      <c r="P2516" s="415">
        <v>1680</v>
      </c>
      <c r="Q2516" s="481">
        <f t="shared" si="85"/>
        <v>0</v>
      </c>
    </row>
    <row r="2517" spans="1:17" outlineLevel="2" x14ac:dyDescent="0.3">
      <c r="A2517" s="366" t="str">
        <f>IFERROR(VLOOKUP(RIGHT(E2517,3)+0,[1]SchLocTable!$A$2:$B$47,2,FALSE)," ")</f>
        <v>Winthrop</v>
      </c>
      <c r="B2517" s="366" t="str">
        <f>VLOOKUP(VALUE(D2517),$D$3:F$106,3,FALSE)</f>
        <v>SPED Aides</v>
      </c>
      <c r="C2517" t="s">
        <v>314</v>
      </c>
      <c r="D2517">
        <v>829</v>
      </c>
      <c r="E2517" t="s">
        <v>869</v>
      </c>
      <c r="F2517" t="s">
        <v>320</v>
      </c>
      <c r="G2517" t="s">
        <v>319</v>
      </c>
      <c r="H2517" s="502">
        <v>52360</v>
      </c>
      <c r="I2517" s="415">
        <v>1633.8883887960001</v>
      </c>
      <c r="J2517" s="415">
        <v>493.5</v>
      </c>
      <c r="K2517" s="415">
        <v>899</v>
      </c>
      <c r="L2517" s="415">
        <v>518.49</v>
      </c>
      <c r="M2517" s="415">
        <v>854.75</v>
      </c>
      <c r="N2517" s="415">
        <v>451.6</v>
      </c>
      <c r="O2517" s="415">
        <v>459.21</v>
      </c>
      <c r="P2517" s="415">
        <v>424.15</v>
      </c>
      <c r="Q2517" s="481">
        <f t="shared" si="85"/>
        <v>-1140.3883887960001</v>
      </c>
    </row>
    <row r="2518" spans="1:17" outlineLevel="2" x14ac:dyDescent="0.3">
      <c r="A2518" s="366" t="str">
        <f>IFERROR(VLOOKUP(RIGHT(E2518,3)+0,[1]SchLocTable!$A$2:$B$47,2,FALSE)," ")</f>
        <v>Winthrop</v>
      </c>
      <c r="B2518" s="366" t="str">
        <f>VLOOKUP(VALUE(D2518),$D$3:F$106,3,FALSE)</f>
        <v>SPED Aides</v>
      </c>
      <c r="C2518" t="s">
        <v>314</v>
      </c>
      <c r="D2518">
        <v>829</v>
      </c>
      <c r="E2518" t="s">
        <v>869</v>
      </c>
      <c r="F2518" t="s">
        <v>392</v>
      </c>
      <c r="G2518" t="s">
        <v>319</v>
      </c>
      <c r="H2518" s="502">
        <v>52504</v>
      </c>
      <c r="I2518" s="415">
        <v>23399.3108408144</v>
      </c>
      <c r="J2518" s="415">
        <v>7072.37</v>
      </c>
      <c r="K2518" s="415">
        <v>13505.45</v>
      </c>
      <c r="L2518" s="415">
        <v>6024.89</v>
      </c>
      <c r="M2518" s="415">
        <v>10906.55</v>
      </c>
      <c r="N2518" s="415">
        <v>7672.61</v>
      </c>
      <c r="O2518" s="415">
        <v>6632.86</v>
      </c>
      <c r="P2518" s="415">
        <v>8322</v>
      </c>
      <c r="Q2518" s="481">
        <f t="shared" si="85"/>
        <v>-16326.940840814401</v>
      </c>
    </row>
    <row r="2519" spans="1:17" outlineLevel="2" x14ac:dyDescent="0.3">
      <c r="A2519" s="366" t="str">
        <f>IFERROR(VLOOKUP(RIGHT(E2519,3)+0,[1]SchLocTable!$A$2:$B$47,2,FALSE)," ")</f>
        <v>Winthrop</v>
      </c>
      <c r="B2519" s="366" t="str">
        <f>VLOOKUP(VALUE(D2519),$D$3:F$106,3,FALSE)</f>
        <v>SPED Aides</v>
      </c>
      <c r="C2519" t="s">
        <v>314</v>
      </c>
      <c r="D2519">
        <v>829</v>
      </c>
      <c r="E2519" t="s">
        <v>869</v>
      </c>
      <c r="F2519" t="s">
        <v>324</v>
      </c>
      <c r="G2519" t="s">
        <v>319</v>
      </c>
      <c r="H2519" s="502">
        <v>52385</v>
      </c>
      <c r="I2519" s="415">
        <v>0</v>
      </c>
      <c r="J2519" s="415">
        <v>0</v>
      </c>
      <c r="K2519" s="415">
        <v>0</v>
      </c>
      <c r="L2519" s="415">
        <v>1037.27</v>
      </c>
      <c r="M2519" s="415">
        <v>1109.83</v>
      </c>
      <c r="N2519" s="415">
        <v>0</v>
      </c>
      <c r="O2519" s="415">
        <v>0</v>
      </c>
      <c r="P2519" s="415">
        <v>0</v>
      </c>
      <c r="Q2519" s="481">
        <f t="shared" si="85"/>
        <v>0</v>
      </c>
    </row>
    <row r="2520" spans="1:17" outlineLevel="2" x14ac:dyDescent="0.3">
      <c r="A2520" s="366" t="str">
        <f>IFERROR(VLOOKUP(RIGHT(E2520,3)+0,[1]SchLocTable!$A$2:$B$47,2,FALSE)," ")</f>
        <v>Discovery</v>
      </c>
      <c r="B2520" s="366" t="str">
        <f>VLOOKUP(VALUE(D2520),$D$3:F$106,3,FALSE)</f>
        <v>SPED Aides</v>
      </c>
      <c r="C2520" t="s">
        <v>314</v>
      </c>
      <c r="D2520">
        <v>829</v>
      </c>
      <c r="E2520" t="s">
        <v>870</v>
      </c>
      <c r="F2520" t="s">
        <v>316</v>
      </c>
      <c r="G2520" t="s">
        <v>319</v>
      </c>
      <c r="H2520" s="502">
        <v>51000</v>
      </c>
      <c r="I2520" s="415">
        <v>40000</v>
      </c>
      <c r="J2520" s="415">
        <v>0</v>
      </c>
      <c r="K2520" s="415">
        <v>0</v>
      </c>
      <c r="L2520" s="415">
        <v>0</v>
      </c>
      <c r="M2520" s="415">
        <v>0</v>
      </c>
      <c r="N2520" s="415">
        <v>0</v>
      </c>
      <c r="O2520" s="415">
        <v>0</v>
      </c>
      <c r="P2520" s="415">
        <v>0</v>
      </c>
      <c r="Q2520" s="481">
        <f t="shared" si="85"/>
        <v>-40000</v>
      </c>
    </row>
    <row r="2521" spans="1:17" outlineLevel="1" x14ac:dyDescent="0.3">
      <c r="A2521" s="366" t="str">
        <f>IFERROR(VLOOKUP(RIGHT(E2521,3)+0,[1]SchLocTable!$A$2:$B$47,2,FALSE)," ")</f>
        <v>Discovery</v>
      </c>
      <c r="B2521" s="366" t="str">
        <f>VLOOKUP(VALUE(D2521),$D$3:F$106,3,FALSE)</f>
        <v>SPED Aides</v>
      </c>
      <c r="C2521" t="s">
        <v>314</v>
      </c>
      <c r="D2521">
        <v>829</v>
      </c>
      <c r="E2521" t="s">
        <v>870</v>
      </c>
      <c r="F2521" t="s">
        <v>321</v>
      </c>
      <c r="G2521" t="s">
        <v>319</v>
      </c>
      <c r="H2521" s="502">
        <v>52917</v>
      </c>
      <c r="I2521" s="415">
        <v>32400</v>
      </c>
      <c r="J2521" s="415">
        <v>0</v>
      </c>
      <c r="K2521" s="415">
        <v>0</v>
      </c>
      <c r="L2521" s="415">
        <v>0</v>
      </c>
      <c r="M2521" s="415">
        <v>0</v>
      </c>
      <c r="N2521" s="415">
        <v>0</v>
      </c>
      <c r="O2521" s="415">
        <v>0</v>
      </c>
      <c r="P2521" s="415">
        <v>0</v>
      </c>
      <c r="Q2521" s="481">
        <f t="shared" si="85"/>
        <v>-32400</v>
      </c>
    </row>
    <row r="2522" spans="1:17" x14ac:dyDescent="0.3">
      <c r="A2522" s="366" t="str">
        <f>IFERROR(VLOOKUP(RIGHT(E2522,3)+0,[1]SchLocTable!$A$2:$B$47,2,FALSE)," ")</f>
        <v>Discovery</v>
      </c>
      <c r="B2522" s="366" t="str">
        <f>VLOOKUP(VALUE(D2522),$D$3:F$106,3,FALSE)</f>
        <v>SPED Aides</v>
      </c>
      <c r="C2522" t="s">
        <v>314</v>
      </c>
      <c r="D2522">
        <v>829</v>
      </c>
      <c r="E2522" t="s">
        <v>870</v>
      </c>
      <c r="F2522" t="s">
        <v>318</v>
      </c>
      <c r="G2522" t="s">
        <v>319</v>
      </c>
      <c r="H2522" s="502">
        <v>51140</v>
      </c>
      <c r="I2522" s="415">
        <v>0</v>
      </c>
      <c r="J2522" s="415">
        <v>0</v>
      </c>
      <c r="K2522" s="415">
        <v>0</v>
      </c>
      <c r="L2522" s="415">
        <v>4340</v>
      </c>
      <c r="M2522" s="415">
        <v>0</v>
      </c>
      <c r="N2522" s="415">
        <v>0</v>
      </c>
      <c r="O2522" s="415">
        <v>0</v>
      </c>
      <c r="P2522" s="415">
        <v>0</v>
      </c>
      <c r="Q2522" s="481">
        <f t="shared" si="85"/>
        <v>0</v>
      </c>
    </row>
    <row r="2523" spans="1:17" x14ac:dyDescent="0.3">
      <c r="A2523" s="366" t="str">
        <f>IFERROR(VLOOKUP(RIGHT(E2523,3)+0,[1]SchLocTable!$A$2:$B$47,2,FALSE)," ")</f>
        <v>Discovery</v>
      </c>
      <c r="B2523" s="366" t="str">
        <f>VLOOKUP(VALUE(D2523),$D$3:F$106,3,FALSE)</f>
        <v>SPED Aides</v>
      </c>
      <c r="C2523" t="s">
        <v>314</v>
      </c>
      <c r="D2523">
        <v>829</v>
      </c>
      <c r="E2523" t="s">
        <v>870</v>
      </c>
      <c r="F2523" t="s">
        <v>320</v>
      </c>
      <c r="G2523" t="s">
        <v>319</v>
      </c>
      <c r="H2523" s="502">
        <v>52360</v>
      </c>
      <c r="I2523" s="415">
        <v>580</v>
      </c>
      <c r="J2523" s="415">
        <v>0</v>
      </c>
      <c r="K2523" s="415">
        <v>0</v>
      </c>
      <c r="L2523" s="415">
        <v>62.94</v>
      </c>
      <c r="M2523" s="415">
        <v>0</v>
      </c>
      <c r="N2523" s="415">
        <v>0</v>
      </c>
      <c r="O2523" s="415">
        <v>0</v>
      </c>
      <c r="P2523" s="415">
        <v>0</v>
      </c>
      <c r="Q2523" s="481">
        <f t="shared" si="85"/>
        <v>-580</v>
      </c>
    </row>
    <row r="2524" spans="1:17" x14ac:dyDescent="0.3">
      <c r="A2524" s="366" t="str">
        <f>IFERROR(VLOOKUP(RIGHT(E2524,3)+0,[1]SchLocTable!$A$2:$B$47,2,FALSE)," ")</f>
        <v>Discovery</v>
      </c>
      <c r="B2524" s="366" t="str">
        <f>VLOOKUP(VALUE(D2524),$D$3:F$106,3,FALSE)</f>
        <v>SPED Aides</v>
      </c>
      <c r="C2524" t="s">
        <v>314</v>
      </c>
      <c r="D2524">
        <v>829</v>
      </c>
      <c r="E2524" t="s">
        <v>870</v>
      </c>
      <c r="F2524" t="s">
        <v>392</v>
      </c>
      <c r="G2524" t="s">
        <v>319</v>
      </c>
      <c r="H2524" s="502">
        <v>52504</v>
      </c>
      <c r="I2524" s="415">
        <v>8296</v>
      </c>
      <c r="J2524" s="415">
        <v>0</v>
      </c>
      <c r="K2524" s="415">
        <v>0</v>
      </c>
      <c r="L2524" s="415">
        <v>884.93</v>
      </c>
      <c r="M2524" s="415">
        <v>0</v>
      </c>
      <c r="N2524" s="415">
        <v>0</v>
      </c>
      <c r="O2524" s="415">
        <v>0</v>
      </c>
      <c r="P2524" s="415">
        <v>0</v>
      </c>
      <c r="Q2524" s="481">
        <f t="shared" si="85"/>
        <v>-8296</v>
      </c>
    </row>
    <row r="2525" spans="1:17" x14ac:dyDescent="0.3">
      <c r="A2525" s="366" t="str">
        <f>IFERROR(VLOOKUP(RIGHT(E2525,3)+0,[1]SchLocTable!$A$2:$B$47,2,FALSE)," ")</f>
        <v>Cross</v>
      </c>
      <c r="B2525" s="366" t="str">
        <f>VLOOKUP(VALUE(D2525),$D$3:F$106,3,FALSE)</f>
        <v>SPED Aides</v>
      </c>
      <c r="C2525" t="s">
        <v>314</v>
      </c>
      <c r="D2525">
        <v>829</v>
      </c>
      <c r="E2525" t="s">
        <v>871</v>
      </c>
      <c r="F2525" t="s">
        <v>316</v>
      </c>
      <c r="G2525">
        <v>5</v>
      </c>
      <c r="H2525" s="502">
        <v>51000</v>
      </c>
      <c r="I2525" s="415">
        <v>214452.41474800001</v>
      </c>
      <c r="J2525" s="415">
        <v>85192</v>
      </c>
      <c r="K2525" s="415">
        <v>89637.37</v>
      </c>
      <c r="L2525" s="415">
        <v>78646.710000000006</v>
      </c>
      <c r="M2525" s="415">
        <v>99492.95</v>
      </c>
      <c r="N2525" s="415">
        <v>80794.850000000006</v>
      </c>
      <c r="O2525" s="415">
        <v>94617.64</v>
      </c>
      <c r="P2525" s="415">
        <v>130653.29</v>
      </c>
      <c r="Q2525" s="481">
        <f t="shared" si="85"/>
        <v>-129260.41474800001</v>
      </c>
    </row>
    <row r="2526" spans="1:17" x14ac:dyDescent="0.3">
      <c r="A2526" s="366" t="str">
        <f>IFERROR(VLOOKUP(RIGHT(E2526,3)+0,[1]SchLocTable!$A$2:$B$47,2,FALSE)," ")</f>
        <v>Cross</v>
      </c>
      <c r="B2526" s="366" t="str">
        <f>VLOOKUP(VALUE(D2526),$D$3:F$106,3,FALSE)</f>
        <v>SPED Aides</v>
      </c>
      <c r="C2526" t="s">
        <v>314</v>
      </c>
      <c r="D2526">
        <v>829</v>
      </c>
      <c r="E2526" t="s">
        <v>871</v>
      </c>
      <c r="F2526" t="s">
        <v>360</v>
      </c>
      <c r="G2526" t="s">
        <v>319</v>
      </c>
      <c r="H2526" s="502">
        <v>52920</v>
      </c>
      <c r="I2526" s="415">
        <v>0</v>
      </c>
      <c r="J2526" s="415">
        <v>0</v>
      </c>
      <c r="K2526" s="415">
        <v>0</v>
      </c>
      <c r="L2526" s="415">
        <v>500</v>
      </c>
      <c r="M2526" s="415">
        <v>500</v>
      </c>
      <c r="N2526" s="415">
        <v>0</v>
      </c>
      <c r="O2526" s="415">
        <v>0</v>
      </c>
      <c r="P2526" s="415">
        <v>0</v>
      </c>
      <c r="Q2526" s="481">
        <f t="shared" si="85"/>
        <v>0</v>
      </c>
    </row>
    <row r="2527" spans="1:17" x14ac:dyDescent="0.3">
      <c r="A2527" s="366" t="str">
        <f>IFERROR(VLOOKUP(RIGHT(E2527,3)+0,[1]SchLocTable!$A$2:$B$47,2,FALSE)," ")</f>
        <v>Cross</v>
      </c>
      <c r="B2527" s="366" t="str">
        <f>VLOOKUP(VALUE(D2527),$D$3:F$106,3,FALSE)</f>
        <v>SPED Aides</v>
      </c>
      <c r="C2527" t="s">
        <v>314</v>
      </c>
      <c r="D2527">
        <v>829</v>
      </c>
      <c r="E2527" t="s">
        <v>871</v>
      </c>
      <c r="F2527" t="s">
        <v>321</v>
      </c>
      <c r="G2527" t="s">
        <v>319</v>
      </c>
      <c r="H2527" s="502">
        <v>52917</v>
      </c>
      <c r="I2527" s="415">
        <v>85771.512000000002</v>
      </c>
      <c r="J2527" s="415">
        <v>44256</v>
      </c>
      <c r="K2527" s="415">
        <v>39399.19</v>
      </c>
      <c r="L2527" s="415">
        <v>37896.29</v>
      </c>
      <c r="M2527" s="415">
        <v>37325.07</v>
      </c>
      <c r="N2527" s="415">
        <v>34501.21</v>
      </c>
      <c r="O2527" s="415">
        <v>52771.94</v>
      </c>
      <c r="P2527" s="415">
        <v>56808.28</v>
      </c>
      <c r="Q2527" s="481">
        <f t="shared" si="85"/>
        <v>-41515.512000000002</v>
      </c>
    </row>
    <row r="2528" spans="1:17" x14ac:dyDescent="0.3">
      <c r="A2528" s="366" t="str">
        <f>IFERROR(VLOOKUP(RIGHT(E2528,3)+0,[1]SchLocTable!$A$2:$B$47,2,FALSE)," ")</f>
        <v>Cross</v>
      </c>
      <c r="B2528" s="366" t="str">
        <f>VLOOKUP(VALUE(D2528),$D$3:F$106,3,FALSE)</f>
        <v>SPED Aides</v>
      </c>
      <c r="C2528" t="s">
        <v>314</v>
      </c>
      <c r="D2528">
        <v>829</v>
      </c>
      <c r="E2528" t="s">
        <v>871</v>
      </c>
      <c r="F2528" t="s">
        <v>318</v>
      </c>
      <c r="G2528" t="s">
        <v>319</v>
      </c>
      <c r="H2528" s="502">
        <v>51140</v>
      </c>
      <c r="I2528" s="415">
        <v>2800</v>
      </c>
      <c r="J2528" s="415">
        <v>0</v>
      </c>
      <c r="K2528" s="415">
        <v>2660</v>
      </c>
      <c r="L2528" s="415">
        <v>5833.33</v>
      </c>
      <c r="M2528" s="415">
        <v>2380</v>
      </c>
      <c r="N2528" s="415">
        <v>2240</v>
      </c>
      <c r="O2528" s="415">
        <v>2800</v>
      </c>
      <c r="P2528" s="415">
        <v>1330</v>
      </c>
      <c r="Q2528" s="481">
        <f t="shared" si="85"/>
        <v>-2800</v>
      </c>
    </row>
    <row r="2529" spans="1:17" x14ac:dyDescent="0.3">
      <c r="A2529" s="366" t="str">
        <f>IFERROR(VLOOKUP(RIGHT(E2529,3)+0,[1]SchLocTable!$A$2:$B$47,2,FALSE)," ")</f>
        <v>Cross</v>
      </c>
      <c r="B2529" s="366" t="str">
        <f>VLOOKUP(VALUE(D2529),$D$3:F$106,3,FALSE)</f>
        <v>SPED Aides</v>
      </c>
      <c r="C2529" t="s">
        <v>314</v>
      </c>
      <c r="D2529">
        <v>829</v>
      </c>
      <c r="E2529" t="s">
        <v>871</v>
      </c>
      <c r="F2529" t="s">
        <v>320</v>
      </c>
      <c r="G2529" t="s">
        <v>319</v>
      </c>
      <c r="H2529" s="502">
        <v>52360</v>
      </c>
      <c r="I2529" s="415">
        <v>3109.5600138459999</v>
      </c>
      <c r="J2529" s="415">
        <v>1132</v>
      </c>
      <c r="K2529" s="415">
        <v>1303.17</v>
      </c>
      <c r="L2529" s="415">
        <v>1112.81</v>
      </c>
      <c r="M2529" s="415">
        <v>1565.7</v>
      </c>
      <c r="N2529" s="415">
        <v>1094.18</v>
      </c>
      <c r="O2529" s="415">
        <v>1287.8900000000001</v>
      </c>
      <c r="P2529" s="415">
        <v>1568.23</v>
      </c>
      <c r="Q2529" s="481">
        <f t="shared" si="85"/>
        <v>-1977.5600138459999</v>
      </c>
    </row>
    <row r="2530" spans="1:17" x14ac:dyDescent="0.3">
      <c r="A2530" s="366" t="str">
        <f>IFERROR(VLOOKUP(RIGHT(E2530,3)+0,[1]SchLocTable!$A$2:$B$47,2,FALSE)," ")</f>
        <v>Cross</v>
      </c>
      <c r="B2530" s="366" t="str">
        <f>VLOOKUP(VALUE(D2530),$D$3:F$106,3,FALSE)</f>
        <v>SPED Aides</v>
      </c>
      <c r="C2530" t="s">
        <v>314</v>
      </c>
      <c r="D2530">
        <v>829</v>
      </c>
      <c r="E2530" t="s">
        <v>871</v>
      </c>
      <c r="F2530" t="s">
        <v>392</v>
      </c>
      <c r="G2530" t="s">
        <v>319</v>
      </c>
      <c r="H2530" s="502">
        <v>52504</v>
      </c>
      <c r="I2530" s="415">
        <v>44515.211784634404</v>
      </c>
      <c r="J2530" s="415">
        <v>18285</v>
      </c>
      <c r="K2530" s="415">
        <v>19774.91</v>
      </c>
      <c r="L2530" s="415">
        <v>17059.87</v>
      </c>
      <c r="M2530" s="415">
        <v>25168.080000000002</v>
      </c>
      <c r="N2530" s="415">
        <v>15857.77</v>
      </c>
      <c r="O2530" s="415">
        <v>16014.34</v>
      </c>
      <c r="P2530" s="415">
        <v>16804.240000000002</v>
      </c>
      <c r="Q2530" s="481">
        <f t="shared" si="85"/>
        <v>-26230.211784634404</v>
      </c>
    </row>
    <row r="2531" spans="1:17" x14ac:dyDescent="0.3">
      <c r="A2531" s="366" t="str">
        <f>IFERROR(VLOOKUP(RIGHT(E2531,3)+0,[1]SchLocTable!$A$2:$B$47,2,FALSE)," ")</f>
        <v>Blackham</v>
      </c>
      <c r="B2531" s="366" t="str">
        <f>VLOOKUP(VALUE(D2531),$D$3:F$106,3,FALSE)</f>
        <v>SPED Aides</v>
      </c>
      <c r="C2531" t="s">
        <v>314</v>
      </c>
      <c r="D2531">
        <v>829</v>
      </c>
      <c r="E2531" t="s">
        <v>872</v>
      </c>
      <c r="F2531" t="s">
        <v>316</v>
      </c>
      <c r="G2531">
        <v>4</v>
      </c>
      <c r="H2531" s="502">
        <v>51000</v>
      </c>
      <c r="I2531" s="415">
        <v>158884.58164700001</v>
      </c>
      <c r="J2531" s="415">
        <v>106416.16</v>
      </c>
      <c r="K2531" s="415">
        <v>104655.36</v>
      </c>
      <c r="L2531" s="415">
        <v>39649.699999999997</v>
      </c>
      <c r="M2531" s="415">
        <v>37965.99</v>
      </c>
      <c r="N2531" s="415">
        <v>79652.070000000007</v>
      </c>
      <c r="O2531" s="415">
        <v>78891.839999999997</v>
      </c>
      <c r="P2531" s="415">
        <v>275202.03999999998</v>
      </c>
      <c r="Q2531" s="481">
        <f t="shared" si="85"/>
        <v>-52468.42164700001</v>
      </c>
    </row>
    <row r="2532" spans="1:17" x14ac:dyDescent="0.3">
      <c r="A2532" s="366" t="str">
        <f>IFERROR(VLOOKUP(RIGHT(E2532,3)+0,[1]SchLocTable!$A$2:$B$47,2,FALSE)," ")</f>
        <v>Blackham</v>
      </c>
      <c r="B2532" s="366" t="str">
        <f>VLOOKUP(VALUE(D2532),$D$3:F$106,3,FALSE)</f>
        <v>SPED Aides</v>
      </c>
      <c r="C2532" t="s">
        <v>314</v>
      </c>
      <c r="D2532">
        <v>829</v>
      </c>
      <c r="E2532" t="s">
        <v>872</v>
      </c>
      <c r="F2532" t="s">
        <v>360</v>
      </c>
      <c r="G2532" t="s">
        <v>319</v>
      </c>
      <c r="H2532" s="502">
        <v>52920</v>
      </c>
      <c r="I2532" s="415">
        <v>833.36</v>
      </c>
      <c r="J2532" s="415">
        <v>375</v>
      </c>
      <c r="K2532" s="415">
        <v>500</v>
      </c>
      <c r="L2532" s="415">
        <v>500</v>
      </c>
      <c r="M2532" s="415">
        <v>375</v>
      </c>
      <c r="N2532" s="415">
        <v>0</v>
      </c>
      <c r="O2532" s="415">
        <v>0</v>
      </c>
      <c r="P2532" s="415">
        <v>0</v>
      </c>
      <c r="Q2532" s="481">
        <f t="shared" si="85"/>
        <v>-458.36</v>
      </c>
    </row>
    <row r="2533" spans="1:17" x14ac:dyDescent="0.3">
      <c r="A2533" s="366" t="str">
        <f>IFERROR(VLOOKUP(RIGHT(E2533,3)+0,[1]SchLocTable!$A$2:$B$47,2,FALSE)," ")</f>
        <v>Blackham</v>
      </c>
      <c r="B2533" s="366" t="str">
        <f>VLOOKUP(VALUE(D2533),$D$3:F$106,3,FALSE)</f>
        <v>SPED Aides</v>
      </c>
      <c r="C2533" t="s">
        <v>314</v>
      </c>
      <c r="D2533">
        <v>829</v>
      </c>
      <c r="E2533" t="s">
        <v>872</v>
      </c>
      <c r="F2533" t="s">
        <v>321</v>
      </c>
      <c r="G2533" t="s">
        <v>319</v>
      </c>
      <c r="H2533" s="502">
        <v>52917</v>
      </c>
      <c r="I2533" s="415">
        <v>49336.644</v>
      </c>
      <c r="J2533" s="415">
        <v>14163.1</v>
      </c>
      <c r="K2533" s="415">
        <v>19581.12</v>
      </c>
      <c r="L2533" s="415">
        <v>10862.39</v>
      </c>
      <c r="M2533" s="415">
        <v>5137.03</v>
      </c>
      <c r="N2533" s="415">
        <v>35746.49</v>
      </c>
      <c r="O2533" s="415">
        <v>34260.410000000003</v>
      </c>
      <c r="P2533" s="415">
        <v>83026.39</v>
      </c>
      <c r="Q2533" s="481">
        <f t="shared" si="85"/>
        <v>-35173.544000000002</v>
      </c>
    </row>
    <row r="2534" spans="1:17" x14ac:dyDescent="0.3">
      <c r="A2534" s="366" t="str">
        <f>IFERROR(VLOOKUP(RIGHT(E2534,3)+0,[1]SchLocTable!$A$2:$B$47,2,FALSE)," ")</f>
        <v>Blackham</v>
      </c>
      <c r="B2534" s="366" t="str">
        <f>VLOOKUP(VALUE(D2534),$D$3:F$106,3,FALSE)</f>
        <v>SPED Aides</v>
      </c>
      <c r="C2534" t="s">
        <v>314</v>
      </c>
      <c r="D2534">
        <v>829</v>
      </c>
      <c r="E2534" t="s">
        <v>872</v>
      </c>
      <c r="F2534" t="s">
        <v>318</v>
      </c>
      <c r="G2534" t="s">
        <v>319</v>
      </c>
      <c r="H2534" s="502">
        <v>51140</v>
      </c>
      <c r="I2534" s="415">
        <v>1800</v>
      </c>
      <c r="J2534" s="415">
        <v>0</v>
      </c>
      <c r="K2534" s="415">
        <v>1800</v>
      </c>
      <c r="L2534" s="415">
        <v>9970</v>
      </c>
      <c r="M2534" s="415">
        <v>1800</v>
      </c>
      <c r="N2534" s="415">
        <v>1800</v>
      </c>
      <c r="O2534" s="415">
        <v>1800</v>
      </c>
      <c r="P2534" s="415">
        <v>2640</v>
      </c>
      <c r="Q2534" s="481">
        <f t="shared" si="85"/>
        <v>-1800</v>
      </c>
    </row>
    <row r="2535" spans="1:17" x14ac:dyDescent="0.3">
      <c r="A2535" s="366" t="str">
        <f>IFERROR(VLOOKUP(RIGHT(E2535,3)+0,[1]SchLocTable!$A$2:$B$47,2,FALSE)," ")</f>
        <v>Blackham</v>
      </c>
      <c r="B2535" s="366" t="str">
        <f>VLOOKUP(VALUE(D2535),$D$3:F$106,3,FALSE)</f>
        <v>SPED Aides</v>
      </c>
      <c r="C2535" t="s">
        <v>314</v>
      </c>
      <c r="D2535">
        <v>829</v>
      </c>
      <c r="E2535" t="s">
        <v>872</v>
      </c>
      <c r="F2535" t="s">
        <v>320</v>
      </c>
      <c r="G2535" t="s">
        <v>319</v>
      </c>
      <c r="H2535" s="502">
        <v>52360</v>
      </c>
      <c r="I2535" s="415">
        <v>2315.9101538815003</v>
      </c>
      <c r="J2535" s="415">
        <v>1526</v>
      </c>
      <c r="K2535" s="415">
        <v>1478.85</v>
      </c>
      <c r="L2535" s="415">
        <v>833.13</v>
      </c>
      <c r="M2535" s="415">
        <v>532.54</v>
      </c>
      <c r="N2535" s="415">
        <v>952.96</v>
      </c>
      <c r="O2535" s="415">
        <v>958.31</v>
      </c>
      <c r="P2535" s="415">
        <v>3121.48</v>
      </c>
      <c r="Q2535" s="481">
        <f t="shared" si="85"/>
        <v>-789.91015388150026</v>
      </c>
    </row>
    <row r="2536" spans="1:17" x14ac:dyDescent="0.3">
      <c r="A2536" s="366" t="str">
        <f>IFERROR(VLOOKUP(RIGHT(E2536,3)+0,[1]SchLocTable!$A$2:$B$47,2,FALSE)," ")</f>
        <v>Blackham</v>
      </c>
      <c r="B2536" s="366" t="str">
        <f>VLOOKUP(VALUE(D2536),$D$3:F$106,3,FALSE)</f>
        <v>SPED Aides</v>
      </c>
      <c r="C2536" t="s">
        <v>314</v>
      </c>
      <c r="D2536">
        <v>829</v>
      </c>
      <c r="E2536" t="s">
        <v>872</v>
      </c>
      <c r="F2536" t="s">
        <v>392</v>
      </c>
      <c r="G2536" t="s">
        <v>319</v>
      </c>
      <c r="H2536" s="502">
        <v>52504</v>
      </c>
      <c r="I2536" s="415">
        <v>33173.388274246608</v>
      </c>
      <c r="J2536" s="415">
        <v>21351.56</v>
      </c>
      <c r="K2536" s="415">
        <v>17842.32</v>
      </c>
      <c r="L2536" s="415">
        <v>9661.19</v>
      </c>
      <c r="M2536" s="415">
        <v>2334.7399999999998</v>
      </c>
      <c r="N2536" s="415">
        <v>15555.11</v>
      </c>
      <c r="O2536" s="415">
        <v>13272.92</v>
      </c>
      <c r="P2536" s="415">
        <v>32646.19</v>
      </c>
      <c r="Q2536" s="481">
        <f t="shared" si="85"/>
        <v>-11821.828274246607</v>
      </c>
    </row>
    <row r="2537" spans="1:17" x14ac:dyDescent="0.3">
      <c r="A2537" s="366" t="str">
        <f>IFERROR(VLOOKUP(RIGHT(E2537,3)+0,[1]SchLocTable!$A$2:$B$47,2,FALSE)," ")</f>
        <v>Blackham</v>
      </c>
      <c r="B2537" s="366" t="str">
        <f>VLOOKUP(VALUE(D2537),$D$3:F$106,3,FALSE)</f>
        <v>SPED Aides</v>
      </c>
      <c r="C2537" t="s">
        <v>314</v>
      </c>
      <c r="D2537">
        <v>829</v>
      </c>
      <c r="E2537" t="s">
        <v>872</v>
      </c>
      <c r="F2537" t="s">
        <v>324</v>
      </c>
      <c r="G2537" t="s">
        <v>319</v>
      </c>
      <c r="H2537" s="502">
        <v>52385</v>
      </c>
      <c r="I2537" s="415">
        <v>0</v>
      </c>
      <c r="J2537" s="415">
        <v>1750.05</v>
      </c>
      <c r="K2537" s="415">
        <v>1169.3699999999999</v>
      </c>
      <c r="L2537" s="415">
        <v>91.96</v>
      </c>
      <c r="M2537" s="415">
        <v>1732.07</v>
      </c>
      <c r="N2537" s="415">
        <v>0</v>
      </c>
      <c r="O2537" s="415">
        <v>0</v>
      </c>
      <c r="P2537" s="415">
        <v>0</v>
      </c>
      <c r="Q2537" s="481">
        <f t="shared" si="85"/>
        <v>1750.05</v>
      </c>
    </row>
    <row r="2538" spans="1:17" x14ac:dyDescent="0.3">
      <c r="A2538" s="366" t="str">
        <f>IFERROR(VLOOKUP(RIGHT(E2538,3)+0,[1]SchLocTable!$A$2:$B$47,2,FALSE)," ")</f>
        <v>Dunbar</v>
      </c>
      <c r="B2538" s="366" t="str">
        <f>VLOOKUP(VALUE(D2538),$D$3:F$106,3,FALSE)</f>
        <v>SPED Aides</v>
      </c>
      <c r="C2538" t="s">
        <v>314</v>
      </c>
      <c r="D2538">
        <v>829</v>
      </c>
      <c r="E2538" t="s">
        <v>873</v>
      </c>
      <c r="F2538" t="s">
        <v>316</v>
      </c>
      <c r="G2538">
        <v>3</v>
      </c>
      <c r="H2538" s="502">
        <v>51000</v>
      </c>
      <c r="I2538" s="415">
        <v>120489.95694999999</v>
      </c>
      <c r="J2538" s="415">
        <v>78585.259999999995</v>
      </c>
      <c r="K2538" s="415">
        <v>93604.06</v>
      </c>
      <c r="L2538" s="415">
        <v>88735</v>
      </c>
      <c r="M2538" s="415">
        <v>70314.7</v>
      </c>
      <c r="N2538" s="415">
        <v>20026.21</v>
      </c>
      <c r="O2538" s="415">
        <v>0</v>
      </c>
      <c r="P2538" s="415">
        <v>24651.599999999999</v>
      </c>
      <c r="Q2538" s="481">
        <f t="shared" si="85"/>
        <v>-41904.696949999998</v>
      </c>
    </row>
    <row r="2539" spans="1:17" x14ac:dyDescent="0.3">
      <c r="A2539" s="366" t="str">
        <f>IFERROR(VLOOKUP(RIGHT(E2539,3)+0,[1]SchLocTable!$A$2:$B$47,2,FALSE)," ")</f>
        <v>Dunbar</v>
      </c>
      <c r="B2539" s="366" t="str">
        <f>VLOOKUP(VALUE(D2539),$D$3:F$106,3,FALSE)</f>
        <v>SPED Aides</v>
      </c>
      <c r="C2539" t="s">
        <v>314</v>
      </c>
      <c r="D2539">
        <v>829</v>
      </c>
      <c r="E2539" t="s">
        <v>873</v>
      </c>
      <c r="F2539" t="s">
        <v>360</v>
      </c>
      <c r="G2539" t="s">
        <v>319</v>
      </c>
      <c r="H2539" s="502">
        <v>52920</v>
      </c>
      <c r="I2539" s="415">
        <v>0</v>
      </c>
      <c r="J2539" s="415">
        <v>0</v>
      </c>
      <c r="K2539" s="415">
        <v>0</v>
      </c>
      <c r="L2539" s="415">
        <v>0</v>
      </c>
      <c r="M2539" s="415">
        <v>1083.3399999999999</v>
      </c>
      <c r="N2539" s="415">
        <v>333.34</v>
      </c>
      <c r="O2539" s="415">
        <v>0</v>
      </c>
      <c r="P2539" s="415">
        <v>0</v>
      </c>
      <c r="Q2539" s="481">
        <f t="shared" si="85"/>
        <v>0</v>
      </c>
    </row>
    <row r="2540" spans="1:17" x14ac:dyDescent="0.3">
      <c r="A2540" s="366" t="str">
        <f>IFERROR(VLOOKUP(RIGHT(E2540,3)+0,[1]SchLocTable!$A$2:$B$47,2,FALSE)," ")</f>
        <v>Dunbar</v>
      </c>
      <c r="B2540" s="366" t="str">
        <f>VLOOKUP(VALUE(D2540),$D$3:F$106,3,FALSE)</f>
        <v>SPED Aides</v>
      </c>
      <c r="C2540" t="s">
        <v>314</v>
      </c>
      <c r="D2540">
        <v>829</v>
      </c>
      <c r="E2540" t="s">
        <v>873</v>
      </c>
      <c r="F2540" t="s">
        <v>321</v>
      </c>
      <c r="G2540" t="s">
        <v>319</v>
      </c>
      <c r="H2540" s="502">
        <v>52917</v>
      </c>
      <c r="I2540" s="415">
        <v>82154.016000000003</v>
      </c>
      <c r="J2540" s="415">
        <v>41914.370000000003</v>
      </c>
      <c r="K2540" s="415">
        <v>44824.03</v>
      </c>
      <c r="L2540" s="415">
        <v>39960.82</v>
      </c>
      <c r="M2540" s="415">
        <v>12224.67</v>
      </c>
      <c r="N2540" s="415">
        <v>526.26</v>
      </c>
      <c r="O2540" s="415">
        <v>0</v>
      </c>
      <c r="P2540" s="415">
        <v>2367.8200000000002</v>
      </c>
      <c r="Q2540" s="481">
        <f t="shared" si="85"/>
        <v>-40239.646000000001</v>
      </c>
    </row>
    <row r="2541" spans="1:17" x14ac:dyDescent="0.3">
      <c r="A2541" s="366" t="str">
        <f>IFERROR(VLOOKUP(RIGHT(E2541,3)+0,[1]SchLocTable!$A$2:$B$47,2,FALSE)," ")</f>
        <v>Dunbar</v>
      </c>
      <c r="B2541" s="366" t="str">
        <f>VLOOKUP(VALUE(D2541),$D$3:F$106,3,FALSE)</f>
        <v>SPED Aides</v>
      </c>
      <c r="C2541" t="s">
        <v>314</v>
      </c>
      <c r="D2541">
        <v>829</v>
      </c>
      <c r="E2541" t="s">
        <v>873</v>
      </c>
      <c r="F2541" t="s">
        <v>318</v>
      </c>
      <c r="G2541" t="s">
        <v>319</v>
      </c>
      <c r="H2541" s="502">
        <v>51140</v>
      </c>
      <c r="I2541" s="415">
        <v>1540</v>
      </c>
      <c r="J2541" s="415">
        <v>0</v>
      </c>
      <c r="K2541" s="415">
        <v>1470</v>
      </c>
      <c r="L2541" s="415">
        <v>5810</v>
      </c>
      <c r="M2541" s="415">
        <v>0</v>
      </c>
      <c r="N2541" s="415">
        <v>0</v>
      </c>
      <c r="O2541" s="415">
        <v>0</v>
      </c>
      <c r="P2541" s="415">
        <v>0</v>
      </c>
      <c r="Q2541" s="481">
        <f t="shared" si="85"/>
        <v>-1540</v>
      </c>
    </row>
    <row r="2542" spans="1:17" x14ac:dyDescent="0.3">
      <c r="A2542" s="366" t="str">
        <f>IFERROR(VLOOKUP(RIGHT(E2542,3)+0,[1]SchLocTable!$A$2:$B$47,2,FALSE)," ")</f>
        <v>Dunbar</v>
      </c>
      <c r="B2542" s="366" t="str">
        <f>VLOOKUP(VALUE(D2542),$D$3:F$106,3,FALSE)</f>
        <v>SPED Aides</v>
      </c>
      <c r="C2542" t="s">
        <v>314</v>
      </c>
      <c r="D2542">
        <v>829</v>
      </c>
      <c r="E2542" t="s">
        <v>873</v>
      </c>
      <c r="F2542" t="s">
        <v>320</v>
      </c>
      <c r="G2542" t="s">
        <v>319</v>
      </c>
      <c r="H2542" s="502">
        <v>52360</v>
      </c>
      <c r="I2542" s="415">
        <v>1747.1043757749999</v>
      </c>
      <c r="J2542" s="415">
        <v>1082.6600000000001</v>
      </c>
      <c r="K2542" s="415">
        <v>1231.55</v>
      </c>
      <c r="L2542" s="415">
        <v>1102.5</v>
      </c>
      <c r="M2542" s="415">
        <v>969.41</v>
      </c>
      <c r="N2542" s="415">
        <v>295.20999999999998</v>
      </c>
      <c r="O2542" s="415">
        <v>0</v>
      </c>
      <c r="P2542" s="415">
        <v>141.25</v>
      </c>
      <c r="Q2542" s="481">
        <f t="shared" si="85"/>
        <v>-664.4443757749998</v>
      </c>
    </row>
    <row r="2543" spans="1:17" x14ac:dyDescent="0.3">
      <c r="A2543" s="366" t="str">
        <f>IFERROR(VLOOKUP(RIGHT(E2543,3)+0,[1]SchLocTable!$A$2:$B$47,2,FALSE)," ")</f>
        <v>Dunbar</v>
      </c>
      <c r="B2543" s="366" t="str">
        <f>VLOOKUP(VALUE(D2543),$D$3:F$106,3,FALSE)</f>
        <v>SPED Aides</v>
      </c>
      <c r="C2543" t="s">
        <v>314</v>
      </c>
      <c r="D2543">
        <v>829</v>
      </c>
      <c r="E2543" t="s">
        <v>873</v>
      </c>
      <c r="F2543" t="s">
        <v>392</v>
      </c>
      <c r="G2543" t="s">
        <v>319</v>
      </c>
      <c r="H2543" s="502">
        <v>52504</v>
      </c>
      <c r="I2543" s="415">
        <v>25021.813054210001</v>
      </c>
      <c r="J2543" s="415">
        <v>16330.01</v>
      </c>
      <c r="K2543" s="415">
        <v>20345.79</v>
      </c>
      <c r="L2543" s="415">
        <v>18376.22</v>
      </c>
      <c r="M2543" s="415">
        <v>7778.13</v>
      </c>
      <c r="N2543" s="415">
        <v>2883.29</v>
      </c>
      <c r="O2543" s="415">
        <v>0</v>
      </c>
      <c r="P2543" s="415">
        <v>1492.74</v>
      </c>
      <c r="Q2543" s="481">
        <f t="shared" si="85"/>
        <v>-8691.8030542100005</v>
      </c>
    </row>
    <row r="2544" spans="1:17" x14ac:dyDescent="0.3">
      <c r="A2544" s="366" t="str">
        <f>IFERROR(VLOOKUP(RIGHT(E2544,3)+0,[1]SchLocTable!$A$2:$B$47,2,FALSE)," ")</f>
        <v>Dunbar</v>
      </c>
      <c r="B2544" s="366" t="str">
        <f>VLOOKUP(VALUE(D2544),$D$3:F$106,3,FALSE)</f>
        <v>SPED Aides</v>
      </c>
      <c r="C2544" t="s">
        <v>314</v>
      </c>
      <c r="D2544">
        <v>829</v>
      </c>
      <c r="E2544" t="s">
        <v>873</v>
      </c>
      <c r="F2544" t="s">
        <v>324</v>
      </c>
      <c r="G2544" t="s">
        <v>319</v>
      </c>
      <c r="H2544" s="502">
        <v>52385</v>
      </c>
      <c r="I2544" s="415">
        <v>0</v>
      </c>
      <c r="J2544" s="415">
        <v>0</v>
      </c>
      <c r="K2544" s="415">
        <v>0</v>
      </c>
      <c r="L2544" s="415">
        <v>229.76</v>
      </c>
      <c r="M2544" s="415">
        <v>1948.9</v>
      </c>
      <c r="N2544" s="415">
        <v>317.44</v>
      </c>
      <c r="O2544" s="415">
        <v>0</v>
      </c>
      <c r="P2544" s="415">
        <v>0</v>
      </c>
      <c r="Q2544" s="481">
        <f t="shared" si="85"/>
        <v>0</v>
      </c>
    </row>
    <row r="2545" spans="1:17" x14ac:dyDescent="0.3">
      <c r="A2545" s="366" t="str">
        <f>IFERROR(VLOOKUP(RIGHT(E2545,3)+0,[1]SchLocTable!$A$2:$B$47,2,FALSE)," ")</f>
        <v>Curiale</v>
      </c>
      <c r="B2545" s="366" t="str">
        <f>VLOOKUP(VALUE(D2545),$D$3:F$106,3,FALSE)</f>
        <v>SPED Aides</v>
      </c>
      <c r="C2545" t="s">
        <v>314</v>
      </c>
      <c r="D2545">
        <v>829</v>
      </c>
      <c r="E2545" t="s">
        <v>874</v>
      </c>
      <c r="F2545" t="s">
        <v>316</v>
      </c>
      <c r="G2545" t="s">
        <v>319</v>
      </c>
      <c r="H2545" s="502">
        <v>51000</v>
      </c>
      <c r="I2545" s="415">
        <v>0</v>
      </c>
      <c r="J2545" s="415">
        <v>0</v>
      </c>
      <c r="K2545" s="415">
        <v>14694.38</v>
      </c>
      <c r="L2545" s="415">
        <v>42178.52</v>
      </c>
      <c r="M2545" s="415">
        <v>41666.379999999997</v>
      </c>
      <c r="N2545" s="415">
        <v>40843.089999999997</v>
      </c>
      <c r="O2545" s="415">
        <v>41032.1</v>
      </c>
      <c r="P2545" s="415">
        <v>64214.11</v>
      </c>
      <c r="Q2545" s="481">
        <f t="shared" si="85"/>
        <v>0</v>
      </c>
    </row>
    <row r="2546" spans="1:17" x14ac:dyDescent="0.3">
      <c r="A2546" s="366" t="str">
        <f>IFERROR(VLOOKUP(RIGHT(E2546,3)+0,[1]SchLocTable!$A$2:$B$47,2,FALSE)," ")</f>
        <v>Curiale</v>
      </c>
      <c r="B2546" s="366" t="str">
        <f>VLOOKUP(VALUE(D2546),$D$3:F$106,3,FALSE)</f>
        <v>SPED Aides</v>
      </c>
      <c r="C2546" t="s">
        <v>314</v>
      </c>
      <c r="D2546">
        <v>829</v>
      </c>
      <c r="E2546" t="s">
        <v>874</v>
      </c>
      <c r="F2546" t="s">
        <v>360</v>
      </c>
      <c r="G2546" t="s">
        <v>319</v>
      </c>
      <c r="H2546" s="502">
        <v>52920</v>
      </c>
      <c r="I2546" s="415">
        <v>1000</v>
      </c>
      <c r="J2546" s="415">
        <v>500</v>
      </c>
      <c r="K2546" s="415">
        <v>0</v>
      </c>
      <c r="L2546" s="415">
        <v>500</v>
      </c>
      <c r="M2546" s="415">
        <v>500</v>
      </c>
      <c r="N2546" s="415">
        <v>500</v>
      </c>
      <c r="O2546" s="415">
        <v>500</v>
      </c>
      <c r="P2546" s="415">
        <v>500</v>
      </c>
      <c r="Q2546" s="481">
        <f t="shared" si="85"/>
        <v>-500</v>
      </c>
    </row>
    <row r="2547" spans="1:17" x14ac:dyDescent="0.3">
      <c r="A2547" s="366" t="str">
        <f>IFERROR(VLOOKUP(RIGHT(E2547,3)+0,[1]SchLocTable!$A$2:$B$47,2,FALSE)," ")</f>
        <v>Curiale</v>
      </c>
      <c r="B2547" s="366" t="str">
        <f>VLOOKUP(VALUE(D2547),$D$3:F$106,3,FALSE)</f>
        <v>SPED Aides</v>
      </c>
      <c r="C2547" t="s">
        <v>314</v>
      </c>
      <c r="D2547">
        <v>829</v>
      </c>
      <c r="E2547" t="s">
        <v>874</v>
      </c>
      <c r="F2547" t="s">
        <v>321</v>
      </c>
      <c r="G2547" t="s">
        <v>319</v>
      </c>
      <c r="H2547" s="502">
        <v>52917</v>
      </c>
      <c r="I2547" s="415">
        <v>0</v>
      </c>
      <c r="J2547" s="415">
        <v>0</v>
      </c>
      <c r="K2547" s="415">
        <v>465.3</v>
      </c>
      <c r="L2547" s="415">
        <v>1458.86</v>
      </c>
      <c r="M2547" s="415">
        <v>1476.88</v>
      </c>
      <c r="N2547" s="415">
        <v>1406.94</v>
      </c>
      <c r="O2547" s="415">
        <v>1319.64</v>
      </c>
      <c r="P2547" s="415">
        <v>7045.42</v>
      </c>
      <c r="Q2547" s="481">
        <f t="shared" si="85"/>
        <v>0</v>
      </c>
    </row>
    <row r="2548" spans="1:17" x14ac:dyDescent="0.3">
      <c r="A2548" s="366" t="str">
        <f>IFERROR(VLOOKUP(RIGHT(E2548,3)+0,[1]SchLocTable!$A$2:$B$47,2,FALSE)," ")</f>
        <v>Curiale</v>
      </c>
      <c r="B2548" s="366" t="str">
        <f>VLOOKUP(VALUE(D2548),$D$3:F$106,3,FALSE)</f>
        <v>SPED Aides</v>
      </c>
      <c r="C2548" t="s">
        <v>314</v>
      </c>
      <c r="D2548">
        <v>829</v>
      </c>
      <c r="E2548" t="s">
        <v>874</v>
      </c>
      <c r="F2548" t="s">
        <v>318</v>
      </c>
      <c r="G2548" t="s">
        <v>319</v>
      </c>
      <c r="H2548" s="502">
        <v>51140</v>
      </c>
      <c r="I2548" s="415">
        <v>980</v>
      </c>
      <c r="J2548" s="415">
        <v>0</v>
      </c>
      <c r="K2548" s="415">
        <v>0</v>
      </c>
      <c r="L2548" s="415">
        <v>5180</v>
      </c>
      <c r="M2548" s="415">
        <v>910</v>
      </c>
      <c r="N2548" s="415">
        <v>840</v>
      </c>
      <c r="O2548" s="415">
        <v>770</v>
      </c>
      <c r="P2548" s="415">
        <v>700</v>
      </c>
      <c r="Q2548" s="481">
        <f t="shared" si="85"/>
        <v>-980</v>
      </c>
    </row>
    <row r="2549" spans="1:17" x14ac:dyDescent="0.3">
      <c r="A2549" s="366" t="str">
        <f>IFERROR(VLOOKUP(RIGHT(E2549,3)+0,[1]SchLocTable!$A$2:$B$47,2,FALSE)," ")</f>
        <v>Curiale</v>
      </c>
      <c r="B2549" s="366" t="str">
        <f>VLOOKUP(VALUE(D2549),$D$3:F$106,3,FALSE)</f>
        <v>SPED Aides</v>
      </c>
      <c r="C2549" t="s">
        <v>314</v>
      </c>
      <c r="D2549">
        <v>829</v>
      </c>
      <c r="E2549" t="s">
        <v>874</v>
      </c>
      <c r="F2549" t="s">
        <v>320</v>
      </c>
      <c r="G2549" t="s">
        <v>319</v>
      </c>
      <c r="H2549" s="502">
        <v>52360</v>
      </c>
      <c r="I2549" s="415">
        <v>0</v>
      </c>
      <c r="J2549" s="415">
        <v>0</v>
      </c>
      <c r="K2549" s="415">
        <v>213.06</v>
      </c>
      <c r="L2549" s="415">
        <v>693.96</v>
      </c>
      <c r="M2549" s="415">
        <v>624.61</v>
      </c>
      <c r="N2549" s="415">
        <v>611.65</v>
      </c>
      <c r="O2549" s="415">
        <v>613.39</v>
      </c>
      <c r="P2549" s="415">
        <v>716.85</v>
      </c>
      <c r="Q2549" s="481">
        <f t="shared" si="85"/>
        <v>0</v>
      </c>
    </row>
    <row r="2550" spans="1:17" x14ac:dyDescent="0.3">
      <c r="A2550" s="366" t="str">
        <f>IFERROR(VLOOKUP(RIGHT(E2550,3)+0,[1]SchLocTable!$A$2:$B$47,2,FALSE)," ")</f>
        <v>Curiale</v>
      </c>
      <c r="B2550" s="366" t="str">
        <f>VLOOKUP(VALUE(D2550),$D$3:F$106,3,FALSE)</f>
        <v>SPED Aides</v>
      </c>
      <c r="C2550" t="s">
        <v>314</v>
      </c>
      <c r="D2550">
        <v>829</v>
      </c>
      <c r="E2550" t="s">
        <v>874</v>
      </c>
      <c r="F2550" t="s">
        <v>392</v>
      </c>
      <c r="G2550" t="s">
        <v>319</v>
      </c>
      <c r="H2550" s="502">
        <v>52504</v>
      </c>
      <c r="I2550" s="415">
        <v>0</v>
      </c>
      <c r="J2550" s="415">
        <v>0</v>
      </c>
      <c r="K2550" s="415">
        <v>3025.59</v>
      </c>
      <c r="L2550" s="415">
        <v>9659.64</v>
      </c>
      <c r="M2550" s="415">
        <v>9168.94</v>
      </c>
      <c r="N2550" s="415">
        <v>7960.39</v>
      </c>
      <c r="O2550" s="415">
        <v>6875.73</v>
      </c>
      <c r="P2550" s="415">
        <v>7235.07</v>
      </c>
      <c r="Q2550" s="481">
        <f t="shared" si="85"/>
        <v>0</v>
      </c>
    </row>
    <row r="2551" spans="1:17" x14ac:dyDescent="0.3">
      <c r="A2551" s="366" t="str">
        <f>IFERROR(VLOOKUP(RIGHT(E2551,3)+0,[1]SchLocTable!$A$2:$B$47,2,FALSE)," ")</f>
        <v>Skane</v>
      </c>
      <c r="B2551" s="366" t="str">
        <f>VLOOKUP(VALUE(D2551),$D$3:F$106,3,FALSE)</f>
        <v>SPED Aides</v>
      </c>
      <c r="C2551" t="s">
        <v>314</v>
      </c>
      <c r="D2551">
        <v>829</v>
      </c>
      <c r="E2551" t="s">
        <v>875</v>
      </c>
      <c r="F2551" t="s">
        <v>316</v>
      </c>
      <c r="G2551">
        <v>8</v>
      </c>
      <c r="H2551" s="502">
        <v>51000</v>
      </c>
      <c r="I2551" s="415">
        <v>319432.390809</v>
      </c>
      <c r="J2551" s="415">
        <v>232173</v>
      </c>
      <c r="K2551" s="415">
        <v>224519.27</v>
      </c>
      <c r="L2551" s="415">
        <v>248797.97</v>
      </c>
      <c r="M2551" s="415">
        <v>250740.83</v>
      </c>
      <c r="N2551" s="415">
        <v>340970.21</v>
      </c>
      <c r="O2551" s="415">
        <v>351483.89</v>
      </c>
      <c r="P2551" s="415">
        <v>359343.93</v>
      </c>
      <c r="Q2551" s="481">
        <f t="shared" si="85"/>
        <v>-87259.390809000004</v>
      </c>
    </row>
    <row r="2552" spans="1:17" x14ac:dyDescent="0.3">
      <c r="A2552" s="366" t="str">
        <f>IFERROR(VLOOKUP(RIGHT(E2552,3)+0,[1]SchLocTable!$A$2:$B$47,2,FALSE)," ")</f>
        <v>Skane</v>
      </c>
      <c r="B2552" s="366" t="str">
        <f>VLOOKUP(VALUE(D2552),$D$3:F$106,3,FALSE)</f>
        <v>SPED Aides</v>
      </c>
      <c r="C2552" t="s">
        <v>314</v>
      </c>
      <c r="D2552">
        <v>829</v>
      </c>
      <c r="E2552" t="s">
        <v>875</v>
      </c>
      <c r="F2552" t="s">
        <v>334</v>
      </c>
      <c r="G2552" t="s">
        <v>319</v>
      </c>
      <c r="H2552" s="502">
        <v>51400</v>
      </c>
      <c r="I2552" s="415">
        <v>0</v>
      </c>
      <c r="J2552" s="415">
        <v>0</v>
      </c>
      <c r="K2552" s="415">
        <v>0</v>
      </c>
      <c r="L2552" s="415">
        <v>38.68</v>
      </c>
      <c r="M2552" s="415">
        <v>0</v>
      </c>
      <c r="N2552" s="415">
        <v>0</v>
      </c>
      <c r="O2552" s="415">
        <v>0</v>
      </c>
      <c r="P2552" s="415">
        <v>120</v>
      </c>
      <c r="Q2552" s="481">
        <f t="shared" si="85"/>
        <v>0</v>
      </c>
    </row>
    <row r="2553" spans="1:17" x14ac:dyDescent="0.3">
      <c r="A2553" s="366" t="str">
        <f>IFERROR(VLOOKUP(RIGHT(E2553,3)+0,[1]SchLocTable!$A$2:$B$47,2,FALSE)," ")</f>
        <v>Skane</v>
      </c>
      <c r="B2553" s="366" t="str">
        <f>VLOOKUP(VALUE(D2553),$D$3:F$106,3,FALSE)</f>
        <v>SPED Aides</v>
      </c>
      <c r="C2553" t="s">
        <v>314</v>
      </c>
      <c r="D2553">
        <v>829</v>
      </c>
      <c r="E2553" t="s">
        <v>875</v>
      </c>
      <c r="F2553" t="s">
        <v>360</v>
      </c>
      <c r="G2553" t="s">
        <v>319</v>
      </c>
      <c r="H2553" s="502">
        <v>52920</v>
      </c>
      <c r="I2553" s="415">
        <v>1333.36</v>
      </c>
      <c r="J2553" s="415">
        <v>916.68</v>
      </c>
      <c r="K2553" s="415">
        <v>1125</v>
      </c>
      <c r="L2553" s="415">
        <v>1583.35</v>
      </c>
      <c r="M2553" s="415">
        <v>916.68</v>
      </c>
      <c r="N2553" s="415">
        <v>875</v>
      </c>
      <c r="O2553" s="415">
        <v>500</v>
      </c>
      <c r="P2553" s="415">
        <v>750</v>
      </c>
      <c r="Q2553" s="481">
        <f t="shared" si="85"/>
        <v>-416.67999999999995</v>
      </c>
    </row>
    <row r="2554" spans="1:17" x14ac:dyDescent="0.3">
      <c r="A2554" s="366" t="str">
        <f>IFERROR(VLOOKUP(RIGHT(E2554,3)+0,[1]SchLocTable!$A$2:$B$47,2,FALSE)," ")</f>
        <v>Skane</v>
      </c>
      <c r="B2554" s="366" t="str">
        <f>VLOOKUP(VALUE(D2554),$D$3:F$106,3,FALSE)</f>
        <v>SPED Aides</v>
      </c>
      <c r="C2554" t="s">
        <v>314</v>
      </c>
      <c r="D2554">
        <v>829</v>
      </c>
      <c r="E2554" t="s">
        <v>875</v>
      </c>
      <c r="F2554" t="s">
        <v>321</v>
      </c>
      <c r="G2554" t="s">
        <v>319</v>
      </c>
      <c r="H2554" s="502">
        <v>52917</v>
      </c>
      <c r="I2554" s="415">
        <v>81978.792000000001</v>
      </c>
      <c r="J2554" s="415">
        <v>39251.08</v>
      </c>
      <c r="K2554" s="415">
        <v>62715.26</v>
      </c>
      <c r="L2554" s="415">
        <v>75004.97</v>
      </c>
      <c r="M2554" s="415">
        <v>106506.08</v>
      </c>
      <c r="N2554" s="415">
        <v>136126.25</v>
      </c>
      <c r="O2554" s="415">
        <v>121145.53</v>
      </c>
      <c r="P2554" s="415">
        <v>112664.71</v>
      </c>
      <c r="Q2554" s="481">
        <f t="shared" si="85"/>
        <v>-42727.712</v>
      </c>
    </row>
    <row r="2555" spans="1:17" x14ac:dyDescent="0.3">
      <c r="A2555" s="366" t="str">
        <f>IFERROR(VLOOKUP(RIGHT(E2555,3)+0,[1]SchLocTable!$A$2:$B$47,2,FALSE)," ")</f>
        <v>Skane</v>
      </c>
      <c r="B2555" s="366" t="str">
        <f>VLOOKUP(VALUE(D2555),$D$3:F$106,3,FALSE)</f>
        <v>SPED Aides</v>
      </c>
      <c r="C2555" t="s">
        <v>314</v>
      </c>
      <c r="D2555">
        <v>829</v>
      </c>
      <c r="E2555" t="s">
        <v>875</v>
      </c>
      <c r="F2555" t="s">
        <v>318</v>
      </c>
      <c r="G2555" t="s">
        <v>319</v>
      </c>
      <c r="H2555" s="502">
        <v>51140</v>
      </c>
      <c r="I2555" s="415">
        <v>2870</v>
      </c>
      <c r="J2555" s="415">
        <v>0</v>
      </c>
      <c r="K2555" s="415">
        <v>3920.42</v>
      </c>
      <c r="L2555" s="415">
        <v>14280</v>
      </c>
      <c r="M2555" s="415">
        <v>2450</v>
      </c>
      <c r="N2555" s="415">
        <v>5530</v>
      </c>
      <c r="O2555" s="415">
        <v>6090</v>
      </c>
      <c r="P2555" s="415">
        <v>5670</v>
      </c>
      <c r="Q2555" s="481">
        <f t="shared" si="85"/>
        <v>-2870</v>
      </c>
    </row>
    <row r="2556" spans="1:17" x14ac:dyDescent="0.3">
      <c r="A2556" s="366" t="str">
        <f>IFERROR(VLOOKUP(RIGHT(E2556,3)+0,[1]SchLocTable!$A$2:$B$47,2,FALSE)," ")</f>
        <v>Skane</v>
      </c>
      <c r="B2556" s="366" t="str">
        <f>VLOOKUP(VALUE(D2556),$D$3:F$106,3,FALSE)</f>
        <v>SPED Aides</v>
      </c>
      <c r="C2556" t="s">
        <v>314</v>
      </c>
      <c r="D2556">
        <v>829</v>
      </c>
      <c r="E2556" t="s">
        <v>875</v>
      </c>
      <c r="F2556" t="s">
        <v>320</v>
      </c>
      <c r="G2556" t="s">
        <v>319</v>
      </c>
      <c r="H2556" s="502">
        <v>52360</v>
      </c>
      <c r="I2556" s="415">
        <v>4651.1033867305014</v>
      </c>
      <c r="J2556" s="415">
        <v>2931</v>
      </c>
      <c r="K2556" s="415">
        <v>3092.1</v>
      </c>
      <c r="L2556" s="415">
        <v>3788.62</v>
      </c>
      <c r="M2556" s="415">
        <v>3036.84</v>
      </c>
      <c r="N2556" s="415">
        <v>4313.05</v>
      </c>
      <c r="O2556" s="415">
        <v>4573.76</v>
      </c>
      <c r="P2556" s="415">
        <v>4541.07</v>
      </c>
      <c r="Q2556" s="481">
        <f t="shared" si="85"/>
        <v>-1720.1033867305014</v>
      </c>
    </row>
    <row r="2557" spans="1:17" x14ac:dyDescent="0.3">
      <c r="A2557" s="366" t="str">
        <f>IFERROR(VLOOKUP(RIGHT(E2557,3)+0,[1]SchLocTable!$A$2:$B$47,2,FALSE)," ")</f>
        <v>Skane</v>
      </c>
      <c r="B2557" s="366" t="str">
        <f>VLOOKUP(VALUE(D2557),$D$3:F$106,3,FALSE)</f>
        <v>SPED Aides</v>
      </c>
      <c r="C2557" t="s">
        <v>314</v>
      </c>
      <c r="D2557">
        <v>829</v>
      </c>
      <c r="E2557" t="s">
        <v>875</v>
      </c>
      <c r="F2557" t="s">
        <v>392</v>
      </c>
      <c r="G2557" t="s">
        <v>319</v>
      </c>
      <c r="H2557" s="502">
        <v>52504</v>
      </c>
      <c r="I2557" s="415">
        <v>66639.1230181102</v>
      </c>
      <c r="J2557" s="415">
        <v>48841</v>
      </c>
      <c r="K2557" s="415">
        <v>48538.96</v>
      </c>
      <c r="L2557" s="415">
        <v>57315.07</v>
      </c>
      <c r="M2557" s="415">
        <v>50828.22</v>
      </c>
      <c r="N2557" s="415">
        <v>52308.77</v>
      </c>
      <c r="O2557" s="415">
        <v>57647.91</v>
      </c>
      <c r="P2557" s="415">
        <v>50058.78</v>
      </c>
      <c r="Q2557" s="481">
        <f t="shared" si="85"/>
        <v>-17798.1230181102</v>
      </c>
    </row>
    <row r="2558" spans="1:17" x14ac:dyDescent="0.3">
      <c r="A2558" s="366" t="str">
        <f>IFERROR(VLOOKUP(RIGHT(E2558,3)+0,[1]SchLocTable!$A$2:$B$47,2,FALSE)," ")</f>
        <v>Skane</v>
      </c>
      <c r="B2558" s="366" t="str">
        <f>VLOOKUP(VALUE(D2558),$D$3:F$106,3,FALSE)</f>
        <v>SPED Aides</v>
      </c>
      <c r="C2558" t="s">
        <v>314</v>
      </c>
      <c r="D2558">
        <v>829</v>
      </c>
      <c r="E2558" t="s">
        <v>875</v>
      </c>
      <c r="F2558" t="s">
        <v>419</v>
      </c>
      <c r="G2558" t="s">
        <v>319</v>
      </c>
      <c r="H2558" s="502">
        <v>51318</v>
      </c>
      <c r="I2558" s="415">
        <v>0</v>
      </c>
      <c r="J2558" s="415">
        <v>0</v>
      </c>
      <c r="K2558" s="415">
        <v>0</v>
      </c>
      <c r="L2558" s="415">
        <v>878.27</v>
      </c>
      <c r="M2558" s="415">
        <v>0</v>
      </c>
      <c r="N2558" s="415">
        <v>0</v>
      </c>
      <c r="O2558" s="415">
        <v>0</v>
      </c>
      <c r="P2558" s="415">
        <v>0</v>
      </c>
      <c r="Q2558" s="481">
        <f t="shared" si="85"/>
        <v>0</v>
      </c>
    </row>
    <row r="2559" spans="1:17" x14ac:dyDescent="0.3">
      <c r="A2559" s="366" t="str">
        <f>IFERROR(VLOOKUP(RIGHT(E2559,3)+0,[1]SchLocTable!$A$2:$B$47,2,FALSE)," ")</f>
        <v>Skane</v>
      </c>
      <c r="B2559" s="366" t="str">
        <f>VLOOKUP(VALUE(D2559),$D$3:F$106,3,FALSE)</f>
        <v>SPED Aides</v>
      </c>
      <c r="C2559" t="s">
        <v>314</v>
      </c>
      <c r="D2559">
        <v>829</v>
      </c>
      <c r="E2559" t="s">
        <v>875</v>
      </c>
      <c r="F2559" t="s">
        <v>324</v>
      </c>
      <c r="G2559" t="s">
        <v>319</v>
      </c>
      <c r="H2559" s="502">
        <v>52385</v>
      </c>
      <c r="I2559" s="415">
        <v>1801.38</v>
      </c>
      <c r="J2559" s="415">
        <v>1670.1</v>
      </c>
      <c r="K2559" s="415">
        <v>0</v>
      </c>
      <c r="L2559" s="415">
        <v>1028.95</v>
      </c>
      <c r="M2559" s="415">
        <v>1075.94</v>
      </c>
      <c r="N2559" s="415">
        <v>4036.57</v>
      </c>
      <c r="O2559" s="415">
        <v>0</v>
      </c>
      <c r="P2559" s="415">
        <v>0</v>
      </c>
      <c r="Q2559" s="481">
        <f t="shared" ref="Q2559:Q2622" si="86">J2559-I2559</f>
        <v>-131.2800000000002</v>
      </c>
    </row>
    <row r="2560" spans="1:17" x14ac:dyDescent="0.3">
      <c r="A2560" s="366" t="str">
        <f>IFERROR(VLOOKUP(RIGHT(E2560,3)+0,[1]SchLocTable!$A$2:$B$47,2,FALSE)," ")</f>
        <v>Skane</v>
      </c>
      <c r="B2560" s="366" t="str">
        <f>VLOOKUP(VALUE(D2560),$D$3:F$106,3,FALSE)</f>
        <v>SPED Aides</v>
      </c>
      <c r="C2560" t="s">
        <v>314</v>
      </c>
      <c r="D2560">
        <v>829</v>
      </c>
      <c r="E2560" t="s">
        <v>875</v>
      </c>
      <c r="F2560" t="s">
        <v>533</v>
      </c>
      <c r="G2560" t="s">
        <v>319</v>
      </c>
      <c r="H2560" s="502">
        <v>52397</v>
      </c>
      <c r="I2560" s="415">
        <v>0</v>
      </c>
      <c r="J2560" s="415">
        <v>0</v>
      </c>
      <c r="K2560" s="415">
        <v>0</v>
      </c>
      <c r="L2560" s="415">
        <v>200</v>
      </c>
      <c r="M2560" s="415">
        <v>0</v>
      </c>
      <c r="N2560" s="415">
        <v>0</v>
      </c>
      <c r="O2560" s="415">
        <v>0</v>
      </c>
      <c r="P2560" s="415">
        <v>0</v>
      </c>
      <c r="Q2560" s="481">
        <f t="shared" si="86"/>
        <v>0</v>
      </c>
    </row>
    <row r="2561" spans="1:17" x14ac:dyDescent="0.3">
      <c r="A2561" s="366" t="str">
        <f>IFERROR(VLOOKUP(RIGHT(E2561,3)+0,[1]SchLocTable!$A$2:$B$47,2,FALSE)," ")</f>
        <v>Skane</v>
      </c>
      <c r="B2561" s="366" t="str">
        <f>VLOOKUP(VALUE(D2561),$D$3:F$106,3,FALSE)</f>
        <v>SPED Aides</v>
      </c>
      <c r="C2561" t="s">
        <v>314</v>
      </c>
      <c r="D2561">
        <v>829</v>
      </c>
      <c r="E2561" t="s">
        <v>875</v>
      </c>
      <c r="F2561" t="s">
        <v>329</v>
      </c>
      <c r="G2561" t="s">
        <v>319</v>
      </c>
      <c r="H2561" s="502">
        <v>51154</v>
      </c>
      <c r="I2561" s="415">
        <v>0</v>
      </c>
      <c r="J2561" s="415">
        <v>0</v>
      </c>
      <c r="K2561" s="415">
        <v>0</v>
      </c>
      <c r="L2561" s="415">
        <v>1722.76</v>
      </c>
      <c r="M2561" s="415">
        <v>0</v>
      </c>
      <c r="N2561" s="415">
        <v>0</v>
      </c>
      <c r="O2561" s="415">
        <v>0</v>
      </c>
      <c r="P2561" s="415">
        <v>0</v>
      </c>
      <c r="Q2561" s="481">
        <f t="shared" si="86"/>
        <v>0</v>
      </c>
    </row>
    <row r="2562" spans="1:17" x14ac:dyDescent="0.3">
      <c r="A2562" s="366" t="str">
        <f>IFERROR(VLOOKUP(RIGHT(E2562,3)+0,[1]SchLocTable!$A$2:$B$47,2,FALSE)," ")</f>
        <v>High Horizons Magnet</v>
      </c>
      <c r="B2562" s="366" t="str">
        <f>VLOOKUP(VALUE(D2562),$D$3:F$106,3,FALSE)</f>
        <v>SPED Aides</v>
      </c>
      <c r="C2562" t="s">
        <v>314</v>
      </c>
      <c r="D2562">
        <v>829</v>
      </c>
      <c r="E2562" t="s">
        <v>876</v>
      </c>
      <c r="F2562" t="s">
        <v>316</v>
      </c>
      <c r="G2562" t="s">
        <v>319</v>
      </c>
      <c r="H2562" s="502">
        <v>51000</v>
      </c>
      <c r="I2562" s="415">
        <v>40000</v>
      </c>
      <c r="J2562" s="415">
        <v>0</v>
      </c>
      <c r="K2562" s="415">
        <v>5064.93</v>
      </c>
      <c r="L2562" s="415">
        <v>37325.65</v>
      </c>
      <c r="M2562" s="415">
        <v>46257.42</v>
      </c>
      <c r="N2562" s="415">
        <v>40770.089999999997</v>
      </c>
      <c r="O2562" s="415">
        <v>33828.75</v>
      </c>
      <c r="P2562" s="415">
        <v>54856.62</v>
      </c>
      <c r="Q2562" s="481">
        <f t="shared" si="86"/>
        <v>-40000</v>
      </c>
    </row>
    <row r="2563" spans="1:17" x14ac:dyDescent="0.3">
      <c r="A2563" s="366" t="str">
        <f>IFERROR(VLOOKUP(RIGHT(E2563,3)+0,[1]SchLocTable!$A$2:$B$47,2,FALSE)," ")</f>
        <v>High Horizons Magnet</v>
      </c>
      <c r="B2563" s="366" t="str">
        <f>VLOOKUP(VALUE(D2563),$D$3:F$106,3,FALSE)</f>
        <v>SPED Aides</v>
      </c>
      <c r="C2563" t="s">
        <v>314</v>
      </c>
      <c r="D2563">
        <v>829</v>
      </c>
      <c r="E2563" t="s">
        <v>876</v>
      </c>
      <c r="F2563" t="s">
        <v>321</v>
      </c>
      <c r="G2563" t="s">
        <v>319</v>
      </c>
      <c r="H2563" s="502">
        <v>52917</v>
      </c>
      <c r="I2563" s="415">
        <v>32400</v>
      </c>
      <c r="J2563" s="415">
        <v>0</v>
      </c>
      <c r="K2563" s="415">
        <v>924.78</v>
      </c>
      <c r="L2563" s="415">
        <v>8210.4599999999991</v>
      </c>
      <c r="M2563" s="415">
        <v>8614.9</v>
      </c>
      <c r="N2563" s="415">
        <v>8753.42</v>
      </c>
      <c r="O2563" s="415">
        <v>7311.65</v>
      </c>
      <c r="P2563" s="415">
        <v>7706.75</v>
      </c>
      <c r="Q2563" s="481">
        <f t="shared" si="86"/>
        <v>-32400</v>
      </c>
    </row>
    <row r="2564" spans="1:17" x14ac:dyDescent="0.3">
      <c r="A2564" s="366" t="str">
        <f>IFERROR(VLOOKUP(RIGHT(E2564,3)+0,[1]SchLocTable!$A$2:$B$47,2,FALSE)," ")</f>
        <v>High Horizons Magnet</v>
      </c>
      <c r="B2564" s="366" t="str">
        <f>VLOOKUP(VALUE(D2564),$D$3:F$106,3,FALSE)</f>
        <v>SPED Aides</v>
      </c>
      <c r="C2564" t="s">
        <v>314</v>
      </c>
      <c r="D2564">
        <v>829</v>
      </c>
      <c r="E2564" t="s">
        <v>876</v>
      </c>
      <c r="F2564" t="s">
        <v>318</v>
      </c>
      <c r="G2564" t="s">
        <v>319</v>
      </c>
      <c r="H2564" s="502">
        <v>51140</v>
      </c>
      <c r="I2564" s="415">
        <v>0</v>
      </c>
      <c r="J2564" s="415">
        <v>0</v>
      </c>
      <c r="K2564" s="415">
        <v>700</v>
      </c>
      <c r="L2564" s="415">
        <v>0</v>
      </c>
      <c r="M2564" s="415">
        <v>0</v>
      </c>
      <c r="N2564" s="415">
        <v>0</v>
      </c>
      <c r="O2564" s="415">
        <v>0</v>
      </c>
      <c r="P2564" s="415">
        <v>0</v>
      </c>
      <c r="Q2564" s="481">
        <f t="shared" si="86"/>
        <v>0</v>
      </c>
    </row>
    <row r="2565" spans="1:17" x14ac:dyDescent="0.3">
      <c r="A2565" s="366" t="str">
        <f>IFERROR(VLOOKUP(RIGHT(E2565,3)+0,[1]SchLocTable!$A$2:$B$47,2,FALSE)," ")</f>
        <v>High Horizons Magnet</v>
      </c>
      <c r="B2565" s="366" t="str">
        <f>VLOOKUP(VALUE(D2565),$D$3:F$106,3,FALSE)</f>
        <v>SPED Aides</v>
      </c>
      <c r="C2565" t="s">
        <v>314</v>
      </c>
      <c r="D2565">
        <v>829</v>
      </c>
      <c r="E2565" t="s">
        <v>876</v>
      </c>
      <c r="F2565" t="s">
        <v>320</v>
      </c>
      <c r="G2565" t="s">
        <v>319</v>
      </c>
      <c r="H2565" s="502">
        <v>52360</v>
      </c>
      <c r="I2565" s="415">
        <v>580</v>
      </c>
      <c r="J2565" s="415">
        <v>0</v>
      </c>
      <c r="K2565" s="415">
        <v>66</v>
      </c>
      <c r="L2565" s="415">
        <v>477.76</v>
      </c>
      <c r="M2565" s="415">
        <v>607.02</v>
      </c>
      <c r="N2565" s="415">
        <v>529.44000000000005</v>
      </c>
      <c r="O2565" s="415">
        <v>440.94</v>
      </c>
      <c r="P2565" s="415">
        <v>540.39</v>
      </c>
      <c r="Q2565" s="481">
        <f t="shared" si="86"/>
        <v>-580</v>
      </c>
    </row>
    <row r="2566" spans="1:17" x14ac:dyDescent="0.3">
      <c r="A2566" s="366" t="str">
        <f>IFERROR(VLOOKUP(RIGHT(E2566,3)+0,[1]SchLocTable!$A$2:$B$47,2,FALSE)," ")</f>
        <v>High Horizons Magnet</v>
      </c>
      <c r="B2566" s="366" t="str">
        <f>VLOOKUP(VALUE(D2566),$D$3:F$106,3,FALSE)</f>
        <v>SPED Aides</v>
      </c>
      <c r="C2566" t="s">
        <v>314</v>
      </c>
      <c r="D2566">
        <v>829</v>
      </c>
      <c r="E2566" t="s">
        <v>876</v>
      </c>
      <c r="F2566" t="s">
        <v>392</v>
      </c>
      <c r="G2566" t="s">
        <v>319</v>
      </c>
      <c r="H2566" s="502">
        <v>52504</v>
      </c>
      <c r="I2566" s="415">
        <v>8296</v>
      </c>
      <c r="J2566" s="415">
        <v>0</v>
      </c>
      <c r="K2566" s="415">
        <v>1042.8699999999999</v>
      </c>
      <c r="L2566" s="415">
        <v>7613.95</v>
      </c>
      <c r="M2566" s="415">
        <v>9982.34</v>
      </c>
      <c r="N2566" s="415">
        <v>7747.4</v>
      </c>
      <c r="O2566" s="415">
        <v>5567.68</v>
      </c>
      <c r="P2566" s="415">
        <v>5790.91</v>
      </c>
      <c r="Q2566" s="481">
        <f t="shared" si="86"/>
        <v>-8296</v>
      </c>
    </row>
    <row r="2567" spans="1:17" x14ac:dyDescent="0.3">
      <c r="A2567" s="366" t="str">
        <f>IFERROR(VLOOKUP(RIGHT(E2567,3)+0,[1]SchLocTable!$A$2:$B$47,2,FALSE)," ")</f>
        <v>Multicultural Magnet</v>
      </c>
      <c r="B2567" s="366" t="str">
        <f>VLOOKUP(VALUE(D2567),$D$3:F$106,3,FALSE)</f>
        <v>SPED Aides</v>
      </c>
      <c r="C2567" t="s">
        <v>314</v>
      </c>
      <c r="D2567">
        <v>829</v>
      </c>
      <c r="E2567" t="s">
        <v>877</v>
      </c>
      <c r="F2567" t="s">
        <v>316</v>
      </c>
      <c r="G2567">
        <v>8</v>
      </c>
      <c r="H2567" s="502">
        <v>51000</v>
      </c>
      <c r="I2567" s="415">
        <v>329793.80135600001</v>
      </c>
      <c r="J2567" s="415">
        <v>44912</v>
      </c>
      <c r="K2567" s="415">
        <v>43976.12</v>
      </c>
      <c r="L2567" s="415">
        <v>44471.44</v>
      </c>
      <c r="M2567" s="415">
        <v>67810.89</v>
      </c>
      <c r="N2567" s="415">
        <v>71925.08</v>
      </c>
      <c r="O2567" s="415">
        <v>84379.12</v>
      </c>
      <c r="P2567" s="415">
        <v>92682.93</v>
      </c>
      <c r="Q2567" s="481">
        <f t="shared" si="86"/>
        <v>-284881.80135600001</v>
      </c>
    </row>
    <row r="2568" spans="1:17" x14ac:dyDescent="0.3">
      <c r="A2568" s="366" t="str">
        <f>IFERROR(VLOOKUP(RIGHT(E2568,3)+0,[1]SchLocTable!$A$2:$B$47,2,FALSE)," ")</f>
        <v>Multicultural Magnet</v>
      </c>
      <c r="B2568" s="366" t="str">
        <f>VLOOKUP(VALUE(D2568),$D$3:F$106,3,FALSE)</f>
        <v>SPED Aides</v>
      </c>
      <c r="C2568" t="s">
        <v>314</v>
      </c>
      <c r="D2568">
        <v>829</v>
      </c>
      <c r="E2568" t="s">
        <v>877</v>
      </c>
      <c r="F2568" t="s">
        <v>321</v>
      </c>
      <c r="G2568" t="s">
        <v>319</v>
      </c>
      <c r="H2568" s="502">
        <v>52917</v>
      </c>
      <c r="I2568" s="415">
        <v>47760.383999999998</v>
      </c>
      <c r="J2568" s="415">
        <v>12736</v>
      </c>
      <c r="K2568" s="415">
        <v>11312.55</v>
      </c>
      <c r="L2568" s="415">
        <v>10855.39</v>
      </c>
      <c r="M2568" s="415">
        <v>17740.86</v>
      </c>
      <c r="N2568" s="415">
        <v>10293.92</v>
      </c>
      <c r="O2568" s="415">
        <v>10613.26</v>
      </c>
      <c r="P2568" s="415">
        <v>10284.620000000001</v>
      </c>
      <c r="Q2568" s="481">
        <f t="shared" si="86"/>
        <v>-35024.383999999998</v>
      </c>
    </row>
    <row r="2569" spans="1:17" x14ac:dyDescent="0.3">
      <c r="A2569" s="366" t="str">
        <f>IFERROR(VLOOKUP(RIGHT(E2569,3)+0,[1]SchLocTable!$A$2:$B$47,2,FALSE)," ")</f>
        <v>Multicultural Magnet</v>
      </c>
      <c r="B2569" s="366" t="str">
        <f>VLOOKUP(VALUE(D2569),$D$3:F$106,3,FALSE)</f>
        <v>SPED Aides</v>
      </c>
      <c r="C2569" t="s">
        <v>314</v>
      </c>
      <c r="D2569">
        <v>829</v>
      </c>
      <c r="E2569" t="s">
        <v>877</v>
      </c>
      <c r="F2569" t="s">
        <v>318</v>
      </c>
      <c r="G2569" t="s">
        <v>319</v>
      </c>
      <c r="H2569" s="502">
        <v>51140</v>
      </c>
      <c r="I2569" s="415">
        <v>1800</v>
      </c>
      <c r="J2569" s="415">
        <v>0</v>
      </c>
      <c r="K2569" s="415">
        <v>1800</v>
      </c>
      <c r="L2569" s="415">
        <v>3130</v>
      </c>
      <c r="M2569" s="415">
        <v>1800</v>
      </c>
      <c r="N2569" s="415">
        <v>1800</v>
      </c>
      <c r="O2569" s="415">
        <v>1800</v>
      </c>
      <c r="P2569" s="415">
        <v>1800</v>
      </c>
      <c r="Q2569" s="481">
        <f t="shared" si="86"/>
        <v>-1800</v>
      </c>
    </row>
    <row r="2570" spans="1:17" x14ac:dyDescent="0.3">
      <c r="A2570" s="366" t="str">
        <f>IFERROR(VLOOKUP(RIGHT(E2570,3)+0,[1]SchLocTable!$A$2:$B$47,2,FALSE)," ")</f>
        <v>Multicultural Magnet</v>
      </c>
      <c r="B2570" s="366" t="str">
        <f>VLOOKUP(VALUE(D2570),$D$3:F$106,3,FALSE)</f>
        <v>SPED Aides</v>
      </c>
      <c r="C2570" t="s">
        <v>314</v>
      </c>
      <c r="D2570">
        <v>829</v>
      </c>
      <c r="E2570" t="s">
        <v>877</v>
      </c>
      <c r="F2570" t="s">
        <v>320</v>
      </c>
      <c r="G2570" t="s">
        <v>319</v>
      </c>
      <c r="H2570" s="502">
        <v>52360</v>
      </c>
      <c r="I2570" s="415">
        <v>4782.0101196619999</v>
      </c>
      <c r="J2570" s="415">
        <v>386.95</v>
      </c>
      <c r="K2570" s="415">
        <v>0</v>
      </c>
      <c r="L2570" s="415">
        <v>19.29</v>
      </c>
      <c r="M2570" s="415">
        <v>300.16000000000003</v>
      </c>
      <c r="N2570" s="415">
        <v>417.38</v>
      </c>
      <c r="O2570" s="415">
        <v>623.95000000000005</v>
      </c>
      <c r="P2570" s="415">
        <v>540.97</v>
      </c>
      <c r="Q2570" s="481">
        <f t="shared" si="86"/>
        <v>-4395.060119662</v>
      </c>
    </row>
    <row r="2571" spans="1:17" x14ac:dyDescent="0.3">
      <c r="A2571" s="366" t="str">
        <f>IFERROR(VLOOKUP(RIGHT(E2571,3)+0,[1]SchLocTable!$A$2:$B$47,2,FALSE)," ")</f>
        <v>Multicultural Magnet</v>
      </c>
      <c r="B2571" s="366" t="str">
        <f>VLOOKUP(VALUE(D2571),$D$3:F$106,3,FALSE)</f>
        <v>SPED Aides</v>
      </c>
      <c r="C2571" t="s">
        <v>314</v>
      </c>
      <c r="D2571">
        <v>829</v>
      </c>
      <c r="E2571" t="s">
        <v>877</v>
      </c>
      <c r="F2571" t="s">
        <v>392</v>
      </c>
      <c r="G2571" t="s">
        <v>319</v>
      </c>
      <c r="H2571" s="502">
        <v>52504</v>
      </c>
      <c r="I2571" s="415">
        <v>68419.151921776807</v>
      </c>
      <c r="J2571" s="415">
        <v>9585.0300000000007</v>
      </c>
      <c r="K2571" s="415">
        <v>9652.2000000000007</v>
      </c>
      <c r="L2571" s="415">
        <v>9709.2999999999993</v>
      </c>
      <c r="M2571" s="415">
        <v>15001.84</v>
      </c>
      <c r="N2571" s="415">
        <v>10226.469999999999</v>
      </c>
      <c r="O2571" s="415">
        <v>14150.47</v>
      </c>
      <c r="P2571" s="415">
        <v>11455.61</v>
      </c>
      <c r="Q2571" s="481">
        <f t="shared" si="86"/>
        <v>-58834.121921776808</v>
      </c>
    </row>
    <row r="2572" spans="1:17" x14ac:dyDescent="0.3">
      <c r="A2572" s="366" t="str">
        <f>IFERROR(VLOOKUP(RIGHT(E2572,3)+0,[1]SchLocTable!$A$2:$B$47,2,FALSE)," ")</f>
        <v>Multicultural Magnet</v>
      </c>
      <c r="B2572" s="366" t="str">
        <f>VLOOKUP(VALUE(D2572),$D$3:F$106,3,FALSE)</f>
        <v>SPED Aides</v>
      </c>
      <c r="C2572" t="s">
        <v>314</v>
      </c>
      <c r="D2572">
        <v>829</v>
      </c>
      <c r="E2572" t="s">
        <v>877</v>
      </c>
      <c r="F2572" t="s">
        <v>419</v>
      </c>
      <c r="G2572" t="s">
        <v>319</v>
      </c>
      <c r="H2572" s="502">
        <v>51318</v>
      </c>
      <c r="I2572" s="415">
        <v>0</v>
      </c>
      <c r="J2572" s="415">
        <v>0</v>
      </c>
      <c r="K2572" s="415">
        <v>0</v>
      </c>
      <c r="L2572" s="415">
        <v>0</v>
      </c>
      <c r="M2572" s="415">
        <v>421.2</v>
      </c>
      <c r="N2572" s="415">
        <v>0</v>
      </c>
      <c r="O2572" s="415">
        <v>0</v>
      </c>
      <c r="P2572" s="415">
        <v>0</v>
      </c>
      <c r="Q2572" s="481">
        <f t="shared" si="86"/>
        <v>0</v>
      </c>
    </row>
    <row r="2573" spans="1:17" x14ac:dyDescent="0.3">
      <c r="A2573" s="366" t="str">
        <f>IFERROR(VLOOKUP(RIGHT(E2573,3)+0,[1]SchLocTable!$A$2:$B$47,2,FALSE)," ")</f>
        <v>Bassick HS</v>
      </c>
      <c r="B2573" s="366" t="str">
        <f>VLOOKUP(VALUE(D2573),$D$3:F$106,3,FALSE)</f>
        <v>SPED Aides</v>
      </c>
      <c r="C2573" t="s">
        <v>314</v>
      </c>
      <c r="D2573">
        <v>829</v>
      </c>
      <c r="E2573" t="s">
        <v>878</v>
      </c>
      <c r="F2573" t="s">
        <v>316</v>
      </c>
      <c r="G2573">
        <v>8</v>
      </c>
      <c r="H2573" s="502">
        <v>51000</v>
      </c>
      <c r="I2573" s="415">
        <v>84185.908182999992</v>
      </c>
      <c r="J2573" s="415">
        <v>94945.07</v>
      </c>
      <c r="K2573" s="415">
        <v>197851.81</v>
      </c>
      <c r="L2573" s="415">
        <v>212585.66</v>
      </c>
      <c r="M2573" s="415">
        <v>208334.62</v>
      </c>
      <c r="N2573" s="415">
        <v>180619.86</v>
      </c>
      <c r="O2573" s="415">
        <v>214727.23</v>
      </c>
      <c r="P2573" s="415">
        <v>227664.3</v>
      </c>
      <c r="Q2573" s="481">
        <f t="shared" si="86"/>
        <v>10759.161817000015</v>
      </c>
    </row>
    <row r="2574" spans="1:17" x14ac:dyDescent="0.3">
      <c r="A2574" s="366" t="str">
        <f>IFERROR(VLOOKUP(RIGHT(E2574,3)+0,[1]SchLocTable!$A$2:$B$47,2,FALSE)," ")</f>
        <v>Bassick HS</v>
      </c>
      <c r="B2574" s="366" t="str">
        <f>VLOOKUP(VALUE(D2574),$D$3:F$106,3,FALSE)</f>
        <v>SPED Aides</v>
      </c>
      <c r="C2574" t="s">
        <v>314</v>
      </c>
      <c r="D2574">
        <v>829</v>
      </c>
      <c r="E2574" t="s">
        <v>878</v>
      </c>
      <c r="F2574" t="s">
        <v>360</v>
      </c>
      <c r="G2574" t="s">
        <v>319</v>
      </c>
      <c r="H2574" s="502">
        <v>52920</v>
      </c>
      <c r="I2574" s="415">
        <v>500</v>
      </c>
      <c r="J2574" s="415">
        <v>500</v>
      </c>
      <c r="K2574" s="415">
        <v>500</v>
      </c>
      <c r="L2574" s="415">
        <v>458.35</v>
      </c>
      <c r="M2574" s="415">
        <v>500</v>
      </c>
      <c r="N2574" s="415">
        <v>583.34</v>
      </c>
      <c r="O2574" s="415">
        <v>500</v>
      </c>
      <c r="P2574" s="415">
        <v>500</v>
      </c>
      <c r="Q2574" s="481">
        <f t="shared" si="86"/>
        <v>0</v>
      </c>
    </row>
    <row r="2575" spans="1:17" x14ac:dyDescent="0.3">
      <c r="A2575" s="366" t="str">
        <f>IFERROR(VLOOKUP(RIGHT(E2575,3)+0,[1]SchLocTable!$A$2:$B$47,2,FALSE)," ")</f>
        <v>Bassick HS</v>
      </c>
      <c r="B2575" s="366" t="str">
        <f>VLOOKUP(VALUE(D2575),$D$3:F$106,3,FALSE)</f>
        <v>SPED Aides</v>
      </c>
      <c r="C2575" t="s">
        <v>314</v>
      </c>
      <c r="D2575">
        <v>829</v>
      </c>
      <c r="E2575" t="s">
        <v>878</v>
      </c>
      <c r="F2575" t="s">
        <v>321</v>
      </c>
      <c r="G2575" t="s">
        <v>319</v>
      </c>
      <c r="H2575" s="502">
        <v>52917</v>
      </c>
      <c r="I2575" s="415">
        <v>12789.191999999999</v>
      </c>
      <c r="J2575" s="415">
        <v>12175.61</v>
      </c>
      <c r="K2575" s="415">
        <v>55172.15</v>
      </c>
      <c r="L2575" s="415">
        <v>63166.82</v>
      </c>
      <c r="M2575" s="415">
        <v>61726.09</v>
      </c>
      <c r="N2575" s="415">
        <v>51746.6</v>
      </c>
      <c r="O2575" s="415">
        <v>69020.78</v>
      </c>
      <c r="P2575" s="415">
        <v>78815.97</v>
      </c>
      <c r="Q2575" s="481">
        <f t="shared" si="86"/>
        <v>-613.58199999999852</v>
      </c>
    </row>
    <row r="2576" spans="1:17" x14ac:dyDescent="0.3">
      <c r="A2576" s="366" t="str">
        <f>IFERROR(VLOOKUP(RIGHT(E2576,3)+0,[1]SchLocTable!$A$2:$B$47,2,FALSE)," ")</f>
        <v>Bassick HS</v>
      </c>
      <c r="B2576" s="366" t="str">
        <f>VLOOKUP(VALUE(D2576),$D$3:F$106,3,FALSE)</f>
        <v>SPED Aides</v>
      </c>
      <c r="C2576" t="s">
        <v>314</v>
      </c>
      <c r="D2576">
        <v>829</v>
      </c>
      <c r="E2576" t="s">
        <v>878</v>
      </c>
      <c r="F2576" t="s">
        <v>318</v>
      </c>
      <c r="G2576" t="s">
        <v>319</v>
      </c>
      <c r="H2576" s="502">
        <v>51140</v>
      </c>
      <c r="I2576" s="415">
        <v>2190</v>
      </c>
      <c r="J2576" s="415">
        <v>1350</v>
      </c>
      <c r="K2576" s="415">
        <v>5230</v>
      </c>
      <c r="L2576" s="415">
        <v>8835</v>
      </c>
      <c r="M2576" s="415">
        <v>5650</v>
      </c>
      <c r="N2576" s="415">
        <v>5390</v>
      </c>
      <c r="O2576" s="415">
        <v>6930</v>
      </c>
      <c r="P2576" s="415">
        <v>5600</v>
      </c>
      <c r="Q2576" s="481">
        <f t="shared" si="86"/>
        <v>-840</v>
      </c>
    </row>
    <row r="2577" spans="1:17" x14ac:dyDescent="0.3">
      <c r="A2577" s="366" t="str">
        <f>IFERROR(VLOOKUP(RIGHT(E2577,3)+0,[1]SchLocTable!$A$2:$B$47,2,FALSE)," ")</f>
        <v>Bassick HS</v>
      </c>
      <c r="B2577" s="366" t="str">
        <f>VLOOKUP(VALUE(D2577),$D$3:F$106,3,FALSE)</f>
        <v>SPED Aides</v>
      </c>
      <c r="C2577" t="s">
        <v>314</v>
      </c>
      <c r="D2577">
        <v>829</v>
      </c>
      <c r="E2577" t="s">
        <v>878</v>
      </c>
      <c r="F2577" t="s">
        <v>320</v>
      </c>
      <c r="G2577" t="s">
        <v>319</v>
      </c>
      <c r="H2577" s="502">
        <v>52360</v>
      </c>
      <c r="I2577" s="415">
        <v>1227.9456686535</v>
      </c>
      <c r="J2577" s="415">
        <v>1368.42</v>
      </c>
      <c r="K2577" s="415">
        <v>2803.55</v>
      </c>
      <c r="L2577" s="415">
        <v>2896.43</v>
      </c>
      <c r="M2577" s="415">
        <v>2794.85</v>
      </c>
      <c r="N2577" s="415">
        <v>2470.11</v>
      </c>
      <c r="O2577" s="415">
        <v>2905.28</v>
      </c>
      <c r="P2577" s="415">
        <v>2843.05</v>
      </c>
      <c r="Q2577" s="481">
        <f t="shared" si="86"/>
        <v>140.47433134650009</v>
      </c>
    </row>
    <row r="2578" spans="1:17" x14ac:dyDescent="0.3">
      <c r="A2578" s="366" t="str">
        <f>IFERROR(VLOOKUP(RIGHT(E2578,3)+0,[1]SchLocTable!$A$2:$B$47,2,FALSE)," ")</f>
        <v>Bassick HS</v>
      </c>
      <c r="B2578" s="366" t="str">
        <f>VLOOKUP(VALUE(D2578),$D$3:F$106,3,FALSE)</f>
        <v>SPED Aides</v>
      </c>
      <c r="C2578" t="s">
        <v>314</v>
      </c>
      <c r="D2578">
        <v>829</v>
      </c>
      <c r="E2578" t="s">
        <v>878</v>
      </c>
      <c r="F2578" t="s">
        <v>392</v>
      </c>
      <c r="G2578" t="s">
        <v>319</v>
      </c>
      <c r="H2578" s="502">
        <v>52504</v>
      </c>
      <c r="I2578" s="415">
        <v>17597.731720427404</v>
      </c>
      <c r="J2578" s="415">
        <v>18416.259999999998</v>
      </c>
      <c r="K2578" s="415">
        <v>50963.79</v>
      </c>
      <c r="L2578" s="415">
        <v>38061.230000000003</v>
      </c>
      <c r="M2578" s="415">
        <v>46101.45</v>
      </c>
      <c r="N2578" s="415">
        <v>34624.870000000003</v>
      </c>
      <c r="O2578" s="415">
        <v>36428.629999999997</v>
      </c>
      <c r="P2578" s="415">
        <v>31231.66</v>
      </c>
      <c r="Q2578" s="481">
        <f t="shared" si="86"/>
        <v>818.52827957259433</v>
      </c>
    </row>
    <row r="2579" spans="1:17" x14ac:dyDescent="0.3">
      <c r="A2579" s="366" t="str">
        <f>IFERROR(VLOOKUP(RIGHT(E2579,3)+0,[1]SchLocTable!$A$2:$B$47,2,FALSE)," ")</f>
        <v>Bassick HS</v>
      </c>
      <c r="B2579" s="366" t="str">
        <f>VLOOKUP(VALUE(D2579),$D$3:F$106,3,FALSE)</f>
        <v>SPED Aides</v>
      </c>
      <c r="C2579" t="s">
        <v>314</v>
      </c>
      <c r="D2579">
        <v>829</v>
      </c>
      <c r="E2579" t="s">
        <v>878</v>
      </c>
      <c r="F2579" t="s">
        <v>324</v>
      </c>
      <c r="G2579" t="s">
        <v>319</v>
      </c>
      <c r="H2579" s="502">
        <v>52385</v>
      </c>
      <c r="I2579" s="415">
        <v>0</v>
      </c>
      <c r="J2579" s="415">
        <v>0</v>
      </c>
      <c r="K2579" s="415">
        <v>0</v>
      </c>
      <c r="L2579" s="415">
        <v>1114.93</v>
      </c>
      <c r="M2579" s="415">
        <v>0</v>
      </c>
      <c r="N2579" s="415">
        <v>293.67</v>
      </c>
      <c r="O2579" s="415">
        <v>0</v>
      </c>
      <c r="P2579" s="415">
        <v>0</v>
      </c>
      <c r="Q2579" s="481">
        <f t="shared" si="86"/>
        <v>0</v>
      </c>
    </row>
    <row r="2580" spans="1:17" x14ac:dyDescent="0.3">
      <c r="A2580" s="366" t="str">
        <f>IFERROR(VLOOKUP(RIGHT(E2580,3)+0,[1]SchLocTable!$A$2:$B$47,2,FALSE)," ")</f>
        <v>Central HS</v>
      </c>
      <c r="B2580" s="366" t="str">
        <f>VLOOKUP(VALUE(D2580),$D$3:F$106,3,FALSE)</f>
        <v>SPED Aides</v>
      </c>
      <c r="C2580" t="s">
        <v>314</v>
      </c>
      <c r="D2580">
        <v>829</v>
      </c>
      <c r="E2580" t="s">
        <v>879</v>
      </c>
      <c r="F2580" t="s">
        <v>316</v>
      </c>
      <c r="G2580">
        <v>13</v>
      </c>
      <c r="H2580" s="502">
        <v>51000</v>
      </c>
      <c r="I2580" s="415">
        <v>374838.03255600005</v>
      </c>
      <c r="J2580" s="415">
        <v>352069.17</v>
      </c>
      <c r="K2580" s="415">
        <v>457596.22</v>
      </c>
      <c r="L2580" s="415">
        <v>402128.34</v>
      </c>
      <c r="M2580" s="415">
        <v>505884.1</v>
      </c>
      <c r="N2580" s="415">
        <v>537802.34</v>
      </c>
      <c r="O2580" s="415">
        <v>543680.34</v>
      </c>
      <c r="P2580" s="415">
        <v>542153.04</v>
      </c>
      <c r="Q2580" s="481">
        <f t="shared" si="86"/>
        <v>-22768.862556000066</v>
      </c>
    </row>
    <row r="2581" spans="1:17" x14ac:dyDescent="0.3">
      <c r="A2581" s="366" t="str">
        <f>IFERROR(VLOOKUP(RIGHT(E2581,3)+0,[1]SchLocTable!$A$2:$B$47,2,FALSE)," ")</f>
        <v>Central HS</v>
      </c>
      <c r="B2581" s="366" t="str">
        <f>VLOOKUP(VALUE(D2581),$D$3:F$106,3,FALSE)</f>
        <v>SPED Aides</v>
      </c>
      <c r="C2581" t="s">
        <v>314</v>
      </c>
      <c r="D2581">
        <v>829</v>
      </c>
      <c r="E2581" t="s">
        <v>879</v>
      </c>
      <c r="F2581" t="s">
        <v>360</v>
      </c>
      <c r="G2581" t="s">
        <v>319</v>
      </c>
      <c r="H2581" s="502">
        <v>52920</v>
      </c>
      <c r="I2581" s="415">
        <v>500</v>
      </c>
      <c r="J2581" s="415">
        <v>1000</v>
      </c>
      <c r="K2581" s="415">
        <v>1375</v>
      </c>
      <c r="L2581" s="415">
        <v>750</v>
      </c>
      <c r="M2581" s="415">
        <v>750</v>
      </c>
      <c r="N2581" s="415">
        <v>875</v>
      </c>
      <c r="O2581" s="415">
        <v>500</v>
      </c>
      <c r="P2581" s="415">
        <v>500</v>
      </c>
      <c r="Q2581" s="481">
        <f t="shared" si="86"/>
        <v>500</v>
      </c>
    </row>
    <row r="2582" spans="1:17" x14ac:dyDescent="0.3">
      <c r="A2582" s="366" t="str">
        <f>IFERROR(VLOOKUP(RIGHT(E2582,3)+0,[1]SchLocTable!$A$2:$B$47,2,FALSE)," ")</f>
        <v>Central HS</v>
      </c>
      <c r="B2582" s="366" t="str">
        <f>VLOOKUP(VALUE(D2582),$D$3:F$106,3,FALSE)</f>
        <v>SPED Aides</v>
      </c>
      <c r="C2582" t="s">
        <v>314</v>
      </c>
      <c r="D2582">
        <v>829</v>
      </c>
      <c r="E2582" t="s">
        <v>879</v>
      </c>
      <c r="F2582" t="s">
        <v>321</v>
      </c>
      <c r="G2582" t="s">
        <v>319</v>
      </c>
      <c r="H2582" s="502">
        <v>52917</v>
      </c>
      <c r="I2582" s="415">
        <v>135086.66399999999</v>
      </c>
      <c r="J2582" s="415">
        <v>113397.47</v>
      </c>
      <c r="K2582" s="415">
        <v>128592.8</v>
      </c>
      <c r="L2582" s="415">
        <v>111562.61</v>
      </c>
      <c r="M2582" s="415">
        <v>132410.93</v>
      </c>
      <c r="N2582" s="415">
        <v>144715.29999999999</v>
      </c>
      <c r="O2582" s="415">
        <v>145127.96</v>
      </c>
      <c r="P2582" s="415">
        <v>144151.31</v>
      </c>
      <c r="Q2582" s="481">
        <f t="shared" si="86"/>
        <v>-21689.193999999989</v>
      </c>
    </row>
    <row r="2583" spans="1:17" x14ac:dyDescent="0.3">
      <c r="A2583" s="366" t="str">
        <f>IFERROR(VLOOKUP(RIGHT(E2583,3)+0,[1]SchLocTable!$A$2:$B$47,2,FALSE)," ")</f>
        <v>Central HS</v>
      </c>
      <c r="B2583" s="366" t="str">
        <f>VLOOKUP(VALUE(D2583),$D$3:F$106,3,FALSE)</f>
        <v>SPED Aides</v>
      </c>
      <c r="C2583" t="s">
        <v>314</v>
      </c>
      <c r="D2583">
        <v>829</v>
      </c>
      <c r="E2583" t="s">
        <v>879</v>
      </c>
      <c r="F2583" t="s">
        <v>318</v>
      </c>
      <c r="G2583" t="s">
        <v>319</v>
      </c>
      <c r="H2583" s="502">
        <v>51140</v>
      </c>
      <c r="I2583" s="415">
        <v>13380</v>
      </c>
      <c r="J2583" s="415">
        <v>0</v>
      </c>
      <c r="K2583" s="415">
        <v>18145.87</v>
      </c>
      <c r="L2583" s="415">
        <v>21620</v>
      </c>
      <c r="M2583" s="415">
        <v>16390</v>
      </c>
      <c r="N2583" s="415">
        <v>17630</v>
      </c>
      <c r="O2583" s="415">
        <v>18379.16</v>
      </c>
      <c r="P2583" s="415">
        <v>17740</v>
      </c>
      <c r="Q2583" s="481">
        <f t="shared" si="86"/>
        <v>-13380</v>
      </c>
    </row>
    <row r="2584" spans="1:17" x14ac:dyDescent="0.3">
      <c r="A2584" s="366" t="str">
        <f>IFERROR(VLOOKUP(RIGHT(E2584,3)+0,[1]SchLocTable!$A$2:$B$47,2,FALSE)," ")</f>
        <v>Central HS</v>
      </c>
      <c r="B2584" s="366" t="str">
        <f>VLOOKUP(VALUE(D2584),$D$3:F$106,3,FALSE)</f>
        <v>SPED Aides</v>
      </c>
      <c r="C2584" t="s">
        <v>314</v>
      </c>
      <c r="D2584">
        <v>829</v>
      </c>
      <c r="E2584" t="s">
        <v>879</v>
      </c>
      <c r="F2584" t="s">
        <v>320</v>
      </c>
      <c r="G2584" t="s">
        <v>319</v>
      </c>
      <c r="H2584" s="502">
        <v>52360</v>
      </c>
      <c r="I2584" s="415">
        <v>5442.4014720619998</v>
      </c>
      <c r="J2584" s="415">
        <v>4873.67</v>
      </c>
      <c r="K2584" s="415">
        <v>6336.99</v>
      </c>
      <c r="L2584" s="415">
        <v>5099.91</v>
      </c>
      <c r="M2584" s="415">
        <v>6444.85</v>
      </c>
      <c r="N2584" s="415">
        <v>6884.47</v>
      </c>
      <c r="O2584" s="415">
        <v>7007.05</v>
      </c>
      <c r="P2584" s="415">
        <v>6882.86</v>
      </c>
      <c r="Q2584" s="481">
        <f t="shared" si="86"/>
        <v>-568.73147206199974</v>
      </c>
    </row>
    <row r="2585" spans="1:17" x14ac:dyDescent="0.3">
      <c r="A2585" s="366" t="str">
        <f>IFERROR(VLOOKUP(RIGHT(E2585,3)+0,[1]SchLocTable!$A$2:$B$47,2,FALSE)," ")</f>
        <v>Central HS</v>
      </c>
      <c r="B2585" s="366" t="str">
        <f>VLOOKUP(VALUE(D2585),$D$3:F$106,3,FALSE)</f>
        <v>SPED Aides</v>
      </c>
      <c r="C2585" t="s">
        <v>314</v>
      </c>
      <c r="D2585">
        <v>829</v>
      </c>
      <c r="E2585" t="s">
        <v>879</v>
      </c>
      <c r="F2585" t="s">
        <v>392</v>
      </c>
      <c r="G2585" t="s">
        <v>319</v>
      </c>
      <c r="H2585" s="502">
        <v>52504</v>
      </c>
      <c r="I2585" s="415">
        <v>77995.24316513681</v>
      </c>
      <c r="J2585" s="415">
        <v>73159.98</v>
      </c>
      <c r="K2585" s="415">
        <v>100741.55</v>
      </c>
      <c r="L2585" s="415">
        <v>86434.72</v>
      </c>
      <c r="M2585" s="415">
        <v>112556.03</v>
      </c>
      <c r="N2585" s="415">
        <v>106058.2</v>
      </c>
      <c r="O2585" s="415">
        <v>92504.45</v>
      </c>
      <c r="P2585" s="415">
        <v>77911.820000000007</v>
      </c>
      <c r="Q2585" s="481">
        <f t="shared" si="86"/>
        <v>-4835.2631651368138</v>
      </c>
    </row>
    <row r="2586" spans="1:17" x14ac:dyDescent="0.3">
      <c r="A2586" s="366" t="str">
        <f>IFERROR(VLOOKUP(RIGHT(E2586,3)+0,[1]SchLocTable!$A$2:$B$47,2,FALSE)," ")</f>
        <v>Central HS</v>
      </c>
      <c r="B2586" s="366" t="str">
        <f>VLOOKUP(VALUE(D2586),$D$3:F$106,3,FALSE)</f>
        <v>SPED Aides</v>
      </c>
      <c r="C2586" t="s">
        <v>314</v>
      </c>
      <c r="D2586">
        <v>829</v>
      </c>
      <c r="E2586" t="s">
        <v>879</v>
      </c>
      <c r="F2586" t="s">
        <v>419</v>
      </c>
      <c r="G2586" t="s">
        <v>319</v>
      </c>
      <c r="H2586" s="502">
        <v>51318</v>
      </c>
      <c r="I2586" s="415">
        <v>0</v>
      </c>
      <c r="J2586" s="415">
        <v>0</v>
      </c>
      <c r="K2586" s="415">
        <v>834.54</v>
      </c>
      <c r="L2586" s="415">
        <v>0</v>
      </c>
      <c r="M2586" s="415">
        <v>0</v>
      </c>
      <c r="N2586" s="415">
        <v>0</v>
      </c>
      <c r="O2586" s="415">
        <v>0</v>
      </c>
      <c r="P2586" s="415">
        <v>0</v>
      </c>
      <c r="Q2586" s="481">
        <f t="shared" si="86"/>
        <v>0</v>
      </c>
    </row>
    <row r="2587" spans="1:17" x14ac:dyDescent="0.3">
      <c r="A2587" s="366" t="str">
        <f>IFERROR(VLOOKUP(RIGHT(E2587,3)+0,[1]SchLocTable!$A$2:$B$47,2,FALSE)," ")</f>
        <v>Central HS</v>
      </c>
      <c r="B2587" s="366" t="str">
        <f>VLOOKUP(VALUE(D2587),$D$3:F$106,3,FALSE)</f>
        <v>SPED Aides</v>
      </c>
      <c r="C2587" t="s">
        <v>314</v>
      </c>
      <c r="D2587">
        <v>829</v>
      </c>
      <c r="E2587" t="s">
        <v>879</v>
      </c>
      <c r="F2587" t="s">
        <v>329</v>
      </c>
      <c r="G2587" t="s">
        <v>319</v>
      </c>
      <c r="H2587" s="502">
        <v>51154</v>
      </c>
      <c r="I2587" s="415">
        <v>0</v>
      </c>
      <c r="J2587" s="415">
        <v>0</v>
      </c>
      <c r="K2587" s="415">
        <v>14126.87</v>
      </c>
      <c r="L2587" s="415">
        <v>0</v>
      </c>
      <c r="M2587" s="415">
        <v>0</v>
      </c>
      <c r="N2587" s="415">
        <v>0</v>
      </c>
      <c r="O2587" s="415">
        <v>1027.5999999999999</v>
      </c>
      <c r="P2587" s="415">
        <v>0</v>
      </c>
      <c r="Q2587" s="481">
        <f t="shared" si="86"/>
        <v>0</v>
      </c>
    </row>
    <row r="2588" spans="1:17" x14ac:dyDescent="0.3">
      <c r="A2588" s="366" t="str">
        <f>IFERROR(VLOOKUP(RIGHT(E2588,3)+0,[1]SchLocTable!$A$2:$B$47,2,FALSE)," ")</f>
        <v>Harding HS</v>
      </c>
      <c r="B2588" s="366" t="str">
        <f>VLOOKUP(VALUE(D2588),$D$3:F$106,3,FALSE)</f>
        <v>SPED Aides</v>
      </c>
      <c r="C2588" t="s">
        <v>314</v>
      </c>
      <c r="D2588">
        <v>829</v>
      </c>
      <c r="E2588" t="s">
        <v>880</v>
      </c>
      <c r="F2588" t="s">
        <v>316</v>
      </c>
      <c r="G2588">
        <v>6</v>
      </c>
      <c r="H2588" s="502">
        <v>51000</v>
      </c>
      <c r="I2588" s="415">
        <v>198717.87776100004</v>
      </c>
      <c r="J2588" s="415">
        <v>173392.85</v>
      </c>
      <c r="K2588" s="415">
        <v>206689.35</v>
      </c>
      <c r="L2588" s="415">
        <v>89960.38</v>
      </c>
      <c r="M2588" s="415">
        <v>162146.26999999999</v>
      </c>
      <c r="N2588" s="415">
        <v>71027.19</v>
      </c>
      <c r="O2588" s="415">
        <v>48494.28</v>
      </c>
      <c r="P2588" s="415">
        <v>81400.66</v>
      </c>
      <c r="Q2588" s="481">
        <f t="shared" si="86"/>
        <v>-25325.027761000034</v>
      </c>
    </row>
    <row r="2589" spans="1:17" x14ac:dyDescent="0.3">
      <c r="A2589" s="366" t="str">
        <f>IFERROR(VLOOKUP(RIGHT(E2589,3)+0,[1]SchLocTable!$A$2:$B$47,2,FALSE)," ")</f>
        <v>Harding HS</v>
      </c>
      <c r="B2589" s="366" t="str">
        <f>VLOOKUP(VALUE(D2589),$D$3:F$106,3,FALSE)</f>
        <v>SPED Aides</v>
      </c>
      <c r="C2589" t="s">
        <v>314</v>
      </c>
      <c r="D2589">
        <v>829</v>
      </c>
      <c r="E2589" t="s">
        <v>880</v>
      </c>
      <c r="F2589" t="s">
        <v>360</v>
      </c>
      <c r="G2589" t="s">
        <v>319</v>
      </c>
      <c r="H2589" s="502">
        <v>52920</v>
      </c>
      <c r="I2589" s="415">
        <v>2000</v>
      </c>
      <c r="J2589" s="415">
        <v>0</v>
      </c>
      <c r="K2589" s="415">
        <v>1458.36</v>
      </c>
      <c r="L2589" s="415">
        <v>500</v>
      </c>
      <c r="M2589" s="415">
        <v>250</v>
      </c>
      <c r="N2589" s="415">
        <v>0</v>
      </c>
      <c r="O2589" s="415">
        <v>333.34</v>
      </c>
      <c r="P2589" s="415">
        <v>666.68</v>
      </c>
      <c r="Q2589" s="481">
        <f t="shared" si="86"/>
        <v>-2000</v>
      </c>
    </row>
    <row r="2590" spans="1:17" x14ac:dyDescent="0.3">
      <c r="A2590" s="366" t="str">
        <f>IFERROR(VLOOKUP(RIGHT(E2590,3)+0,[1]SchLocTable!$A$2:$B$47,2,FALSE)," ")</f>
        <v>Harding HS</v>
      </c>
      <c r="B2590" s="366" t="str">
        <f>VLOOKUP(VALUE(D2590),$D$3:F$106,3,FALSE)</f>
        <v>SPED Aides</v>
      </c>
      <c r="C2590" t="s">
        <v>314</v>
      </c>
      <c r="D2590">
        <v>829</v>
      </c>
      <c r="E2590" t="s">
        <v>880</v>
      </c>
      <c r="F2590" t="s">
        <v>321</v>
      </c>
      <c r="G2590" t="s">
        <v>319</v>
      </c>
      <c r="H2590" s="502">
        <v>52917</v>
      </c>
      <c r="I2590" s="415">
        <v>15360.383999999998</v>
      </c>
      <c r="J2590" s="415">
        <v>12736</v>
      </c>
      <c r="K2590" s="415">
        <v>13172.35</v>
      </c>
      <c r="L2590" s="415">
        <v>18966.939999999999</v>
      </c>
      <c r="M2590" s="415">
        <v>36484.86</v>
      </c>
      <c r="N2590" s="415">
        <v>14839.07</v>
      </c>
      <c r="O2590" s="415">
        <v>3571.02</v>
      </c>
      <c r="P2590" s="415">
        <v>1273.0999999999999</v>
      </c>
      <c r="Q2590" s="481">
        <f t="shared" si="86"/>
        <v>-2624.3839999999982</v>
      </c>
    </row>
    <row r="2591" spans="1:17" x14ac:dyDescent="0.3">
      <c r="A2591" s="366" t="str">
        <f>IFERROR(VLOOKUP(RIGHT(E2591,3)+0,[1]SchLocTable!$A$2:$B$47,2,FALSE)," ")</f>
        <v>Harding HS</v>
      </c>
      <c r="B2591" s="366" t="str">
        <f>VLOOKUP(VALUE(D2591),$D$3:F$106,3,FALSE)</f>
        <v>SPED Aides</v>
      </c>
      <c r="C2591" t="s">
        <v>314</v>
      </c>
      <c r="D2591">
        <v>829</v>
      </c>
      <c r="E2591" t="s">
        <v>880</v>
      </c>
      <c r="F2591" t="s">
        <v>318</v>
      </c>
      <c r="G2591" t="s">
        <v>319</v>
      </c>
      <c r="H2591" s="502">
        <v>51140</v>
      </c>
      <c r="I2591" s="415">
        <v>1050</v>
      </c>
      <c r="J2591" s="415">
        <v>0</v>
      </c>
      <c r="K2591" s="415">
        <v>980</v>
      </c>
      <c r="L2591" s="415">
        <v>6470</v>
      </c>
      <c r="M2591" s="415">
        <v>0</v>
      </c>
      <c r="N2591" s="415">
        <v>0</v>
      </c>
      <c r="O2591" s="415">
        <v>0</v>
      </c>
      <c r="P2591" s="415">
        <v>0</v>
      </c>
      <c r="Q2591" s="481">
        <f t="shared" si="86"/>
        <v>-1050</v>
      </c>
    </row>
    <row r="2592" spans="1:17" x14ac:dyDescent="0.3">
      <c r="A2592" s="366" t="str">
        <f>IFERROR(VLOOKUP(RIGHT(E2592,3)+0,[1]SchLocTable!$A$2:$B$47,2,FALSE)," ")</f>
        <v>Harding HS</v>
      </c>
      <c r="B2592" s="366" t="str">
        <f>VLOOKUP(VALUE(D2592),$D$3:F$106,3,FALSE)</f>
        <v>SPED Aides</v>
      </c>
      <c r="C2592" t="s">
        <v>314</v>
      </c>
      <c r="D2592">
        <v>829</v>
      </c>
      <c r="E2592" t="s">
        <v>880</v>
      </c>
      <c r="F2592" t="s">
        <v>320</v>
      </c>
      <c r="G2592" t="s">
        <v>319</v>
      </c>
      <c r="H2592" s="502">
        <v>52360</v>
      </c>
      <c r="I2592" s="415">
        <v>2910.4092275345006</v>
      </c>
      <c r="J2592" s="415">
        <v>2500.42</v>
      </c>
      <c r="K2592" s="415">
        <v>3042.28</v>
      </c>
      <c r="L2592" s="415">
        <v>1185.9100000000001</v>
      </c>
      <c r="M2592" s="415">
        <v>2087.5</v>
      </c>
      <c r="N2592" s="415">
        <v>927.96</v>
      </c>
      <c r="O2592" s="415">
        <v>686.69</v>
      </c>
      <c r="P2592" s="415">
        <v>1040.6199999999999</v>
      </c>
      <c r="Q2592" s="481">
        <f t="shared" si="86"/>
        <v>-409.98922753450051</v>
      </c>
    </row>
    <row r="2593" spans="1:17" x14ac:dyDescent="0.3">
      <c r="A2593" s="366" t="str">
        <f>IFERROR(VLOOKUP(RIGHT(E2593,3)+0,[1]SchLocTable!$A$2:$B$47,2,FALSE)," ")</f>
        <v>Harding HS</v>
      </c>
      <c r="B2593" s="366" t="str">
        <f>VLOOKUP(VALUE(D2593),$D$3:F$106,3,FALSE)</f>
        <v>SPED Aides</v>
      </c>
      <c r="C2593" t="s">
        <v>314</v>
      </c>
      <c r="D2593">
        <v>829</v>
      </c>
      <c r="E2593" t="s">
        <v>880</v>
      </c>
      <c r="F2593" t="s">
        <v>392</v>
      </c>
      <c r="G2593" t="s">
        <v>319</v>
      </c>
      <c r="H2593" s="502">
        <v>52504</v>
      </c>
      <c r="I2593" s="415">
        <v>41709.174998735813</v>
      </c>
      <c r="J2593" s="415">
        <v>32250</v>
      </c>
      <c r="K2593" s="415">
        <v>30814.41</v>
      </c>
      <c r="L2593" s="415">
        <v>19534.919999999998</v>
      </c>
      <c r="M2593" s="415">
        <v>27365.439999999999</v>
      </c>
      <c r="N2593" s="415">
        <v>8931.39</v>
      </c>
      <c r="O2593" s="415">
        <v>7010.15</v>
      </c>
      <c r="P2593" s="415">
        <v>6578.86</v>
      </c>
      <c r="Q2593" s="481">
        <f t="shared" si="86"/>
        <v>-9459.1749987358126</v>
      </c>
    </row>
    <row r="2594" spans="1:17" x14ac:dyDescent="0.3">
      <c r="A2594" s="366" t="str">
        <f>IFERROR(VLOOKUP(RIGHT(E2594,3)+0,[1]SchLocTable!$A$2:$B$47,2,FALSE)," ")</f>
        <v>Harding HS</v>
      </c>
      <c r="B2594" s="366" t="str">
        <f>VLOOKUP(VALUE(D2594),$D$3:F$106,3,FALSE)</f>
        <v>SPED Aides</v>
      </c>
      <c r="C2594" t="s">
        <v>314</v>
      </c>
      <c r="D2594">
        <v>829</v>
      </c>
      <c r="E2594" t="s">
        <v>880</v>
      </c>
      <c r="F2594" t="s">
        <v>324</v>
      </c>
      <c r="G2594" t="s">
        <v>319</v>
      </c>
      <c r="H2594" s="502">
        <v>52385</v>
      </c>
      <c r="I2594" s="415">
        <v>31</v>
      </c>
      <c r="J2594" s="415">
        <v>0</v>
      </c>
      <c r="K2594" s="415">
        <v>2585.79</v>
      </c>
      <c r="L2594" s="415">
        <v>0</v>
      </c>
      <c r="M2594" s="415">
        <v>2024.28</v>
      </c>
      <c r="N2594" s="415">
        <v>1353.17</v>
      </c>
      <c r="O2594" s="415">
        <v>322.16000000000003</v>
      </c>
      <c r="P2594" s="415">
        <v>1557.52</v>
      </c>
      <c r="Q2594" s="481">
        <f t="shared" si="86"/>
        <v>-31</v>
      </c>
    </row>
    <row r="2595" spans="1:17" x14ac:dyDescent="0.3">
      <c r="A2595" s="366" t="str">
        <f>IFERROR(VLOOKUP(RIGHT(E2595,3)+0,[1]SchLocTable!$A$2:$B$47,2,FALSE)," ")</f>
        <v>Harding HS</v>
      </c>
      <c r="B2595" s="366" t="str">
        <f>VLOOKUP(VALUE(D2595),$D$3:F$106,3,FALSE)</f>
        <v>SPED Aides</v>
      </c>
      <c r="C2595" t="s">
        <v>314</v>
      </c>
      <c r="D2595">
        <v>829</v>
      </c>
      <c r="E2595" t="s">
        <v>880</v>
      </c>
      <c r="F2595" t="s">
        <v>533</v>
      </c>
      <c r="G2595" t="s">
        <v>319</v>
      </c>
      <c r="H2595" s="502">
        <v>52397</v>
      </c>
      <c r="I2595" s="415">
        <v>0</v>
      </c>
      <c r="J2595" s="415">
        <v>0</v>
      </c>
      <c r="K2595" s="415">
        <v>0</v>
      </c>
      <c r="L2595" s="415">
        <v>182</v>
      </c>
      <c r="M2595" s="415">
        <v>0</v>
      </c>
      <c r="N2595" s="415">
        <v>0</v>
      </c>
      <c r="O2595" s="415">
        <v>0</v>
      </c>
      <c r="P2595" s="415">
        <v>0</v>
      </c>
      <c r="Q2595" s="481">
        <f t="shared" si="86"/>
        <v>0</v>
      </c>
    </row>
    <row r="2596" spans="1:17" x14ac:dyDescent="0.3">
      <c r="A2596" s="366" t="str">
        <f>IFERROR(VLOOKUP(RIGHT(E2596,3)+0,[1]SchLocTable!$A$2:$B$47,2,FALSE)," ")</f>
        <v xml:space="preserve"> </v>
      </c>
      <c r="B2596" s="366" t="str">
        <f>VLOOKUP(VALUE(D2596),$D$3:F$106,3,FALSE)</f>
        <v>SPED Clericals</v>
      </c>
      <c r="C2596" t="s">
        <v>314</v>
      </c>
      <c r="D2596">
        <v>830</v>
      </c>
      <c r="E2596" t="s">
        <v>881</v>
      </c>
      <c r="F2596" t="s">
        <v>316</v>
      </c>
      <c r="G2596">
        <v>4</v>
      </c>
      <c r="H2596" s="502">
        <v>51000</v>
      </c>
      <c r="I2596" s="415">
        <v>339203.87950799998</v>
      </c>
      <c r="J2596" s="415">
        <v>293164.34000000003</v>
      </c>
      <c r="K2596" s="415">
        <v>257597.8</v>
      </c>
      <c r="L2596" s="415">
        <v>220632.9</v>
      </c>
      <c r="M2596" s="415">
        <v>249142.81</v>
      </c>
      <c r="N2596" s="415">
        <v>247875.46</v>
      </c>
      <c r="O2596" s="415">
        <v>232589.95</v>
      </c>
      <c r="P2596" s="415">
        <v>202955.34</v>
      </c>
      <c r="Q2596" s="481">
        <f t="shared" si="86"/>
        <v>-46039.539507999958</v>
      </c>
    </row>
    <row r="2597" spans="1:17" x14ac:dyDescent="0.3">
      <c r="A2597" s="366" t="str">
        <f>IFERROR(VLOOKUP(RIGHT(E2597,3)+0,[1]SchLocTable!$A$2:$B$47,2,FALSE)," ")</f>
        <v xml:space="preserve"> </v>
      </c>
      <c r="B2597" s="366" t="str">
        <f>VLOOKUP(VALUE(D2597),$D$3:F$106,3,FALSE)</f>
        <v>SPED Clericals</v>
      </c>
      <c r="C2597" t="s">
        <v>314</v>
      </c>
      <c r="D2597">
        <v>830</v>
      </c>
      <c r="E2597" t="s">
        <v>881</v>
      </c>
      <c r="F2597" t="s">
        <v>334</v>
      </c>
      <c r="G2597" t="s">
        <v>319</v>
      </c>
      <c r="H2597" s="502">
        <v>51400</v>
      </c>
      <c r="I2597" s="415">
        <v>0</v>
      </c>
      <c r="J2597" s="415">
        <v>0</v>
      </c>
      <c r="K2597" s="415">
        <v>0</v>
      </c>
      <c r="L2597" s="415">
        <v>0</v>
      </c>
      <c r="M2597" s="415">
        <v>1000</v>
      </c>
      <c r="N2597" s="415">
        <v>0</v>
      </c>
      <c r="O2597" s="415">
        <v>0</v>
      </c>
      <c r="P2597" s="415">
        <v>0</v>
      </c>
      <c r="Q2597" s="481">
        <f t="shared" si="86"/>
        <v>0</v>
      </c>
    </row>
    <row r="2598" spans="1:17" x14ac:dyDescent="0.3">
      <c r="A2598" s="366" t="str">
        <f>IFERROR(VLOOKUP(RIGHT(E2598,3)+0,[1]SchLocTable!$A$2:$B$47,2,FALSE)," ")</f>
        <v xml:space="preserve"> </v>
      </c>
      <c r="B2598" s="366" t="str">
        <f>VLOOKUP(VALUE(D2598),$D$3:F$106,3,FALSE)</f>
        <v>SPED Clericals</v>
      </c>
      <c r="C2598" t="s">
        <v>314</v>
      </c>
      <c r="D2598">
        <v>830</v>
      </c>
      <c r="E2598" t="s">
        <v>881</v>
      </c>
      <c r="F2598" t="s">
        <v>360</v>
      </c>
      <c r="G2598" t="s">
        <v>319</v>
      </c>
      <c r="H2598" s="502">
        <v>52920</v>
      </c>
      <c r="I2598" s="415">
        <v>0</v>
      </c>
      <c r="J2598" s="415">
        <v>0</v>
      </c>
      <c r="K2598" s="415">
        <v>0</v>
      </c>
      <c r="L2598" s="415">
        <v>0</v>
      </c>
      <c r="M2598" s="415">
        <v>41.67</v>
      </c>
      <c r="N2598" s="415">
        <v>166.68</v>
      </c>
      <c r="O2598" s="415">
        <v>0</v>
      </c>
      <c r="P2598" s="415">
        <v>0</v>
      </c>
      <c r="Q2598" s="481">
        <f t="shared" si="86"/>
        <v>0</v>
      </c>
    </row>
    <row r="2599" spans="1:17" x14ac:dyDescent="0.3">
      <c r="A2599" s="366" t="str">
        <f>IFERROR(VLOOKUP(RIGHT(E2599,3)+0,[1]SchLocTable!$A$2:$B$47,2,FALSE)," ")</f>
        <v xml:space="preserve"> </v>
      </c>
      <c r="B2599" s="366" t="str">
        <f>VLOOKUP(VALUE(D2599),$D$3:F$106,3,FALSE)</f>
        <v>SPED Clericals</v>
      </c>
      <c r="C2599" t="s">
        <v>314</v>
      </c>
      <c r="D2599">
        <v>830</v>
      </c>
      <c r="E2599" t="s">
        <v>881</v>
      </c>
      <c r="F2599" t="s">
        <v>321</v>
      </c>
      <c r="G2599" t="s">
        <v>319</v>
      </c>
      <c r="H2599" s="502">
        <v>52917</v>
      </c>
      <c r="I2599" s="415">
        <v>112690.65599999999</v>
      </c>
      <c r="J2599" s="415">
        <v>93802</v>
      </c>
      <c r="K2599" s="415">
        <v>73750.259999999995</v>
      </c>
      <c r="L2599" s="415">
        <v>67098.5</v>
      </c>
      <c r="M2599" s="415">
        <v>83059.649999999994</v>
      </c>
      <c r="N2599" s="415">
        <v>77031.17</v>
      </c>
      <c r="O2599" s="415">
        <v>72964.89</v>
      </c>
      <c r="P2599" s="415">
        <v>64058.31</v>
      </c>
      <c r="Q2599" s="481">
        <f t="shared" si="86"/>
        <v>-18888.655999999988</v>
      </c>
    </row>
    <row r="2600" spans="1:17" x14ac:dyDescent="0.3">
      <c r="A2600" s="366" t="str">
        <f>IFERROR(VLOOKUP(RIGHT(E2600,3)+0,[1]SchLocTable!$A$2:$B$47,2,FALSE)," ")</f>
        <v xml:space="preserve"> </v>
      </c>
      <c r="B2600" s="366" t="str">
        <f>VLOOKUP(VALUE(D2600),$D$3:F$106,3,FALSE)</f>
        <v>SPED Clericals</v>
      </c>
      <c r="C2600" t="s">
        <v>314</v>
      </c>
      <c r="D2600">
        <v>830</v>
      </c>
      <c r="E2600" t="s">
        <v>881</v>
      </c>
      <c r="F2600" t="s">
        <v>318</v>
      </c>
      <c r="G2600" t="s">
        <v>319</v>
      </c>
      <c r="H2600" s="502">
        <v>51140</v>
      </c>
      <c r="I2600" s="415">
        <v>5160</v>
      </c>
      <c r="J2600" s="415">
        <v>0</v>
      </c>
      <c r="K2600" s="415">
        <v>5020</v>
      </c>
      <c r="L2600" s="415">
        <v>5090</v>
      </c>
      <c r="M2600" s="415">
        <v>4900</v>
      </c>
      <c r="N2600" s="415">
        <v>4690</v>
      </c>
      <c r="O2600" s="415">
        <v>4480</v>
      </c>
      <c r="P2600" s="415">
        <v>4270</v>
      </c>
      <c r="Q2600" s="481">
        <f t="shared" si="86"/>
        <v>-5160</v>
      </c>
    </row>
    <row r="2601" spans="1:17" x14ac:dyDescent="0.3">
      <c r="A2601" s="366" t="str">
        <f>IFERROR(VLOOKUP(RIGHT(E2601,3)+0,[1]SchLocTable!$A$2:$B$47,2,FALSE)," ")</f>
        <v xml:space="preserve"> </v>
      </c>
      <c r="B2601" s="366" t="str">
        <f>VLOOKUP(VALUE(D2601),$D$3:F$106,3,FALSE)</f>
        <v>SPED Clericals</v>
      </c>
      <c r="C2601" t="s">
        <v>314</v>
      </c>
      <c r="D2601">
        <v>830</v>
      </c>
      <c r="E2601" t="s">
        <v>881</v>
      </c>
      <c r="F2601" t="s">
        <v>320</v>
      </c>
      <c r="G2601" t="s">
        <v>319</v>
      </c>
      <c r="H2601" s="502">
        <v>52360</v>
      </c>
      <c r="I2601" s="415">
        <v>4918.4562528660008</v>
      </c>
      <c r="J2601" s="415">
        <v>4148</v>
      </c>
      <c r="K2601" s="415">
        <v>3641.72</v>
      </c>
      <c r="L2601" s="415">
        <v>3138.19</v>
      </c>
      <c r="M2601" s="415">
        <v>3443.23</v>
      </c>
      <c r="N2601" s="415">
        <v>3424.09</v>
      </c>
      <c r="O2601" s="415">
        <v>3243.16</v>
      </c>
      <c r="P2601" s="415">
        <v>2826.36</v>
      </c>
      <c r="Q2601" s="481">
        <f t="shared" si="86"/>
        <v>-770.4562528660008</v>
      </c>
    </row>
    <row r="2602" spans="1:17" x14ac:dyDescent="0.3">
      <c r="A2602" s="366" t="str">
        <f>IFERROR(VLOOKUP(RIGHT(E2602,3)+0,[1]SchLocTable!$A$2:$B$47,2,FALSE)," ")</f>
        <v xml:space="preserve"> </v>
      </c>
      <c r="B2602" s="366" t="str">
        <f>VLOOKUP(VALUE(D2602),$D$3:F$106,3,FALSE)</f>
        <v>SPED Clericals</v>
      </c>
      <c r="C2602" t="s">
        <v>314</v>
      </c>
      <c r="D2602">
        <v>830</v>
      </c>
      <c r="E2602" t="s">
        <v>881</v>
      </c>
      <c r="F2602" t="s">
        <v>392</v>
      </c>
      <c r="G2602" t="s">
        <v>319</v>
      </c>
      <c r="H2602" s="502">
        <v>52504</v>
      </c>
      <c r="I2602" s="415">
        <v>70486.566161762399</v>
      </c>
      <c r="J2602" s="415">
        <v>60919.54</v>
      </c>
      <c r="K2602" s="415">
        <v>54085.89</v>
      </c>
      <c r="L2602" s="415">
        <v>46386.49</v>
      </c>
      <c r="M2602" s="415">
        <v>54496.94</v>
      </c>
      <c r="N2602" s="415">
        <v>46144.7</v>
      </c>
      <c r="O2602" s="415">
        <v>38415.79</v>
      </c>
      <c r="P2602" s="415">
        <v>27521.64</v>
      </c>
      <c r="Q2602" s="481">
        <f t="shared" si="86"/>
        <v>-9567.0261617623983</v>
      </c>
    </row>
    <row r="2603" spans="1:17" x14ac:dyDescent="0.3">
      <c r="A2603" s="366" t="str">
        <f>IFERROR(VLOOKUP(RIGHT(E2603,3)+0,[1]SchLocTable!$A$2:$B$47,2,FALSE)," ")</f>
        <v xml:space="preserve"> </v>
      </c>
      <c r="B2603" s="366" t="str">
        <f>VLOOKUP(VALUE(D2603),$D$3:F$106,3,FALSE)</f>
        <v>SPED Clericals</v>
      </c>
      <c r="C2603" t="s">
        <v>314</v>
      </c>
      <c r="D2603">
        <v>830</v>
      </c>
      <c r="E2603" t="s">
        <v>881</v>
      </c>
      <c r="F2603" t="s">
        <v>419</v>
      </c>
      <c r="G2603" t="s">
        <v>319</v>
      </c>
      <c r="H2603" s="502">
        <v>51318</v>
      </c>
      <c r="I2603" s="415">
        <v>0</v>
      </c>
      <c r="J2603" s="415">
        <v>0</v>
      </c>
      <c r="K2603" s="415">
        <v>0</v>
      </c>
      <c r="L2603" s="415">
        <v>164.03</v>
      </c>
      <c r="M2603" s="415">
        <v>421.2</v>
      </c>
      <c r="N2603" s="415">
        <v>0</v>
      </c>
      <c r="O2603" s="415">
        <v>0</v>
      </c>
      <c r="P2603" s="415">
        <v>0</v>
      </c>
      <c r="Q2603" s="481">
        <f t="shared" si="86"/>
        <v>0</v>
      </c>
    </row>
    <row r="2604" spans="1:17" x14ac:dyDescent="0.3">
      <c r="A2604" s="366" t="str">
        <f>IFERROR(VLOOKUP(RIGHT(E2604,3)+0,[1]SchLocTable!$A$2:$B$47,2,FALSE)," ")</f>
        <v xml:space="preserve"> </v>
      </c>
      <c r="B2604" s="366" t="str">
        <f>VLOOKUP(VALUE(D2604),$D$3:F$106,3,FALSE)</f>
        <v>SPED Clericals</v>
      </c>
      <c r="C2604" t="s">
        <v>314</v>
      </c>
      <c r="D2604">
        <v>830</v>
      </c>
      <c r="E2604" t="s">
        <v>881</v>
      </c>
      <c r="F2604" t="s">
        <v>452</v>
      </c>
      <c r="G2604" t="s">
        <v>319</v>
      </c>
      <c r="H2604" s="502">
        <v>51108</v>
      </c>
      <c r="I2604" s="415">
        <v>0</v>
      </c>
      <c r="J2604" s="415">
        <v>0</v>
      </c>
      <c r="K2604" s="415">
        <v>0</v>
      </c>
      <c r="L2604" s="415">
        <v>565.74</v>
      </c>
      <c r="M2604" s="415">
        <v>0</v>
      </c>
      <c r="N2604" s="415">
        <v>0</v>
      </c>
      <c r="O2604" s="415">
        <v>0</v>
      </c>
      <c r="P2604" s="415">
        <v>0</v>
      </c>
      <c r="Q2604" s="481">
        <f t="shared" si="86"/>
        <v>0</v>
      </c>
    </row>
    <row r="2605" spans="1:17" x14ac:dyDescent="0.3">
      <c r="A2605" s="366" t="str">
        <f>IFERROR(VLOOKUP(RIGHT(E2605,3)+0,[1]SchLocTable!$A$2:$B$47,2,FALSE)," ")</f>
        <v xml:space="preserve"> </v>
      </c>
      <c r="B2605" s="366" t="str">
        <f>VLOOKUP(VALUE(D2605),$D$3:F$106,3,FALSE)</f>
        <v>SPED Clericals</v>
      </c>
      <c r="C2605" t="s">
        <v>314</v>
      </c>
      <c r="D2605">
        <v>830</v>
      </c>
      <c r="E2605" t="s">
        <v>881</v>
      </c>
      <c r="F2605" t="s">
        <v>427</v>
      </c>
      <c r="G2605" t="s">
        <v>319</v>
      </c>
      <c r="H2605" s="502">
        <v>51106</v>
      </c>
      <c r="I2605" s="415">
        <v>0</v>
      </c>
      <c r="J2605" s="415">
        <v>0</v>
      </c>
      <c r="K2605" s="415">
        <v>0</v>
      </c>
      <c r="L2605" s="415">
        <v>1161.5899999999999</v>
      </c>
      <c r="M2605" s="415">
        <v>0</v>
      </c>
      <c r="N2605" s="415">
        <v>0</v>
      </c>
      <c r="O2605" s="415">
        <v>0</v>
      </c>
      <c r="P2605" s="415">
        <v>0</v>
      </c>
      <c r="Q2605" s="481">
        <f t="shared" si="86"/>
        <v>0</v>
      </c>
    </row>
    <row r="2606" spans="1:17" x14ac:dyDescent="0.3">
      <c r="A2606" s="366" t="str">
        <f>IFERROR(VLOOKUP(RIGHT(E2606,3)+0,[1]SchLocTable!$A$2:$B$47,2,FALSE)," ")</f>
        <v xml:space="preserve"> </v>
      </c>
      <c r="B2606" s="366" t="str">
        <f>VLOOKUP(VALUE(D2606),$D$3:F$106,3,FALSE)</f>
        <v>SPED Clericals</v>
      </c>
      <c r="C2606" t="s">
        <v>314</v>
      </c>
      <c r="D2606">
        <v>830</v>
      </c>
      <c r="E2606" t="s">
        <v>881</v>
      </c>
      <c r="F2606" t="s">
        <v>324</v>
      </c>
      <c r="G2606" t="s">
        <v>319</v>
      </c>
      <c r="H2606" s="502">
        <v>52385</v>
      </c>
      <c r="I2606" s="415">
        <v>0</v>
      </c>
      <c r="J2606" s="415">
        <v>0</v>
      </c>
      <c r="K2606" s="415">
        <v>0</v>
      </c>
      <c r="L2606" s="415">
        <v>0</v>
      </c>
      <c r="M2606" s="415">
        <v>139.26</v>
      </c>
      <c r="N2606" s="415">
        <v>697.94</v>
      </c>
      <c r="O2606" s="415">
        <v>212.15</v>
      </c>
      <c r="P2606" s="415">
        <v>830.48</v>
      </c>
      <c r="Q2606" s="481">
        <f t="shared" si="86"/>
        <v>0</v>
      </c>
    </row>
    <row r="2607" spans="1:17" x14ac:dyDescent="0.3">
      <c r="A2607" s="366" t="str">
        <f>IFERROR(VLOOKUP(RIGHT(E2607,3)+0,[1]SchLocTable!$A$2:$B$47,2,FALSE)," ")</f>
        <v xml:space="preserve"> </v>
      </c>
      <c r="B2607" s="366" t="str">
        <f>VLOOKUP(VALUE(D2607),$D$3:F$106,3,FALSE)</f>
        <v>SPED Clericals</v>
      </c>
      <c r="C2607" t="s">
        <v>314</v>
      </c>
      <c r="D2607">
        <v>830</v>
      </c>
      <c r="E2607" t="s">
        <v>881</v>
      </c>
      <c r="F2607" t="s">
        <v>329</v>
      </c>
      <c r="G2607" t="s">
        <v>319</v>
      </c>
      <c r="H2607" s="502">
        <v>51154</v>
      </c>
      <c r="I2607" s="415">
        <v>0</v>
      </c>
      <c r="J2607" s="415">
        <v>0</v>
      </c>
      <c r="K2607" s="415">
        <v>0</v>
      </c>
      <c r="L2607" s="415">
        <v>133.27000000000001</v>
      </c>
      <c r="M2607" s="415">
        <v>0</v>
      </c>
      <c r="N2607" s="415">
        <v>0</v>
      </c>
      <c r="O2607" s="415">
        <v>0</v>
      </c>
      <c r="P2607" s="415">
        <v>0</v>
      </c>
      <c r="Q2607" s="481">
        <f t="shared" si="86"/>
        <v>0</v>
      </c>
    </row>
    <row r="2608" spans="1:17" x14ac:dyDescent="0.3">
      <c r="A2608" s="366" t="str">
        <f>IFERROR(VLOOKUP(RIGHT(E2608,3)+0,[1]SchLocTable!$A$2:$B$47,2,FALSE)," ")</f>
        <v xml:space="preserve"> </v>
      </c>
      <c r="B2608" s="366" t="str">
        <f>VLOOKUP(VALUE(D2608),$D$3:F$106,3,FALSE)</f>
        <v>SPED Clericals</v>
      </c>
      <c r="C2608" t="s">
        <v>314</v>
      </c>
      <c r="D2608">
        <v>830</v>
      </c>
      <c r="E2608" t="s">
        <v>881</v>
      </c>
      <c r="F2608" t="s">
        <v>418</v>
      </c>
      <c r="G2608" t="s">
        <v>319</v>
      </c>
      <c r="H2608" s="502">
        <v>51314</v>
      </c>
      <c r="I2608" s="415">
        <v>0</v>
      </c>
      <c r="J2608" s="415">
        <v>0</v>
      </c>
      <c r="K2608" s="415">
        <v>0</v>
      </c>
      <c r="L2608" s="415">
        <v>430.57</v>
      </c>
      <c r="M2608" s="415">
        <v>0</v>
      </c>
      <c r="N2608" s="415">
        <v>0</v>
      </c>
      <c r="O2608" s="415">
        <v>0</v>
      </c>
      <c r="P2608" s="415">
        <v>0</v>
      </c>
      <c r="Q2608" s="481">
        <f t="shared" si="86"/>
        <v>0</v>
      </c>
    </row>
    <row r="2609" spans="1:17" x14ac:dyDescent="0.3">
      <c r="A2609" s="366" t="str">
        <f>IFERROR(VLOOKUP(RIGHT(E2609,3)+0,[1]SchLocTable!$A$2:$B$47,2,FALSE)," ")</f>
        <v xml:space="preserve"> </v>
      </c>
      <c r="B2609" s="366" t="str">
        <f>VLOOKUP(VALUE(D2609),$D$3:F$106,3,FALSE)</f>
        <v>SPED Clericals</v>
      </c>
      <c r="C2609" t="s">
        <v>314</v>
      </c>
      <c r="D2609">
        <v>830</v>
      </c>
      <c r="E2609" t="s">
        <v>881</v>
      </c>
      <c r="F2609" t="s">
        <v>356</v>
      </c>
      <c r="G2609" t="s">
        <v>319</v>
      </c>
      <c r="H2609" s="502">
        <v>51156</v>
      </c>
      <c r="I2609" s="415">
        <v>0</v>
      </c>
      <c r="J2609" s="415">
        <v>0</v>
      </c>
      <c r="K2609" s="415">
        <v>1326.58</v>
      </c>
      <c r="L2609" s="415">
        <v>1326.58</v>
      </c>
      <c r="M2609" s="415">
        <v>1208.4100000000001</v>
      </c>
      <c r="N2609" s="415">
        <v>0</v>
      </c>
      <c r="O2609" s="415">
        <v>2244.46</v>
      </c>
      <c r="P2609" s="415">
        <v>0</v>
      </c>
      <c r="Q2609" s="481">
        <f t="shared" si="86"/>
        <v>0</v>
      </c>
    </row>
    <row r="2610" spans="1:17" x14ac:dyDescent="0.3">
      <c r="A2610" s="366" t="str">
        <f>IFERROR(VLOOKUP(RIGHT(E2610,3)+0,[1]SchLocTable!$A$2:$B$47,2,FALSE)," ")</f>
        <v xml:space="preserve"> </v>
      </c>
      <c r="B2610" s="366" t="str">
        <f>VLOOKUP(VALUE(D2610),$D$3:F$106,3,FALSE)</f>
        <v>Extended School Year/SPED</v>
      </c>
      <c r="C2610" t="s">
        <v>314</v>
      </c>
      <c r="D2610">
        <v>831</v>
      </c>
      <c r="E2610" t="s">
        <v>882</v>
      </c>
      <c r="F2610" t="s">
        <v>390</v>
      </c>
      <c r="G2610" t="s">
        <v>319</v>
      </c>
      <c r="H2610" s="502">
        <v>56115</v>
      </c>
      <c r="I2610" s="415">
        <v>214905.13440000004</v>
      </c>
      <c r="J2610" s="415">
        <v>200845.92</v>
      </c>
      <c r="K2610" s="415">
        <v>199878.59</v>
      </c>
      <c r="L2610" s="415">
        <v>101465.79</v>
      </c>
      <c r="M2610" s="415">
        <v>92034.13</v>
      </c>
      <c r="N2610" s="415">
        <v>1098.5</v>
      </c>
      <c r="O2610" s="415">
        <v>0</v>
      </c>
      <c r="P2610" s="415">
        <v>61266.61</v>
      </c>
      <c r="Q2610" s="481">
        <f t="shared" si="86"/>
        <v>-14059.214400000026</v>
      </c>
    </row>
    <row r="2611" spans="1:17" x14ac:dyDescent="0.3">
      <c r="A2611" s="366" t="str">
        <f>IFERROR(VLOOKUP(RIGHT(E2611,3)+0,[1]SchLocTable!$A$2:$B$47,2,FALSE)," ")</f>
        <v xml:space="preserve"> </v>
      </c>
      <c r="B2611" s="366" t="str">
        <f>VLOOKUP(VALUE(D2611),$D$3:F$106,3,FALSE)</f>
        <v>Extended School Year/SPED</v>
      </c>
      <c r="C2611" t="s">
        <v>314</v>
      </c>
      <c r="D2611">
        <v>831</v>
      </c>
      <c r="E2611" t="s">
        <v>882</v>
      </c>
      <c r="F2611" t="s">
        <v>320</v>
      </c>
      <c r="G2611" t="s">
        <v>319</v>
      </c>
      <c r="H2611" s="502">
        <v>52360</v>
      </c>
      <c r="I2611" s="415">
        <v>0</v>
      </c>
      <c r="J2611" s="415">
        <v>3552.84</v>
      </c>
      <c r="K2611" s="415">
        <v>7594.94</v>
      </c>
      <c r="L2611" s="415">
        <v>2989.72</v>
      </c>
      <c r="M2611" s="415">
        <v>3689.05</v>
      </c>
      <c r="N2611" s="415">
        <v>2634.88</v>
      </c>
      <c r="O2611" s="415">
        <v>37.36</v>
      </c>
      <c r="P2611" s="415">
        <v>2412.2800000000002</v>
      </c>
      <c r="Q2611" s="481">
        <f t="shared" si="86"/>
        <v>3552.84</v>
      </c>
    </row>
    <row r="2612" spans="1:17" x14ac:dyDescent="0.3">
      <c r="A2612" s="366" t="str">
        <f>IFERROR(VLOOKUP(RIGHT(E2612,3)+0,[1]SchLocTable!$A$2:$B$47,2,FALSE)," ")</f>
        <v xml:space="preserve"> </v>
      </c>
      <c r="B2612" s="366" t="str">
        <f>VLOOKUP(VALUE(D2612),$D$3:F$106,3,FALSE)</f>
        <v>Extended School Year/SPED</v>
      </c>
      <c r="C2612" t="s">
        <v>314</v>
      </c>
      <c r="D2612">
        <v>831</v>
      </c>
      <c r="E2612" t="s">
        <v>882</v>
      </c>
      <c r="F2612" t="s">
        <v>392</v>
      </c>
      <c r="G2612" t="s">
        <v>319</v>
      </c>
      <c r="H2612" s="502">
        <v>52504</v>
      </c>
      <c r="I2612" s="415">
        <v>0</v>
      </c>
      <c r="J2612" s="415">
        <v>12428.51</v>
      </c>
      <c r="K2612" s="415">
        <v>19322.39</v>
      </c>
      <c r="L2612" s="415">
        <v>9541.08</v>
      </c>
      <c r="M2612" s="415">
        <v>12428.51</v>
      </c>
      <c r="N2612" s="415">
        <v>6872.17</v>
      </c>
      <c r="O2612" s="415">
        <v>27.1</v>
      </c>
      <c r="P2612" s="415">
        <v>6468.82</v>
      </c>
      <c r="Q2612" s="481">
        <f t="shared" si="86"/>
        <v>12428.51</v>
      </c>
    </row>
    <row r="2613" spans="1:17" x14ac:dyDescent="0.3">
      <c r="A2613" s="366" t="str">
        <f>IFERROR(VLOOKUP(RIGHT(E2613,3)+0,[1]SchLocTable!$A$2:$B$47,2,FALSE)," ")</f>
        <v xml:space="preserve"> </v>
      </c>
      <c r="B2613" s="366" t="str">
        <f>VLOOKUP(VALUE(D2613),$D$3:F$106,3,FALSE)</f>
        <v>Extended School Year/SPED</v>
      </c>
      <c r="C2613" t="s">
        <v>314</v>
      </c>
      <c r="D2613">
        <v>831</v>
      </c>
      <c r="E2613" t="s">
        <v>882</v>
      </c>
      <c r="F2613" t="s">
        <v>317</v>
      </c>
      <c r="G2613" t="s">
        <v>319</v>
      </c>
      <c r="H2613" s="502">
        <v>51100</v>
      </c>
      <c r="I2613" s="415">
        <v>0</v>
      </c>
      <c r="J2613" s="415">
        <v>258298.07</v>
      </c>
      <c r="K2613" s="415">
        <v>324633.56</v>
      </c>
      <c r="L2613" s="415">
        <v>207405.65</v>
      </c>
      <c r="M2613" s="415">
        <v>258298.07</v>
      </c>
      <c r="N2613" s="415">
        <v>193354.15</v>
      </c>
      <c r="O2613" s="415">
        <v>2668.98</v>
      </c>
      <c r="P2613" s="415">
        <v>174225.7</v>
      </c>
      <c r="Q2613" s="481">
        <f t="shared" si="86"/>
        <v>258298.07</v>
      </c>
    </row>
    <row r="2614" spans="1:17" x14ac:dyDescent="0.3">
      <c r="A2614" s="366" t="str">
        <f>IFERROR(VLOOKUP(RIGHT(E2614,3)+0,[1]SchLocTable!$A$2:$B$47,2,FALSE)," ")</f>
        <v xml:space="preserve"> </v>
      </c>
      <c r="B2614" s="366" t="str">
        <f>VLOOKUP(VALUE(D2614),$D$3:F$106,3,FALSE)</f>
        <v>Extended School Year/SPED</v>
      </c>
      <c r="C2614" t="s">
        <v>314</v>
      </c>
      <c r="D2614">
        <v>831</v>
      </c>
      <c r="E2614" t="s">
        <v>882</v>
      </c>
      <c r="F2614" t="s">
        <v>324</v>
      </c>
      <c r="G2614" t="s">
        <v>319</v>
      </c>
      <c r="H2614" s="502">
        <v>52385</v>
      </c>
      <c r="I2614" s="415">
        <v>0</v>
      </c>
      <c r="J2614" s="415">
        <v>466.86</v>
      </c>
      <c r="K2614" s="415">
        <v>695.27</v>
      </c>
      <c r="L2614" s="415">
        <v>430.88</v>
      </c>
      <c r="M2614" s="415">
        <v>1333.15</v>
      </c>
      <c r="N2614" s="415">
        <v>326.99</v>
      </c>
      <c r="O2614" s="415">
        <v>0</v>
      </c>
      <c r="P2614" s="415">
        <v>58.82</v>
      </c>
      <c r="Q2614" s="481">
        <f t="shared" si="86"/>
        <v>466.86</v>
      </c>
    </row>
    <row r="2615" spans="1:17" x14ac:dyDescent="0.3">
      <c r="A2615" s="366" t="str">
        <f>IFERROR(VLOOKUP(RIGHT(E2615,3)+0,[1]SchLocTable!$A$2:$B$47,2,FALSE)," ")</f>
        <v xml:space="preserve"> </v>
      </c>
      <c r="B2615" s="366" t="str">
        <f>VLOOKUP(VALUE(D2615),$D$3:F$106,3,FALSE)</f>
        <v>Hearing</v>
      </c>
      <c r="C2615" t="s">
        <v>314</v>
      </c>
      <c r="D2615">
        <v>832</v>
      </c>
      <c r="E2615" t="s">
        <v>883</v>
      </c>
      <c r="F2615" t="s">
        <v>316</v>
      </c>
      <c r="G2615" t="s">
        <v>319</v>
      </c>
      <c r="H2615" s="502">
        <v>51000</v>
      </c>
      <c r="I2615" s="415">
        <v>0</v>
      </c>
      <c r="J2615" s="415">
        <v>63972</v>
      </c>
      <c r="K2615" s="415">
        <v>60946.080000000002</v>
      </c>
      <c r="L2615" s="415">
        <v>57346.12</v>
      </c>
      <c r="M2615" s="415">
        <v>52042.12</v>
      </c>
      <c r="N2615" s="415">
        <v>0</v>
      </c>
      <c r="O2615" s="415">
        <v>0</v>
      </c>
      <c r="P2615" s="415">
        <v>0</v>
      </c>
      <c r="Q2615" s="481">
        <f t="shared" si="86"/>
        <v>63972</v>
      </c>
    </row>
    <row r="2616" spans="1:17" x14ac:dyDescent="0.3">
      <c r="A2616" s="366" t="str">
        <f>IFERROR(VLOOKUP(RIGHT(E2616,3)+0,[1]SchLocTable!$A$2:$B$47,2,FALSE)," ")</f>
        <v xml:space="preserve"> </v>
      </c>
      <c r="B2616" s="366" t="str">
        <f>VLOOKUP(VALUE(D2616),$D$3:F$106,3,FALSE)</f>
        <v>Hearing</v>
      </c>
      <c r="C2616" t="s">
        <v>314</v>
      </c>
      <c r="D2616">
        <v>832</v>
      </c>
      <c r="E2616" t="s">
        <v>883</v>
      </c>
      <c r="F2616" t="s">
        <v>334</v>
      </c>
      <c r="G2616" t="s">
        <v>319</v>
      </c>
      <c r="H2616" s="502">
        <v>51400</v>
      </c>
      <c r="I2616" s="415">
        <v>0</v>
      </c>
      <c r="J2616" s="415">
        <v>0</v>
      </c>
      <c r="K2616" s="415">
        <v>0</v>
      </c>
      <c r="L2616" s="415">
        <v>0</v>
      </c>
      <c r="M2616" s="415">
        <v>0</v>
      </c>
      <c r="N2616" s="415">
        <v>0</v>
      </c>
      <c r="O2616" s="415">
        <v>0</v>
      </c>
      <c r="P2616" s="415">
        <v>0</v>
      </c>
      <c r="Q2616" s="481">
        <f t="shared" si="86"/>
        <v>0</v>
      </c>
    </row>
    <row r="2617" spans="1:17" x14ac:dyDescent="0.3">
      <c r="A2617" s="366" t="str">
        <f>IFERROR(VLOOKUP(RIGHT(E2617,3)+0,[1]SchLocTable!$A$2:$B$47,2,FALSE)," ")</f>
        <v xml:space="preserve"> </v>
      </c>
      <c r="B2617" s="366" t="str">
        <f>VLOOKUP(VALUE(D2617),$D$3:F$106,3,FALSE)</f>
        <v>Hearing</v>
      </c>
      <c r="C2617" t="s">
        <v>314</v>
      </c>
      <c r="D2617">
        <v>832</v>
      </c>
      <c r="E2617" t="s">
        <v>883</v>
      </c>
      <c r="F2617" t="s">
        <v>321</v>
      </c>
      <c r="G2617" t="s">
        <v>319</v>
      </c>
      <c r="H2617" s="502">
        <v>52917</v>
      </c>
      <c r="I2617" s="415">
        <v>0</v>
      </c>
      <c r="J2617" s="415">
        <v>13037.22</v>
      </c>
      <c r="K2617" s="415">
        <v>11844</v>
      </c>
      <c r="L2617" s="415">
        <v>11684.82</v>
      </c>
      <c r="M2617" s="415">
        <v>10905.55</v>
      </c>
      <c r="N2617" s="415">
        <v>0</v>
      </c>
      <c r="O2617" s="415">
        <v>0</v>
      </c>
      <c r="P2617" s="415">
        <v>0</v>
      </c>
      <c r="Q2617" s="481">
        <f t="shared" si="86"/>
        <v>13037.22</v>
      </c>
    </row>
    <row r="2618" spans="1:17" x14ac:dyDescent="0.3">
      <c r="A2618" s="366" t="str">
        <f>IFERROR(VLOOKUP(RIGHT(E2618,3)+0,[1]SchLocTable!$A$2:$B$47,2,FALSE)," ")</f>
        <v xml:space="preserve"> </v>
      </c>
      <c r="B2618" s="366" t="str">
        <f>VLOOKUP(VALUE(D2618),$D$3:F$106,3,FALSE)</f>
        <v>Hearing</v>
      </c>
      <c r="C2618" t="s">
        <v>314</v>
      </c>
      <c r="D2618">
        <v>832</v>
      </c>
      <c r="E2618" t="s">
        <v>883</v>
      </c>
      <c r="F2618" t="s">
        <v>320</v>
      </c>
      <c r="G2618" t="s">
        <v>319</v>
      </c>
      <c r="H2618" s="502">
        <v>52360</v>
      </c>
      <c r="I2618" s="415">
        <v>39.622700000000002</v>
      </c>
      <c r="J2618" s="415">
        <v>857</v>
      </c>
      <c r="K2618" s="415">
        <v>836.42</v>
      </c>
      <c r="L2618" s="415">
        <v>786.74</v>
      </c>
      <c r="M2618" s="415">
        <v>714.98</v>
      </c>
      <c r="N2618" s="415">
        <v>0</v>
      </c>
      <c r="O2618" s="415">
        <v>0</v>
      </c>
      <c r="P2618" s="415">
        <v>0</v>
      </c>
      <c r="Q2618" s="481">
        <f t="shared" si="86"/>
        <v>817.37729999999999</v>
      </c>
    </row>
    <row r="2619" spans="1:17" x14ac:dyDescent="0.3">
      <c r="A2619" s="366" t="str">
        <f>IFERROR(VLOOKUP(RIGHT(E2619,3)+0,[1]SchLocTable!$A$2:$B$47,2,FALSE)," ")</f>
        <v xml:space="preserve"> </v>
      </c>
      <c r="B2619" s="366" t="str">
        <f>VLOOKUP(VALUE(D2619),$D$3:F$106,3,FALSE)</f>
        <v>Hearing</v>
      </c>
      <c r="C2619" t="s">
        <v>314</v>
      </c>
      <c r="D2619">
        <v>832</v>
      </c>
      <c r="E2619" t="s">
        <v>883</v>
      </c>
      <c r="F2619" t="s">
        <v>392</v>
      </c>
      <c r="G2619" t="s">
        <v>319</v>
      </c>
      <c r="H2619" s="502">
        <v>52504</v>
      </c>
      <c r="I2619" s="415">
        <v>0</v>
      </c>
      <c r="J2619" s="415">
        <v>0</v>
      </c>
      <c r="K2619" s="415">
        <v>0</v>
      </c>
      <c r="L2619" s="415">
        <v>0</v>
      </c>
      <c r="M2619" s="415">
        <v>0</v>
      </c>
      <c r="N2619" s="415">
        <v>0</v>
      </c>
      <c r="O2619" s="415">
        <v>0</v>
      </c>
      <c r="P2619" s="415">
        <v>0</v>
      </c>
      <c r="Q2619" s="481">
        <f t="shared" si="86"/>
        <v>0</v>
      </c>
    </row>
    <row r="2620" spans="1:17" x14ac:dyDescent="0.3">
      <c r="A2620" s="366" t="str">
        <f>IFERROR(VLOOKUP(RIGHT(E2620,3)+0,[1]SchLocTable!$A$2:$B$47,2,FALSE)," ")</f>
        <v xml:space="preserve"> </v>
      </c>
      <c r="B2620" s="366" t="str">
        <f>VLOOKUP(VALUE(D2620),$D$3:F$106,3,FALSE)</f>
        <v>Hearing</v>
      </c>
      <c r="C2620" t="s">
        <v>314</v>
      </c>
      <c r="D2620">
        <v>832</v>
      </c>
      <c r="E2620" t="s">
        <v>883</v>
      </c>
      <c r="F2620" t="s">
        <v>324</v>
      </c>
      <c r="G2620" t="s">
        <v>319</v>
      </c>
      <c r="H2620" s="502">
        <v>52385</v>
      </c>
      <c r="I2620" s="415">
        <v>0</v>
      </c>
      <c r="J2620" s="415">
        <v>0</v>
      </c>
      <c r="K2620" s="415">
        <v>0</v>
      </c>
      <c r="L2620" s="415">
        <v>0</v>
      </c>
      <c r="M2620" s="415">
        <v>0</v>
      </c>
      <c r="N2620" s="415">
        <v>0</v>
      </c>
      <c r="O2620" s="415">
        <v>0</v>
      </c>
      <c r="P2620" s="415">
        <v>0</v>
      </c>
      <c r="Q2620" s="481">
        <f t="shared" si="86"/>
        <v>0</v>
      </c>
    </row>
    <row r="2621" spans="1:17" x14ac:dyDescent="0.3">
      <c r="A2621" s="366" t="str">
        <f>IFERROR(VLOOKUP(RIGHT(E2621,3)+0,[1]SchLocTable!$A$2:$B$47,2,FALSE)," ")</f>
        <v xml:space="preserve"> </v>
      </c>
      <c r="B2621" s="366" t="str">
        <f>VLOOKUP(VALUE(D2621),$D$3:F$106,3,FALSE)</f>
        <v>Hearing</v>
      </c>
      <c r="C2621" t="s">
        <v>314</v>
      </c>
      <c r="D2621">
        <v>832</v>
      </c>
      <c r="E2621" t="s">
        <v>883</v>
      </c>
      <c r="F2621" t="s">
        <v>560</v>
      </c>
      <c r="G2621" t="s">
        <v>319</v>
      </c>
      <c r="H2621" s="502">
        <v>51404</v>
      </c>
      <c r="I2621" s="415">
        <v>2732.6</v>
      </c>
      <c r="J2621" s="415">
        <v>0</v>
      </c>
      <c r="K2621" s="415">
        <v>225</v>
      </c>
      <c r="L2621" s="415">
        <v>250</v>
      </c>
      <c r="M2621" s="415">
        <v>300</v>
      </c>
      <c r="N2621" s="415">
        <v>0</v>
      </c>
      <c r="O2621" s="415">
        <v>0</v>
      </c>
      <c r="P2621" s="415">
        <v>0</v>
      </c>
      <c r="Q2621" s="481">
        <f t="shared" si="86"/>
        <v>-2732.6</v>
      </c>
    </row>
    <row r="2622" spans="1:17" x14ac:dyDescent="0.3">
      <c r="A2622" s="366" t="str">
        <f>IFERROR(VLOOKUP(RIGHT(E2622,3)+0,[1]SchLocTable!$A$2:$B$47,2,FALSE)," ")</f>
        <v>Tisdale</v>
      </c>
      <c r="B2622" s="366" t="str">
        <f>VLOOKUP(VALUE(D2622),$D$3:F$106,3,FALSE)</f>
        <v>Hearing</v>
      </c>
      <c r="C2622" t="s">
        <v>314</v>
      </c>
      <c r="D2622">
        <v>832</v>
      </c>
      <c r="E2622" t="s">
        <v>884</v>
      </c>
      <c r="F2622" t="s">
        <v>316</v>
      </c>
      <c r="G2622">
        <v>2</v>
      </c>
      <c r="H2622" s="502">
        <v>51000</v>
      </c>
      <c r="I2622" s="415">
        <v>161599.67901999998</v>
      </c>
      <c r="J2622" s="415">
        <v>89786</v>
      </c>
      <c r="K2622" s="415">
        <v>83937.88</v>
      </c>
      <c r="L2622" s="415">
        <v>82774.259999999995</v>
      </c>
      <c r="M2622" s="415">
        <v>219278.95</v>
      </c>
      <c r="N2622" s="415">
        <v>216159.17</v>
      </c>
      <c r="O2622" s="415">
        <v>208049.42</v>
      </c>
      <c r="P2622" s="415">
        <v>203972.16</v>
      </c>
      <c r="Q2622" s="481">
        <f t="shared" si="86"/>
        <v>-71813.679019999981</v>
      </c>
    </row>
    <row r="2623" spans="1:17" x14ac:dyDescent="0.3">
      <c r="A2623" s="366" t="str">
        <f>IFERROR(VLOOKUP(RIGHT(E2623,3)+0,[1]SchLocTable!$A$2:$B$47,2,FALSE)," ")</f>
        <v>Tisdale</v>
      </c>
      <c r="B2623" s="366" t="str">
        <f>VLOOKUP(VALUE(D2623),$D$3:F$106,3,FALSE)</f>
        <v>Hearing</v>
      </c>
      <c r="C2623" t="s">
        <v>314</v>
      </c>
      <c r="D2623">
        <v>832</v>
      </c>
      <c r="E2623" t="s">
        <v>884</v>
      </c>
      <c r="F2623" t="s">
        <v>321</v>
      </c>
      <c r="G2623" t="s">
        <v>319</v>
      </c>
      <c r="H2623" s="502">
        <v>52917</v>
      </c>
      <c r="I2623" s="415">
        <v>31289.327999999998</v>
      </c>
      <c r="J2623" s="415">
        <v>13037.22</v>
      </c>
      <c r="K2623" s="415">
        <v>11844</v>
      </c>
      <c r="L2623" s="415">
        <v>14812.8</v>
      </c>
      <c r="M2623" s="415">
        <v>46505.34</v>
      </c>
      <c r="N2623" s="415">
        <v>45083.92</v>
      </c>
      <c r="O2623" s="415">
        <v>42242.29</v>
      </c>
      <c r="P2623" s="415">
        <v>57724.92</v>
      </c>
      <c r="Q2623" s="481">
        <f t="shared" ref="Q2623:Q2686" si="87">J2623-I2623</f>
        <v>-18252.108</v>
      </c>
    </row>
    <row r="2624" spans="1:17" x14ac:dyDescent="0.3">
      <c r="A2624" s="366" t="str">
        <f>IFERROR(VLOOKUP(RIGHT(E2624,3)+0,[1]SchLocTable!$A$2:$B$47,2,FALSE)," ")</f>
        <v>Tisdale</v>
      </c>
      <c r="B2624" s="366" t="str">
        <f>VLOOKUP(VALUE(D2624),$D$3:F$106,3,FALSE)</f>
        <v>Hearing</v>
      </c>
      <c r="C2624" t="s">
        <v>314</v>
      </c>
      <c r="D2624">
        <v>832</v>
      </c>
      <c r="E2624" t="s">
        <v>884</v>
      </c>
      <c r="F2624" t="s">
        <v>318</v>
      </c>
      <c r="G2624" t="s">
        <v>319</v>
      </c>
      <c r="H2624" s="502">
        <v>51140</v>
      </c>
      <c r="I2624" s="415">
        <v>0</v>
      </c>
      <c r="J2624" s="415">
        <v>0</v>
      </c>
      <c r="K2624" s="415">
        <v>0</v>
      </c>
      <c r="L2624" s="415">
        <v>0</v>
      </c>
      <c r="M2624" s="415">
        <v>4140</v>
      </c>
      <c r="N2624" s="415">
        <v>2770</v>
      </c>
      <c r="O2624" s="415">
        <v>2700</v>
      </c>
      <c r="P2624" s="415">
        <v>2630</v>
      </c>
      <c r="Q2624" s="481">
        <f t="shared" si="87"/>
        <v>0</v>
      </c>
    </row>
    <row r="2625" spans="1:17" x14ac:dyDescent="0.3">
      <c r="A2625" s="366" t="str">
        <f>IFERROR(VLOOKUP(RIGHT(E2625,3)+0,[1]SchLocTable!$A$2:$B$47,2,FALSE)," ")</f>
        <v>Tisdale</v>
      </c>
      <c r="B2625" s="366" t="str">
        <f>VLOOKUP(VALUE(D2625),$D$3:F$106,3,FALSE)</f>
        <v>Hearing</v>
      </c>
      <c r="C2625" t="s">
        <v>314</v>
      </c>
      <c r="D2625">
        <v>832</v>
      </c>
      <c r="E2625" t="s">
        <v>884</v>
      </c>
      <c r="F2625" t="s">
        <v>320</v>
      </c>
      <c r="G2625" t="s">
        <v>319</v>
      </c>
      <c r="H2625" s="502">
        <v>52360</v>
      </c>
      <c r="I2625" s="415">
        <v>2382.8180457899998</v>
      </c>
      <c r="J2625" s="415">
        <v>1231</v>
      </c>
      <c r="K2625" s="415">
        <v>1169.8</v>
      </c>
      <c r="L2625" s="415">
        <v>1140.82</v>
      </c>
      <c r="M2625" s="415">
        <v>1611.57</v>
      </c>
      <c r="N2625" s="415">
        <v>1590.2</v>
      </c>
      <c r="O2625" s="415">
        <v>1504.71</v>
      </c>
      <c r="P2625" s="415">
        <v>1475.85</v>
      </c>
      <c r="Q2625" s="481">
        <f t="shared" si="87"/>
        <v>-1151.8180457899998</v>
      </c>
    </row>
    <row r="2626" spans="1:17" x14ac:dyDescent="0.3">
      <c r="A2626" s="366" t="str">
        <f>IFERROR(VLOOKUP(RIGHT(E2626,3)+0,[1]SchLocTable!$A$2:$B$47,2,FALSE)," ")</f>
        <v>Tisdale</v>
      </c>
      <c r="B2626" s="366" t="str">
        <f>VLOOKUP(VALUE(D2626),$D$3:F$106,3,FALSE)</f>
        <v>Hearing</v>
      </c>
      <c r="C2626" t="s">
        <v>314</v>
      </c>
      <c r="D2626">
        <v>832</v>
      </c>
      <c r="E2626" t="s">
        <v>884</v>
      </c>
      <c r="F2626" t="s">
        <v>392</v>
      </c>
      <c r="G2626" t="s">
        <v>319</v>
      </c>
      <c r="H2626" s="502">
        <v>52504</v>
      </c>
      <c r="I2626" s="415">
        <v>0</v>
      </c>
      <c r="J2626" s="415">
        <v>0</v>
      </c>
      <c r="K2626" s="415">
        <v>0</v>
      </c>
      <c r="L2626" s="415">
        <v>1170.8399999999999</v>
      </c>
      <c r="M2626" s="415">
        <v>10494.81</v>
      </c>
      <c r="N2626" s="415">
        <v>10055.959999999999</v>
      </c>
      <c r="O2626" s="415">
        <v>8247.7900000000009</v>
      </c>
      <c r="P2626" s="415">
        <v>6909.14</v>
      </c>
      <c r="Q2626" s="481">
        <f t="shared" si="87"/>
        <v>0</v>
      </c>
    </row>
    <row r="2627" spans="1:17" x14ac:dyDescent="0.3">
      <c r="A2627" s="366" t="str">
        <f>IFERROR(VLOOKUP(RIGHT(E2627,3)+0,[1]SchLocTable!$A$2:$B$47,2,FALSE)," ")</f>
        <v>Tisdale</v>
      </c>
      <c r="B2627" s="366" t="str">
        <f>VLOOKUP(VALUE(D2627),$D$3:F$106,3,FALSE)</f>
        <v>Hearing</v>
      </c>
      <c r="C2627" t="s">
        <v>314</v>
      </c>
      <c r="D2627">
        <v>832</v>
      </c>
      <c r="E2627" t="s">
        <v>884</v>
      </c>
      <c r="F2627" t="s">
        <v>560</v>
      </c>
      <c r="G2627" t="s">
        <v>319</v>
      </c>
      <c r="H2627" s="502">
        <v>51404</v>
      </c>
      <c r="I2627" s="415">
        <v>2732.6</v>
      </c>
      <c r="J2627" s="415">
        <v>0</v>
      </c>
      <c r="K2627" s="415">
        <v>225</v>
      </c>
      <c r="L2627" s="415">
        <v>250</v>
      </c>
      <c r="M2627" s="415">
        <v>550</v>
      </c>
      <c r="N2627" s="415">
        <v>500</v>
      </c>
      <c r="O2627" s="415">
        <v>500</v>
      </c>
      <c r="P2627" s="415">
        <v>450</v>
      </c>
      <c r="Q2627" s="481">
        <f t="shared" si="87"/>
        <v>-2732.6</v>
      </c>
    </row>
    <row r="2628" spans="1:17" x14ac:dyDescent="0.3">
      <c r="A2628" s="366" t="str">
        <f>IFERROR(VLOOKUP(RIGHT(E2628,3)+0,[1]SchLocTable!$A$2:$B$47,2,FALSE)," ")</f>
        <v>Tisdale</v>
      </c>
      <c r="B2628" s="366" t="str">
        <f>VLOOKUP(VALUE(D2628),$D$3:F$106,3,FALSE)</f>
        <v>Hearing</v>
      </c>
      <c r="C2628" t="s">
        <v>314</v>
      </c>
      <c r="D2628">
        <v>832</v>
      </c>
      <c r="E2628" t="s">
        <v>884</v>
      </c>
      <c r="F2628" t="s">
        <v>329</v>
      </c>
      <c r="G2628" t="s">
        <v>319</v>
      </c>
      <c r="H2628" s="502">
        <v>51154</v>
      </c>
      <c r="I2628" s="415">
        <v>0</v>
      </c>
      <c r="J2628" s="415">
        <v>0</v>
      </c>
      <c r="K2628" s="415">
        <v>0</v>
      </c>
      <c r="L2628" s="415">
        <v>0</v>
      </c>
      <c r="M2628" s="415">
        <v>9425</v>
      </c>
      <c r="N2628" s="415">
        <v>0</v>
      </c>
      <c r="O2628" s="415">
        <v>0</v>
      </c>
      <c r="P2628" s="415">
        <v>0</v>
      </c>
      <c r="Q2628" s="481">
        <f t="shared" si="87"/>
        <v>0</v>
      </c>
    </row>
    <row r="2629" spans="1:17" x14ac:dyDescent="0.3">
      <c r="A2629" s="366" t="str">
        <f>IFERROR(VLOOKUP(RIGHT(E2629,3)+0,[1]SchLocTable!$A$2:$B$47,2,FALSE)," ")</f>
        <v>Roosevelt</v>
      </c>
      <c r="B2629" s="366" t="str">
        <f>VLOOKUP(VALUE(D2629),$D$3:F$106,3,FALSE)</f>
        <v>Hearing</v>
      </c>
      <c r="C2629" t="s">
        <v>314</v>
      </c>
      <c r="D2629">
        <v>832</v>
      </c>
      <c r="E2629" t="s">
        <v>885</v>
      </c>
      <c r="F2629" t="s">
        <v>316</v>
      </c>
      <c r="G2629" t="s">
        <v>319</v>
      </c>
      <c r="H2629" s="502">
        <v>51000</v>
      </c>
      <c r="I2629" s="415">
        <v>0</v>
      </c>
      <c r="J2629" s="415">
        <v>0</v>
      </c>
      <c r="K2629" s="415">
        <v>56644.53</v>
      </c>
      <c r="L2629" s="415">
        <v>44521.41</v>
      </c>
      <c r="M2629" s="415">
        <v>0</v>
      </c>
      <c r="N2629" s="415">
        <v>0</v>
      </c>
      <c r="O2629" s="415">
        <v>0</v>
      </c>
      <c r="P2629" s="415">
        <v>0</v>
      </c>
      <c r="Q2629" s="481">
        <f t="shared" si="87"/>
        <v>0</v>
      </c>
    </row>
    <row r="2630" spans="1:17" x14ac:dyDescent="0.3">
      <c r="A2630" s="366" t="str">
        <f>IFERROR(VLOOKUP(RIGHT(E2630,3)+0,[1]SchLocTable!$A$2:$B$47,2,FALSE)," ")</f>
        <v>Roosevelt</v>
      </c>
      <c r="B2630" s="366" t="str">
        <f>VLOOKUP(VALUE(D2630),$D$3:F$106,3,FALSE)</f>
        <v>Hearing</v>
      </c>
      <c r="C2630" t="s">
        <v>314</v>
      </c>
      <c r="D2630">
        <v>832</v>
      </c>
      <c r="E2630" t="s">
        <v>885</v>
      </c>
      <c r="F2630" t="s">
        <v>321</v>
      </c>
      <c r="G2630" t="s">
        <v>319</v>
      </c>
      <c r="H2630" s="502">
        <v>52917</v>
      </c>
      <c r="I2630" s="415">
        <v>0</v>
      </c>
      <c r="J2630" s="415">
        <v>0</v>
      </c>
      <c r="K2630" s="415">
        <v>30365.51</v>
      </c>
      <c r="L2630" s="415">
        <v>22837.3</v>
      </c>
      <c r="M2630" s="415">
        <v>0</v>
      </c>
      <c r="N2630" s="415">
        <v>0</v>
      </c>
      <c r="O2630" s="415">
        <v>0</v>
      </c>
      <c r="P2630" s="415">
        <v>0</v>
      </c>
      <c r="Q2630" s="481">
        <f t="shared" si="87"/>
        <v>0</v>
      </c>
    </row>
    <row r="2631" spans="1:17" x14ac:dyDescent="0.3">
      <c r="A2631" s="366" t="str">
        <f>IFERROR(VLOOKUP(RIGHT(E2631,3)+0,[1]SchLocTable!$A$2:$B$47,2,FALSE)," ")</f>
        <v>Roosevelt</v>
      </c>
      <c r="B2631" s="366" t="str">
        <f>VLOOKUP(VALUE(D2631),$D$3:F$106,3,FALSE)</f>
        <v>Hearing</v>
      </c>
      <c r="C2631" t="s">
        <v>314</v>
      </c>
      <c r="D2631">
        <v>832</v>
      </c>
      <c r="E2631" t="s">
        <v>885</v>
      </c>
      <c r="F2631" t="s">
        <v>318</v>
      </c>
      <c r="G2631" t="s">
        <v>319</v>
      </c>
      <c r="H2631" s="502">
        <v>51140</v>
      </c>
      <c r="I2631" s="415">
        <v>933.33</v>
      </c>
      <c r="J2631" s="415">
        <v>0</v>
      </c>
      <c r="K2631" s="415">
        <v>1913.33</v>
      </c>
      <c r="L2631" s="415">
        <v>1610</v>
      </c>
      <c r="M2631" s="415">
        <v>0</v>
      </c>
      <c r="N2631" s="415">
        <v>0</v>
      </c>
      <c r="O2631" s="415">
        <v>0</v>
      </c>
      <c r="P2631" s="415">
        <v>0</v>
      </c>
      <c r="Q2631" s="481">
        <f t="shared" si="87"/>
        <v>-933.33</v>
      </c>
    </row>
    <row r="2632" spans="1:17" x14ac:dyDescent="0.3">
      <c r="A2632" s="366" t="str">
        <f>IFERROR(VLOOKUP(RIGHT(E2632,3)+0,[1]SchLocTable!$A$2:$B$47,2,FALSE)," ")</f>
        <v>Roosevelt</v>
      </c>
      <c r="B2632" s="366" t="str">
        <f>VLOOKUP(VALUE(D2632),$D$3:F$106,3,FALSE)</f>
        <v>Hearing</v>
      </c>
      <c r="C2632" t="s">
        <v>314</v>
      </c>
      <c r="D2632">
        <v>832</v>
      </c>
      <c r="E2632" t="s">
        <v>885</v>
      </c>
      <c r="F2632" t="s">
        <v>320</v>
      </c>
      <c r="G2632" t="s">
        <v>319</v>
      </c>
      <c r="H2632" s="502">
        <v>52360</v>
      </c>
      <c r="I2632" s="415">
        <v>0</v>
      </c>
      <c r="J2632" s="415">
        <v>0</v>
      </c>
      <c r="K2632" s="415">
        <v>734.13</v>
      </c>
      <c r="L2632" s="415">
        <v>562.23</v>
      </c>
      <c r="M2632" s="415">
        <v>0</v>
      </c>
      <c r="N2632" s="415">
        <v>0</v>
      </c>
      <c r="O2632" s="415">
        <v>0</v>
      </c>
      <c r="P2632" s="415">
        <v>0</v>
      </c>
      <c r="Q2632" s="481">
        <f t="shared" si="87"/>
        <v>0</v>
      </c>
    </row>
    <row r="2633" spans="1:17" x14ac:dyDescent="0.3">
      <c r="A2633" s="366" t="str">
        <f>IFERROR(VLOOKUP(RIGHT(E2633,3)+0,[1]SchLocTable!$A$2:$B$47,2,FALSE)," ")</f>
        <v>Roosevelt</v>
      </c>
      <c r="B2633" s="366" t="str">
        <f>VLOOKUP(VALUE(D2633),$D$3:F$106,3,FALSE)</f>
        <v>Hearing</v>
      </c>
      <c r="C2633" t="s">
        <v>314</v>
      </c>
      <c r="D2633">
        <v>832</v>
      </c>
      <c r="E2633" t="s">
        <v>885</v>
      </c>
      <c r="F2633" t="s">
        <v>392</v>
      </c>
      <c r="G2633" t="s">
        <v>319</v>
      </c>
      <c r="H2633" s="502">
        <v>52504</v>
      </c>
      <c r="I2633" s="415">
        <v>0</v>
      </c>
      <c r="J2633" s="415">
        <v>0</v>
      </c>
      <c r="K2633" s="415">
        <v>12052.11</v>
      </c>
      <c r="L2633" s="415">
        <v>9410.08</v>
      </c>
      <c r="M2633" s="415">
        <v>0</v>
      </c>
      <c r="N2633" s="415">
        <v>0</v>
      </c>
      <c r="O2633" s="415">
        <v>0</v>
      </c>
      <c r="P2633" s="415">
        <v>0</v>
      </c>
      <c r="Q2633" s="481">
        <f t="shared" si="87"/>
        <v>0</v>
      </c>
    </row>
    <row r="2634" spans="1:17" x14ac:dyDescent="0.3">
      <c r="A2634" s="366" t="str">
        <f>IFERROR(VLOOKUP(RIGHT(E2634,3)+0,[1]SchLocTable!$A$2:$B$47,2,FALSE)," ")</f>
        <v>Roosevelt</v>
      </c>
      <c r="B2634" s="366" t="str">
        <f>VLOOKUP(VALUE(D2634),$D$3:F$106,3,FALSE)</f>
        <v>Hearing</v>
      </c>
      <c r="C2634" t="s">
        <v>314</v>
      </c>
      <c r="D2634">
        <v>832</v>
      </c>
      <c r="E2634" t="s">
        <v>885</v>
      </c>
      <c r="F2634" t="s">
        <v>329</v>
      </c>
      <c r="G2634" t="s">
        <v>319</v>
      </c>
      <c r="H2634" s="502">
        <v>51154</v>
      </c>
      <c r="I2634" s="415">
        <v>7706.0582999999997</v>
      </c>
      <c r="J2634" s="415">
        <v>0</v>
      </c>
      <c r="K2634" s="415">
        <v>1870.4</v>
      </c>
      <c r="L2634" s="415">
        <v>0</v>
      </c>
      <c r="M2634" s="415">
        <v>0</v>
      </c>
      <c r="N2634" s="415">
        <v>0</v>
      </c>
      <c r="O2634" s="415">
        <v>0</v>
      </c>
      <c r="P2634" s="415">
        <v>0</v>
      </c>
      <c r="Q2634" s="481">
        <f t="shared" si="87"/>
        <v>-7706.0582999999997</v>
      </c>
    </row>
    <row r="2635" spans="1:17" x14ac:dyDescent="0.3">
      <c r="A2635" s="366" t="str">
        <f>IFERROR(VLOOKUP(RIGHT(E2635,3)+0,[1]SchLocTable!$A$2:$B$47,2,FALSE)," ")</f>
        <v xml:space="preserve"> </v>
      </c>
      <c r="B2635" s="366" t="str">
        <f>VLOOKUP(VALUE(D2635),$D$3:F$106,3,FALSE)</f>
        <v>Alternative Education</v>
      </c>
      <c r="C2635" t="s">
        <v>314</v>
      </c>
      <c r="D2635">
        <v>833</v>
      </c>
      <c r="E2635" t="s">
        <v>1316</v>
      </c>
      <c r="F2635" t="s">
        <v>316</v>
      </c>
      <c r="G2635" t="s">
        <v>319</v>
      </c>
      <c r="H2635" s="502">
        <v>51000</v>
      </c>
      <c r="I2635" s="415">
        <v>0</v>
      </c>
      <c r="J2635" s="415">
        <v>0</v>
      </c>
      <c r="K2635" s="415">
        <v>0</v>
      </c>
      <c r="L2635" s="415">
        <v>0</v>
      </c>
      <c r="M2635" s="415">
        <v>0</v>
      </c>
      <c r="N2635" s="415">
        <v>0</v>
      </c>
      <c r="O2635" s="415">
        <v>0</v>
      </c>
      <c r="P2635" s="415">
        <v>0</v>
      </c>
      <c r="Q2635" s="481">
        <f t="shared" si="87"/>
        <v>0</v>
      </c>
    </row>
    <row r="2636" spans="1:17" x14ac:dyDescent="0.3">
      <c r="A2636" s="366" t="str">
        <f>IFERROR(VLOOKUP(RIGHT(E2636,3)+0,[1]SchLocTable!$A$2:$B$47,2,FALSE)," ")</f>
        <v xml:space="preserve"> </v>
      </c>
      <c r="B2636" s="366" t="str">
        <f>VLOOKUP(VALUE(D2636),$D$3:F$106,3,FALSE)</f>
        <v>Alternative Education</v>
      </c>
      <c r="C2636" t="s">
        <v>314</v>
      </c>
      <c r="D2636">
        <v>833</v>
      </c>
      <c r="E2636" t="s">
        <v>1316</v>
      </c>
      <c r="F2636" t="s">
        <v>320</v>
      </c>
      <c r="G2636" t="s">
        <v>319</v>
      </c>
      <c r="H2636" s="502">
        <v>52360</v>
      </c>
      <c r="I2636" s="415">
        <v>0</v>
      </c>
      <c r="J2636" s="415">
        <v>0</v>
      </c>
      <c r="K2636" s="415">
        <v>0</v>
      </c>
      <c r="L2636" s="415">
        <v>0</v>
      </c>
      <c r="M2636" s="415">
        <v>0</v>
      </c>
      <c r="N2636" s="415">
        <v>0</v>
      </c>
      <c r="O2636" s="415">
        <v>0</v>
      </c>
      <c r="P2636" s="415">
        <v>0</v>
      </c>
      <c r="Q2636" s="481">
        <f t="shared" si="87"/>
        <v>0</v>
      </c>
    </row>
    <row r="2637" spans="1:17" x14ac:dyDescent="0.3">
      <c r="A2637" s="366" t="str">
        <f>IFERROR(VLOOKUP(RIGHT(E2637,3)+0,[1]SchLocTable!$A$2:$B$47,2,FALSE)," ")</f>
        <v xml:space="preserve"> </v>
      </c>
      <c r="B2637" s="366" t="str">
        <f>VLOOKUP(VALUE(D2637),$D$3:F$106,3,FALSE)</f>
        <v>Instructional Support Positions</v>
      </c>
      <c r="C2637" t="s">
        <v>314</v>
      </c>
      <c r="D2637">
        <v>834</v>
      </c>
      <c r="E2637" t="s">
        <v>886</v>
      </c>
      <c r="F2637" t="s">
        <v>318</v>
      </c>
      <c r="G2637" t="s">
        <v>319</v>
      </c>
      <c r="H2637" s="502">
        <v>51140</v>
      </c>
      <c r="I2637" s="415">
        <v>0</v>
      </c>
      <c r="J2637" s="415">
        <v>0</v>
      </c>
      <c r="K2637" s="415">
        <v>900</v>
      </c>
      <c r="L2637" s="415">
        <v>1800</v>
      </c>
      <c r="M2637" s="415">
        <v>0</v>
      </c>
      <c r="N2637" s="415">
        <v>0</v>
      </c>
      <c r="O2637" s="415">
        <v>0</v>
      </c>
      <c r="P2637" s="415">
        <v>0</v>
      </c>
      <c r="Q2637" s="481">
        <f t="shared" si="87"/>
        <v>0</v>
      </c>
    </row>
    <row r="2638" spans="1:17" x14ac:dyDescent="0.3">
      <c r="A2638" s="366" t="str">
        <f>IFERROR(VLOOKUP(RIGHT(E2638,3)+0,[1]SchLocTable!$A$2:$B$47,2,FALSE)," ")</f>
        <v xml:space="preserve"> </v>
      </c>
      <c r="B2638" s="366" t="str">
        <f>VLOOKUP(VALUE(D2638),$D$3:F$106,3,FALSE)</f>
        <v>Instructional Support Positions</v>
      </c>
      <c r="C2638" t="s">
        <v>314</v>
      </c>
      <c r="D2638">
        <v>834</v>
      </c>
      <c r="E2638" t="s">
        <v>886</v>
      </c>
      <c r="F2638" t="s">
        <v>320</v>
      </c>
      <c r="G2638" t="s">
        <v>319</v>
      </c>
      <c r="H2638" s="502">
        <v>52360</v>
      </c>
      <c r="I2638" s="415">
        <v>0</v>
      </c>
      <c r="J2638" s="415">
        <v>0</v>
      </c>
      <c r="K2638" s="415">
        <v>13.05</v>
      </c>
      <c r="L2638" s="415">
        <v>25.83</v>
      </c>
      <c r="M2638" s="415">
        <v>0</v>
      </c>
      <c r="N2638" s="415">
        <v>0</v>
      </c>
      <c r="O2638" s="415">
        <v>0</v>
      </c>
      <c r="P2638" s="415">
        <v>0</v>
      </c>
      <c r="Q2638" s="481">
        <f t="shared" si="87"/>
        <v>0</v>
      </c>
    </row>
    <row r="2639" spans="1:17" x14ac:dyDescent="0.3">
      <c r="A2639" s="366" t="str">
        <f>IFERROR(VLOOKUP(RIGHT(E2639,3)+0,[1]SchLocTable!$A$2:$B$47,2,FALSE)," ")</f>
        <v>Barnum</v>
      </c>
      <c r="B2639" s="366" t="str">
        <f>VLOOKUP(VALUE(D2639),$D$3:F$106,3,FALSE)</f>
        <v>Instructional Support Positions</v>
      </c>
      <c r="C2639" t="s">
        <v>314</v>
      </c>
      <c r="D2639">
        <v>834</v>
      </c>
      <c r="E2639" t="s">
        <v>887</v>
      </c>
      <c r="F2639" t="s">
        <v>318</v>
      </c>
      <c r="G2639" t="s">
        <v>319</v>
      </c>
      <c r="H2639" s="502">
        <v>51140</v>
      </c>
      <c r="I2639" s="415">
        <v>0</v>
      </c>
      <c r="J2639" s="415">
        <v>0</v>
      </c>
      <c r="K2639" s="415">
        <v>0</v>
      </c>
      <c r="L2639" s="415">
        <v>900</v>
      </c>
      <c r="M2639" s="415">
        <v>0</v>
      </c>
      <c r="N2639" s="415">
        <v>0</v>
      </c>
      <c r="O2639" s="415">
        <v>0</v>
      </c>
      <c r="P2639" s="415">
        <v>0</v>
      </c>
      <c r="Q2639" s="481">
        <f t="shared" si="87"/>
        <v>0</v>
      </c>
    </row>
    <row r="2640" spans="1:17" x14ac:dyDescent="0.3">
      <c r="A2640" s="366" t="str">
        <f>IFERROR(VLOOKUP(RIGHT(E2640,3)+0,[1]SchLocTable!$A$2:$B$47,2,FALSE)," ")</f>
        <v>Madison</v>
      </c>
      <c r="B2640" s="366" t="str">
        <f>VLOOKUP(VALUE(D2640),$D$3:F$106,3,FALSE)</f>
        <v>Instructional Support Positions</v>
      </c>
      <c r="C2640" t="s">
        <v>314</v>
      </c>
      <c r="D2640">
        <v>834</v>
      </c>
      <c r="E2640" t="s">
        <v>1313</v>
      </c>
      <c r="F2640" t="s">
        <v>316</v>
      </c>
      <c r="G2640" t="s">
        <v>319</v>
      </c>
      <c r="H2640" s="502">
        <v>51000</v>
      </c>
      <c r="I2640" s="415">
        <v>0</v>
      </c>
      <c r="J2640" s="415">
        <v>0</v>
      </c>
      <c r="K2640" s="415">
        <v>0</v>
      </c>
      <c r="L2640" s="415">
        <v>0</v>
      </c>
      <c r="M2640" s="415">
        <v>0</v>
      </c>
      <c r="N2640" s="415">
        <v>0</v>
      </c>
      <c r="O2640" s="415">
        <v>0</v>
      </c>
      <c r="P2640" s="415">
        <v>0</v>
      </c>
      <c r="Q2640" s="481">
        <f t="shared" si="87"/>
        <v>0</v>
      </c>
    </row>
    <row r="2641" spans="1:17" x14ac:dyDescent="0.3">
      <c r="A2641" s="366" t="str">
        <f>IFERROR(VLOOKUP(RIGHT(E2641,3)+0,[1]SchLocTable!$A$2:$B$47,2,FALSE)," ")</f>
        <v>Madison</v>
      </c>
      <c r="B2641" s="366" t="str">
        <f>VLOOKUP(VALUE(D2641),$D$3:F$106,3,FALSE)</f>
        <v>Instructional Support Positions</v>
      </c>
      <c r="C2641" t="s">
        <v>314</v>
      </c>
      <c r="D2641">
        <v>834</v>
      </c>
      <c r="E2641" t="s">
        <v>1313</v>
      </c>
      <c r="F2641" t="s">
        <v>321</v>
      </c>
      <c r="G2641" t="s">
        <v>319</v>
      </c>
      <c r="H2641" s="502">
        <v>52917</v>
      </c>
      <c r="I2641" s="415">
        <v>0</v>
      </c>
      <c r="J2641" s="415">
        <v>0</v>
      </c>
      <c r="K2641" s="415">
        <v>0</v>
      </c>
      <c r="L2641" s="415">
        <v>0</v>
      </c>
      <c r="M2641" s="415">
        <v>0</v>
      </c>
      <c r="N2641" s="415">
        <v>0</v>
      </c>
      <c r="O2641" s="415">
        <v>0</v>
      </c>
      <c r="P2641" s="415">
        <v>0</v>
      </c>
      <c r="Q2641" s="481">
        <f t="shared" si="87"/>
        <v>0</v>
      </c>
    </row>
    <row r="2642" spans="1:17" x14ac:dyDescent="0.3">
      <c r="A2642" s="366" t="str">
        <f>IFERROR(VLOOKUP(RIGHT(E2642,3)+0,[1]SchLocTable!$A$2:$B$47,2,FALSE)," ")</f>
        <v>Madison</v>
      </c>
      <c r="B2642" s="366" t="str">
        <f>VLOOKUP(VALUE(D2642),$D$3:F$106,3,FALSE)</f>
        <v>Instructional Support Positions</v>
      </c>
      <c r="C2642" t="s">
        <v>314</v>
      </c>
      <c r="D2642">
        <v>834</v>
      </c>
      <c r="E2642" t="s">
        <v>1313</v>
      </c>
      <c r="F2642" t="s">
        <v>320</v>
      </c>
      <c r="G2642" t="s">
        <v>319</v>
      </c>
      <c r="H2642" s="502">
        <v>52360</v>
      </c>
      <c r="I2642" s="415">
        <v>0</v>
      </c>
      <c r="J2642" s="415">
        <v>0</v>
      </c>
      <c r="K2642" s="415">
        <v>0</v>
      </c>
      <c r="L2642" s="415">
        <v>0</v>
      </c>
      <c r="M2642" s="415">
        <v>0</v>
      </c>
      <c r="N2642" s="415">
        <v>0</v>
      </c>
      <c r="O2642" s="415">
        <v>0</v>
      </c>
      <c r="P2642" s="415">
        <v>0</v>
      </c>
      <c r="Q2642" s="481">
        <f t="shared" si="87"/>
        <v>0</v>
      </c>
    </row>
    <row r="2643" spans="1:17" x14ac:dyDescent="0.3">
      <c r="A2643" s="366" t="str">
        <f>IFERROR(VLOOKUP(RIGHT(E2643,3)+0,[1]SchLocTable!$A$2:$B$47,2,FALSE)," ")</f>
        <v>Claytor</v>
      </c>
      <c r="B2643" s="366" t="str">
        <f>VLOOKUP(VALUE(D2643),$D$3:F$106,3,FALSE)</f>
        <v>Instructional Support Positions</v>
      </c>
      <c r="C2643" t="s">
        <v>314</v>
      </c>
      <c r="D2643">
        <v>834</v>
      </c>
      <c r="E2643" t="s">
        <v>888</v>
      </c>
      <c r="F2643" t="s">
        <v>318</v>
      </c>
      <c r="G2643" t="s">
        <v>319</v>
      </c>
      <c r="H2643" s="502">
        <v>51140</v>
      </c>
      <c r="I2643" s="415">
        <v>0</v>
      </c>
      <c r="J2643" s="415">
        <v>0</v>
      </c>
      <c r="K2643" s="415">
        <v>0</v>
      </c>
      <c r="L2643" s="415">
        <v>2400</v>
      </c>
      <c r="M2643" s="415">
        <v>0</v>
      </c>
      <c r="N2643" s="415">
        <v>0</v>
      </c>
      <c r="O2643" s="415">
        <v>0</v>
      </c>
      <c r="P2643" s="415">
        <v>0</v>
      </c>
      <c r="Q2643" s="481">
        <f t="shared" si="87"/>
        <v>0</v>
      </c>
    </row>
    <row r="2644" spans="1:17" x14ac:dyDescent="0.3">
      <c r="A2644" s="366" t="str">
        <f>IFERROR(VLOOKUP(RIGHT(E2644,3)+0,[1]SchLocTable!$A$2:$B$47,2,FALSE)," ")</f>
        <v>Claytor</v>
      </c>
      <c r="B2644" s="366" t="str">
        <f>VLOOKUP(VALUE(D2644),$D$3:F$106,3,FALSE)</f>
        <v>Instructional Support Positions</v>
      </c>
      <c r="C2644" t="s">
        <v>314</v>
      </c>
      <c r="D2644">
        <v>834</v>
      </c>
      <c r="E2644" t="s">
        <v>888</v>
      </c>
      <c r="F2644" t="s">
        <v>320</v>
      </c>
      <c r="G2644" t="s">
        <v>319</v>
      </c>
      <c r="H2644" s="502">
        <v>52360</v>
      </c>
      <c r="I2644" s="415">
        <v>0</v>
      </c>
      <c r="J2644" s="415">
        <v>0</v>
      </c>
      <c r="K2644" s="415">
        <v>0</v>
      </c>
      <c r="L2644" s="415">
        <v>17.399999999999999</v>
      </c>
      <c r="M2644" s="415">
        <v>0</v>
      </c>
      <c r="N2644" s="415">
        <v>0</v>
      </c>
      <c r="O2644" s="415">
        <v>0</v>
      </c>
      <c r="P2644" s="415">
        <v>0</v>
      </c>
      <c r="Q2644" s="481">
        <f t="shared" si="87"/>
        <v>0</v>
      </c>
    </row>
    <row r="2645" spans="1:17" x14ac:dyDescent="0.3">
      <c r="A2645" s="366" t="str">
        <f>IFERROR(VLOOKUP(RIGHT(E2645,3)+0,[1]SchLocTable!$A$2:$B$47,2,FALSE)," ")</f>
        <v>Blackham</v>
      </c>
      <c r="B2645" s="366" t="str">
        <f>VLOOKUP(VALUE(D2645),$D$3:F$106,3,FALSE)</f>
        <v>Instructional Support Positions</v>
      </c>
      <c r="C2645" t="s">
        <v>314</v>
      </c>
      <c r="D2645">
        <v>834</v>
      </c>
      <c r="E2645" t="s">
        <v>1307</v>
      </c>
      <c r="F2645" t="s">
        <v>316</v>
      </c>
      <c r="G2645" t="s">
        <v>319</v>
      </c>
      <c r="H2645" s="502">
        <v>51000</v>
      </c>
      <c r="I2645" s="415">
        <v>0</v>
      </c>
      <c r="J2645" s="415">
        <v>0</v>
      </c>
      <c r="K2645" s="415">
        <v>0</v>
      </c>
      <c r="L2645" s="415">
        <v>0</v>
      </c>
      <c r="M2645" s="415">
        <v>0</v>
      </c>
      <c r="N2645" s="415">
        <v>0</v>
      </c>
      <c r="O2645" s="415">
        <v>0</v>
      </c>
      <c r="P2645" s="415">
        <v>0</v>
      </c>
      <c r="Q2645" s="481">
        <f t="shared" si="87"/>
        <v>0</v>
      </c>
    </row>
    <row r="2646" spans="1:17" x14ac:dyDescent="0.3">
      <c r="A2646" s="366" t="str">
        <f>IFERROR(VLOOKUP(RIGHT(E2646,3)+0,[1]SchLocTable!$A$2:$B$47,2,FALSE)," ")</f>
        <v>Blackham</v>
      </c>
      <c r="B2646" s="366" t="str">
        <f>VLOOKUP(VALUE(D2646),$D$3:F$106,3,FALSE)</f>
        <v>Instructional Support Positions</v>
      </c>
      <c r="C2646" t="s">
        <v>314</v>
      </c>
      <c r="D2646">
        <v>834</v>
      </c>
      <c r="E2646" t="s">
        <v>1307</v>
      </c>
      <c r="F2646" t="s">
        <v>321</v>
      </c>
      <c r="G2646" t="s">
        <v>319</v>
      </c>
      <c r="H2646" s="502">
        <v>52917</v>
      </c>
      <c r="I2646" s="415">
        <v>0</v>
      </c>
      <c r="J2646" s="415">
        <v>0</v>
      </c>
      <c r="K2646" s="415">
        <v>0</v>
      </c>
      <c r="L2646" s="415">
        <v>0</v>
      </c>
      <c r="M2646" s="415">
        <v>0</v>
      </c>
      <c r="N2646" s="415">
        <v>0</v>
      </c>
      <c r="O2646" s="415">
        <v>0</v>
      </c>
      <c r="P2646" s="415">
        <v>0</v>
      </c>
      <c r="Q2646" s="481">
        <f t="shared" si="87"/>
        <v>0</v>
      </c>
    </row>
    <row r="2647" spans="1:17" x14ac:dyDescent="0.3">
      <c r="A2647" s="366" t="str">
        <f>IFERROR(VLOOKUP(RIGHT(E2647,3)+0,[1]SchLocTable!$A$2:$B$47,2,FALSE)," ")</f>
        <v>Blackham</v>
      </c>
      <c r="B2647" s="366" t="str">
        <f>VLOOKUP(VALUE(D2647),$D$3:F$106,3,FALSE)</f>
        <v>Instructional Support Positions</v>
      </c>
      <c r="C2647" t="s">
        <v>314</v>
      </c>
      <c r="D2647">
        <v>834</v>
      </c>
      <c r="E2647" t="s">
        <v>1307</v>
      </c>
      <c r="F2647" t="s">
        <v>320</v>
      </c>
      <c r="G2647" t="s">
        <v>319</v>
      </c>
      <c r="H2647" s="502">
        <v>52360</v>
      </c>
      <c r="I2647" s="415">
        <v>0</v>
      </c>
      <c r="J2647" s="415">
        <v>0</v>
      </c>
      <c r="K2647" s="415">
        <v>0</v>
      </c>
      <c r="L2647" s="415">
        <v>0</v>
      </c>
      <c r="M2647" s="415">
        <v>0</v>
      </c>
      <c r="N2647" s="415">
        <v>0</v>
      </c>
      <c r="O2647" s="415">
        <v>0</v>
      </c>
      <c r="P2647" s="415">
        <v>0</v>
      </c>
      <c r="Q2647" s="481">
        <f t="shared" si="87"/>
        <v>0</v>
      </c>
    </row>
    <row r="2648" spans="1:17" x14ac:dyDescent="0.3">
      <c r="A2648" s="366" t="str">
        <f>IFERROR(VLOOKUP(RIGHT(E2648,3)+0,[1]SchLocTable!$A$2:$B$47,2,FALSE)," ")</f>
        <v>Curiale</v>
      </c>
      <c r="B2648" s="366" t="str">
        <f>VLOOKUP(VALUE(D2648),$D$3:F$106,3,FALSE)</f>
        <v>Instructional Support Positions</v>
      </c>
      <c r="C2648" t="s">
        <v>314</v>
      </c>
      <c r="D2648">
        <v>834</v>
      </c>
      <c r="E2648" t="s">
        <v>889</v>
      </c>
      <c r="F2648" t="s">
        <v>318</v>
      </c>
      <c r="G2648" t="s">
        <v>319</v>
      </c>
      <c r="H2648" s="502">
        <v>51140</v>
      </c>
      <c r="I2648" s="415">
        <v>0</v>
      </c>
      <c r="J2648" s="415">
        <v>0</v>
      </c>
      <c r="K2648" s="415">
        <v>0</v>
      </c>
      <c r="L2648" s="415">
        <v>1100</v>
      </c>
      <c r="M2648" s="415">
        <v>0</v>
      </c>
      <c r="N2648" s="415">
        <v>0</v>
      </c>
      <c r="O2648" s="415">
        <v>0</v>
      </c>
      <c r="P2648" s="415">
        <v>0</v>
      </c>
      <c r="Q2648" s="481">
        <f t="shared" si="87"/>
        <v>0</v>
      </c>
    </row>
    <row r="2649" spans="1:17" x14ac:dyDescent="0.3">
      <c r="A2649" s="366" t="str">
        <f>IFERROR(VLOOKUP(RIGHT(E2649,3)+0,[1]SchLocTable!$A$2:$B$47,2,FALSE)," ")</f>
        <v xml:space="preserve"> </v>
      </c>
      <c r="B2649" s="366" t="str">
        <f>VLOOKUP(VALUE(D2649),$D$3:F$106,3,FALSE)</f>
        <v>Aquaculture</v>
      </c>
      <c r="C2649" t="s">
        <v>314</v>
      </c>
      <c r="D2649">
        <v>835</v>
      </c>
      <c r="E2649" t="s">
        <v>890</v>
      </c>
      <c r="F2649" t="s">
        <v>808</v>
      </c>
      <c r="G2649" t="s">
        <v>319</v>
      </c>
      <c r="H2649" s="502">
        <v>55540</v>
      </c>
      <c r="I2649" s="415">
        <v>-2604366.33</v>
      </c>
      <c r="J2649" s="415">
        <v>-1998615</v>
      </c>
      <c r="K2649" s="415">
        <v>-2528511</v>
      </c>
      <c r="L2649" s="415">
        <v>-1809600</v>
      </c>
      <c r="M2649" s="415">
        <v>-1999619</v>
      </c>
      <c r="N2649" s="415">
        <v>-2287906</v>
      </c>
      <c r="O2649" s="415">
        <v>-1927048</v>
      </c>
      <c r="P2649" s="415">
        <v>-1921275</v>
      </c>
      <c r="Q2649" s="481">
        <f t="shared" si="87"/>
        <v>605751.33000000007</v>
      </c>
    </row>
    <row r="2650" spans="1:17" x14ac:dyDescent="0.3">
      <c r="A2650" s="366" t="str">
        <f>IFERROR(VLOOKUP(RIGHT(E2650,3)+0,[1]SchLocTable!$A$2:$B$47,2,FALSE)," ")</f>
        <v xml:space="preserve"> </v>
      </c>
      <c r="B2650" s="366" t="str">
        <f>VLOOKUP(VALUE(D2650),$D$3:F$106,3,FALSE)</f>
        <v>Aquaculture</v>
      </c>
      <c r="C2650" t="s">
        <v>314</v>
      </c>
      <c r="D2650">
        <v>835</v>
      </c>
      <c r="E2650" t="s">
        <v>890</v>
      </c>
      <c r="F2650" t="s">
        <v>892</v>
      </c>
      <c r="G2650" t="s">
        <v>319</v>
      </c>
      <c r="H2650" s="502">
        <v>54555</v>
      </c>
      <c r="I2650" s="415">
        <v>54308.284699999997</v>
      </c>
      <c r="J2650" s="415">
        <v>52726.49</v>
      </c>
      <c r="K2650" s="415">
        <v>174383.48</v>
      </c>
      <c r="L2650" s="415">
        <v>1595</v>
      </c>
      <c r="M2650" s="415">
        <v>89513.600000000006</v>
      </c>
      <c r="N2650" s="415">
        <v>70221.25</v>
      </c>
      <c r="O2650" s="415">
        <v>51628.28</v>
      </c>
      <c r="P2650" s="415">
        <v>20040.97</v>
      </c>
      <c r="Q2650" s="481">
        <f t="shared" si="87"/>
        <v>-1581.7946999999986</v>
      </c>
    </row>
    <row r="2651" spans="1:17" x14ac:dyDescent="0.3">
      <c r="A2651" s="366" t="str">
        <f>IFERROR(VLOOKUP(RIGHT(E2651,3)+0,[1]SchLocTable!$A$2:$B$47,2,FALSE)," ")</f>
        <v xml:space="preserve"> </v>
      </c>
      <c r="B2651" s="366" t="str">
        <f>VLOOKUP(VALUE(D2651),$D$3:F$106,3,FALSE)</f>
        <v>Aquaculture</v>
      </c>
      <c r="C2651" t="s">
        <v>314</v>
      </c>
      <c r="D2651">
        <v>835</v>
      </c>
      <c r="E2651" t="s">
        <v>890</v>
      </c>
      <c r="F2651" t="s">
        <v>894</v>
      </c>
      <c r="G2651" t="s">
        <v>319</v>
      </c>
      <c r="H2651" s="502">
        <v>54610</v>
      </c>
      <c r="I2651" s="415">
        <v>4007.73</v>
      </c>
      <c r="J2651" s="415">
        <v>3891</v>
      </c>
      <c r="K2651" s="415">
        <v>109.8</v>
      </c>
      <c r="L2651" s="415">
        <v>0</v>
      </c>
      <c r="M2651" s="415">
        <v>0</v>
      </c>
      <c r="N2651" s="415">
        <v>560.44000000000005</v>
      </c>
      <c r="O2651" s="415">
        <v>515.22</v>
      </c>
      <c r="P2651" s="415">
        <v>0</v>
      </c>
      <c r="Q2651" s="481">
        <f t="shared" si="87"/>
        <v>-116.73000000000002</v>
      </c>
    </row>
    <row r="2652" spans="1:17" x14ac:dyDescent="0.3">
      <c r="A2652" s="366" t="str">
        <f>IFERROR(VLOOKUP(RIGHT(E2652,3)+0,[1]SchLocTable!$A$2:$B$47,2,FALSE)," ")</f>
        <v xml:space="preserve"> </v>
      </c>
      <c r="B2652" s="366" t="str">
        <f>VLOOKUP(VALUE(D2652),$D$3:F$106,3,FALSE)</f>
        <v>Aquaculture</v>
      </c>
      <c r="C2652" t="s">
        <v>314</v>
      </c>
      <c r="D2652">
        <v>835</v>
      </c>
      <c r="E2652" t="s">
        <v>890</v>
      </c>
      <c r="F2652" t="s">
        <v>316</v>
      </c>
      <c r="G2652">
        <v>14</v>
      </c>
      <c r="H2652" s="502">
        <v>51000</v>
      </c>
      <c r="I2652" s="415">
        <v>1530216.8835500004</v>
      </c>
      <c r="J2652" s="415">
        <v>1458595.87</v>
      </c>
      <c r="K2652" s="415">
        <v>1392183.28</v>
      </c>
      <c r="L2652" s="415">
        <v>1384096.15</v>
      </c>
      <c r="M2652" s="415">
        <v>1330713.0900000001</v>
      </c>
      <c r="N2652" s="415">
        <v>1329825.77</v>
      </c>
      <c r="O2652" s="415">
        <v>1312893.1299999999</v>
      </c>
      <c r="P2652" s="415">
        <v>1293336.6299999999</v>
      </c>
      <c r="Q2652" s="481">
        <f t="shared" si="87"/>
        <v>-71621.013550000265</v>
      </c>
    </row>
    <row r="2653" spans="1:17" x14ac:dyDescent="0.3">
      <c r="A2653" s="366" t="str">
        <f>IFERROR(VLOOKUP(RIGHT(E2653,3)+0,[1]SchLocTable!$A$2:$B$47,2,FALSE)," ")</f>
        <v xml:space="preserve"> </v>
      </c>
      <c r="B2653" s="366" t="str">
        <f>VLOOKUP(VALUE(D2653),$D$3:F$106,3,FALSE)</f>
        <v>Aquaculture</v>
      </c>
      <c r="C2653" t="s">
        <v>314</v>
      </c>
      <c r="D2653">
        <v>835</v>
      </c>
      <c r="E2653" t="s">
        <v>890</v>
      </c>
      <c r="F2653" t="s">
        <v>895</v>
      </c>
      <c r="G2653" t="s">
        <v>319</v>
      </c>
      <c r="H2653" s="502">
        <v>54615</v>
      </c>
      <c r="I2653" s="415">
        <v>3605</v>
      </c>
      <c r="J2653" s="415">
        <v>3500</v>
      </c>
      <c r="K2653" s="415">
        <v>3138.92</v>
      </c>
      <c r="L2653" s="415">
        <v>1816.27</v>
      </c>
      <c r="M2653" s="415">
        <v>2462.6</v>
      </c>
      <c r="N2653" s="415">
        <v>1825.71</v>
      </c>
      <c r="O2653" s="415">
        <v>249.26</v>
      </c>
      <c r="P2653" s="415">
        <v>296.17</v>
      </c>
      <c r="Q2653" s="481">
        <f t="shared" si="87"/>
        <v>-105</v>
      </c>
    </row>
    <row r="2654" spans="1:17" x14ac:dyDescent="0.3">
      <c r="A2654" s="366" t="str">
        <f>IFERROR(VLOOKUP(RIGHT(E2654,3)+0,[1]SchLocTable!$A$2:$B$47,2,FALSE)," ")</f>
        <v xml:space="preserve"> </v>
      </c>
      <c r="B2654" s="366" t="str">
        <f>VLOOKUP(VALUE(D2654),$D$3:F$106,3,FALSE)</f>
        <v>Aquaculture</v>
      </c>
      <c r="C2654" t="s">
        <v>314</v>
      </c>
      <c r="D2654">
        <v>835</v>
      </c>
      <c r="E2654" t="s">
        <v>890</v>
      </c>
      <c r="F2654" t="s">
        <v>334</v>
      </c>
      <c r="G2654" t="s">
        <v>319</v>
      </c>
      <c r="H2654" s="502">
        <v>51400</v>
      </c>
      <c r="I2654" s="415">
        <v>28692.3</v>
      </c>
      <c r="J2654" s="415">
        <v>34842.5</v>
      </c>
      <c r="K2654" s="415">
        <v>41434.92</v>
      </c>
      <c r="L2654" s="415">
        <v>40239.1</v>
      </c>
      <c r="M2654" s="415">
        <v>20855.38</v>
      </c>
      <c r="N2654" s="415">
        <v>23346.36</v>
      </c>
      <c r="O2654" s="415">
        <v>10842.5</v>
      </c>
      <c r="P2654" s="415">
        <v>9836.75</v>
      </c>
      <c r="Q2654" s="481">
        <f t="shared" si="87"/>
        <v>6150.2000000000007</v>
      </c>
    </row>
    <row r="2655" spans="1:17" x14ac:dyDescent="0.3">
      <c r="A2655" s="366" t="str">
        <f>IFERROR(VLOOKUP(RIGHT(E2655,3)+0,[1]SchLocTable!$A$2:$B$47,2,FALSE)," ")</f>
        <v xml:space="preserve"> </v>
      </c>
      <c r="B2655" s="366" t="str">
        <f>VLOOKUP(VALUE(D2655),$D$3:F$106,3,FALSE)</f>
        <v>Aquaculture</v>
      </c>
      <c r="C2655" t="s">
        <v>314</v>
      </c>
      <c r="D2655">
        <v>835</v>
      </c>
      <c r="E2655" t="s">
        <v>890</v>
      </c>
      <c r="F2655" t="s">
        <v>790</v>
      </c>
      <c r="G2655" t="s">
        <v>319</v>
      </c>
      <c r="H2655" s="502">
        <v>54640</v>
      </c>
      <c r="I2655" s="415">
        <v>2729.5</v>
      </c>
      <c r="J2655" s="415">
        <v>2650</v>
      </c>
      <c r="K2655" s="415">
        <v>0</v>
      </c>
      <c r="L2655" s="415">
        <v>0</v>
      </c>
      <c r="M2655" s="415">
        <v>4550.41</v>
      </c>
      <c r="N2655" s="415">
        <v>3832.01</v>
      </c>
      <c r="O2655" s="415">
        <v>1372.06</v>
      </c>
      <c r="P2655" s="415">
        <v>20.079999999999998</v>
      </c>
      <c r="Q2655" s="481">
        <f t="shared" si="87"/>
        <v>-79.5</v>
      </c>
    </row>
    <row r="2656" spans="1:17" x14ac:dyDescent="0.3">
      <c r="A2656" s="366" t="str">
        <f>IFERROR(VLOOKUP(RIGHT(E2656,3)+0,[1]SchLocTable!$A$2:$B$47,2,FALSE)," ")</f>
        <v xml:space="preserve"> </v>
      </c>
      <c r="B2656" s="366" t="str">
        <f>VLOOKUP(VALUE(D2656),$D$3:F$106,3,FALSE)</f>
        <v>Aquaculture</v>
      </c>
      <c r="C2656" t="s">
        <v>314</v>
      </c>
      <c r="D2656">
        <v>835</v>
      </c>
      <c r="E2656" t="s">
        <v>890</v>
      </c>
      <c r="F2656" t="s">
        <v>321</v>
      </c>
      <c r="G2656" t="s">
        <v>319</v>
      </c>
      <c r="H2656" s="502">
        <v>52917</v>
      </c>
      <c r="I2656" s="415">
        <v>253442.80799999996</v>
      </c>
      <c r="J2656" s="415">
        <v>211675.34</v>
      </c>
      <c r="K2656" s="415">
        <v>236245.17</v>
      </c>
      <c r="L2656" s="415">
        <v>207120.61</v>
      </c>
      <c r="M2656" s="415">
        <v>200016.09</v>
      </c>
      <c r="N2656" s="415">
        <v>230267.89</v>
      </c>
      <c r="O2656" s="415">
        <v>244841.36</v>
      </c>
      <c r="P2656" s="415">
        <v>233966.75</v>
      </c>
      <c r="Q2656" s="481">
        <f t="shared" si="87"/>
        <v>-41767.467999999964</v>
      </c>
    </row>
    <row r="2657" spans="1:17" x14ac:dyDescent="0.3">
      <c r="A2657" s="366" t="str">
        <f>IFERROR(VLOOKUP(RIGHT(E2657,3)+0,[1]SchLocTable!$A$2:$B$47,2,FALSE)," ")</f>
        <v xml:space="preserve"> </v>
      </c>
      <c r="B2657" s="366" t="str">
        <f>VLOOKUP(VALUE(D2657),$D$3:F$106,3,FALSE)</f>
        <v>Aquaculture</v>
      </c>
      <c r="C2657" t="s">
        <v>314</v>
      </c>
      <c r="D2657">
        <v>835</v>
      </c>
      <c r="E2657" t="s">
        <v>890</v>
      </c>
      <c r="F2657" t="s">
        <v>896</v>
      </c>
      <c r="G2657" t="s">
        <v>319</v>
      </c>
      <c r="H2657" s="502">
        <v>54645</v>
      </c>
      <c r="I2657" s="415">
        <v>43233.662900000003</v>
      </c>
      <c r="J2657" s="415">
        <v>41974.43</v>
      </c>
      <c r="K2657" s="415">
        <v>17711.060000000001</v>
      </c>
      <c r="L2657" s="415">
        <v>26783.82</v>
      </c>
      <c r="M2657" s="415">
        <v>46513.599999999999</v>
      </c>
      <c r="N2657" s="415">
        <v>89067.38</v>
      </c>
      <c r="O2657" s="415">
        <v>35364.03</v>
      </c>
      <c r="P2657" s="415">
        <v>77899.08</v>
      </c>
      <c r="Q2657" s="481">
        <f t="shared" si="87"/>
        <v>-1259.2329000000027</v>
      </c>
    </row>
    <row r="2658" spans="1:17" x14ac:dyDescent="0.3">
      <c r="A2658" s="366" t="str">
        <f>IFERROR(VLOOKUP(RIGHT(E2658,3)+0,[1]SchLocTable!$A$2:$B$47,2,FALSE)," ")</f>
        <v xml:space="preserve"> </v>
      </c>
      <c r="B2658" s="366" t="str">
        <f>VLOOKUP(VALUE(D2658),$D$3:F$106,3,FALSE)</f>
        <v>Aquaculture</v>
      </c>
      <c r="C2658" t="s">
        <v>314</v>
      </c>
      <c r="D2658">
        <v>835</v>
      </c>
      <c r="E2658" t="s">
        <v>890</v>
      </c>
      <c r="F2658" t="s">
        <v>891</v>
      </c>
      <c r="G2658" t="s">
        <v>319</v>
      </c>
      <c r="H2658" s="502">
        <v>53420</v>
      </c>
      <c r="I2658" s="415">
        <v>106182.7</v>
      </c>
      <c r="J2658" s="415">
        <v>103090</v>
      </c>
      <c r="K2658" s="415">
        <v>102880.5</v>
      </c>
      <c r="L2658" s="415">
        <v>92110</v>
      </c>
      <c r="M2658" s="415">
        <v>63505.61</v>
      </c>
      <c r="N2658" s="415">
        <v>49528.57</v>
      </c>
      <c r="O2658" s="415">
        <v>51516</v>
      </c>
      <c r="P2658" s="415">
        <v>44366</v>
      </c>
      <c r="Q2658" s="481">
        <f t="shared" si="87"/>
        <v>-3092.6999999999971</v>
      </c>
    </row>
    <row r="2659" spans="1:17" x14ac:dyDescent="0.3">
      <c r="A2659" s="366" t="str">
        <f>IFERROR(VLOOKUP(RIGHT(E2659,3)+0,[1]SchLocTable!$A$2:$B$47,2,FALSE)," ")</f>
        <v xml:space="preserve"> </v>
      </c>
      <c r="B2659" s="366" t="str">
        <f>VLOOKUP(VALUE(D2659),$D$3:F$106,3,FALSE)</f>
        <v>Aquaculture</v>
      </c>
      <c r="C2659" t="s">
        <v>314</v>
      </c>
      <c r="D2659">
        <v>835</v>
      </c>
      <c r="E2659" t="s">
        <v>890</v>
      </c>
      <c r="F2659" t="s">
        <v>318</v>
      </c>
      <c r="G2659" t="s">
        <v>319</v>
      </c>
      <c r="H2659" s="502">
        <v>51140</v>
      </c>
      <c r="I2659" s="415">
        <v>8400</v>
      </c>
      <c r="J2659" s="415">
        <v>0</v>
      </c>
      <c r="K2659" s="415">
        <v>7300</v>
      </c>
      <c r="L2659" s="415">
        <v>6300</v>
      </c>
      <c r="M2659" s="415">
        <v>9000</v>
      </c>
      <c r="N2659" s="415">
        <v>10500</v>
      </c>
      <c r="O2659" s="415">
        <v>8300</v>
      </c>
      <c r="P2659" s="415">
        <v>7400</v>
      </c>
      <c r="Q2659" s="481">
        <f t="shared" si="87"/>
        <v>-8400</v>
      </c>
    </row>
    <row r="2660" spans="1:17" x14ac:dyDescent="0.3">
      <c r="A2660" s="366" t="str">
        <f>IFERROR(VLOOKUP(RIGHT(E2660,3)+0,[1]SchLocTable!$A$2:$B$47,2,FALSE)," ")</f>
        <v xml:space="preserve"> </v>
      </c>
      <c r="B2660" s="366" t="str">
        <f>VLOOKUP(VALUE(D2660),$D$3:F$106,3,FALSE)</f>
        <v>Aquaculture</v>
      </c>
      <c r="C2660" t="s">
        <v>314</v>
      </c>
      <c r="D2660">
        <v>835</v>
      </c>
      <c r="E2660" t="s">
        <v>890</v>
      </c>
      <c r="F2660" t="s">
        <v>897</v>
      </c>
      <c r="G2660" t="s">
        <v>319</v>
      </c>
      <c r="H2660" s="502">
        <v>54670</v>
      </c>
      <c r="I2660" s="415">
        <v>431.57</v>
      </c>
      <c r="J2660" s="415">
        <v>419</v>
      </c>
      <c r="K2660" s="415">
        <v>374.24</v>
      </c>
      <c r="L2660" s="415">
        <v>0</v>
      </c>
      <c r="M2660" s="415">
        <v>0</v>
      </c>
      <c r="N2660" s="415">
        <v>545</v>
      </c>
      <c r="O2660" s="415">
        <v>75</v>
      </c>
      <c r="P2660" s="415">
        <v>1084.22</v>
      </c>
      <c r="Q2660" s="481">
        <f t="shared" si="87"/>
        <v>-12.569999999999993</v>
      </c>
    </row>
    <row r="2661" spans="1:17" x14ac:dyDescent="0.3">
      <c r="A2661" s="366" t="str">
        <f>IFERROR(VLOOKUP(RIGHT(E2661,3)+0,[1]SchLocTable!$A$2:$B$47,2,FALSE)," ")</f>
        <v xml:space="preserve"> </v>
      </c>
      <c r="B2661" s="366" t="str">
        <f>VLOOKUP(VALUE(D2661),$D$3:F$106,3,FALSE)</f>
        <v>Aquaculture</v>
      </c>
      <c r="C2661" t="s">
        <v>314</v>
      </c>
      <c r="D2661">
        <v>835</v>
      </c>
      <c r="E2661" t="s">
        <v>890</v>
      </c>
      <c r="F2661" t="s">
        <v>320</v>
      </c>
      <c r="G2661" t="s">
        <v>319</v>
      </c>
      <c r="H2661" s="502">
        <v>52360</v>
      </c>
      <c r="I2661" s="415">
        <v>22870.491248974999</v>
      </c>
      <c r="J2661" s="415">
        <v>20168</v>
      </c>
      <c r="K2661" s="415">
        <v>19935.84</v>
      </c>
      <c r="L2661" s="415">
        <v>18374.439999999999</v>
      </c>
      <c r="M2661" s="415">
        <v>17447.25</v>
      </c>
      <c r="N2661" s="415">
        <v>15120.56</v>
      </c>
      <c r="O2661" s="415">
        <v>14128.77</v>
      </c>
      <c r="P2661" s="415">
        <v>13970.16</v>
      </c>
      <c r="Q2661" s="481">
        <f t="shared" si="87"/>
        <v>-2702.4912489749986</v>
      </c>
    </row>
    <row r="2662" spans="1:17" x14ac:dyDescent="0.3">
      <c r="A2662" s="366" t="str">
        <f>IFERROR(VLOOKUP(RIGHT(E2662,3)+0,[1]SchLocTable!$A$2:$B$47,2,FALSE)," ")</f>
        <v xml:space="preserve"> </v>
      </c>
      <c r="B2662" s="366" t="str">
        <f>VLOOKUP(VALUE(D2662),$D$3:F$106,3,FALSE)</f>
        <v>Aquaculture</v>
      </c>
      <c r="C2662" t="s">
        <v>314</v>
      </c>
      <c r="D2662">
        <v>835</v>
      </c>
      <c r="E2662" t="s">
        <v>890</v>
      </c>
      <c r="F2662" t="s">
        <v>893</v>
      </c>
      <c r="G2662" t="s">
        <v>319</v>
      </c>
      <c r="H2662" s="502">
        <v>54595</v>
      </c>
      <c r="I2662" s="415">
        <v>515</v>
      </c>
      <c r="J2662" s="415">
        <v>500</v>
      </c>
      <c r="K2662" s="415">
        <v>0</v>
      </c>
      <c r="L2662" s="415">
        <v>0</v>
      </c>
      <c r="M2662" s="415">
        <v>0</v>
      </c>
      <c r="N2662" s="415">
        <v>0</v>
      </c>
      <c r="O2662" s="415">
        <v>0</v>
      </c>
      <c r="P2662" s="415">
        <v>0</v>
      </c>
      <c r="Q2662" s="481">
        <f t="shared" si="87"/>
        <v>-15</v>
      </c>
    </row>
    <row r="2663" spans="1:17" x14ac:dyDescent="0.3">
      <c r="A2663" s="366" t="str">
        <f>IFERROR(VLOOKUP(RIGHT(E2663,3)+0,[1]SchLocTable!$A$2:$B$47,2,FALSE)," ")</f>
        <v xml:space="preserve"> </v>
      </c>
      <c r="B2663" s="366" t="str">
        <f>VLOOKUP(VALUE(D2663),$D$3:F$106,3,FALSE)</f>
        <v>Aquaculture</v>
      </c>
      <c r="C2663" t="s">
        <v>314</v>
      </c>
      <c r="D2663">
        <v>835</v>
      </c>
      <c r="E2663" t="s">
        <v>890</v>
      </c>
      <c r="F2663" t="s">
        <v>473</v>
      </c>
      <c r="G2663" t="s">
        <v>319</v>
      </c>
      <c r="H2663" s="502">
        <v>53605</v>
      </c>
      <c r="I2663" s="415">
        <v>6188.24</v>
      </c>
      <c r="J2663" s="415">
        <v>6008</v>
      </c>
      <c r="K2663" s="415">
        <v>3756</v>
      </c>
      <c r="L2663" s="415">
        <v>2247</v>
      </c>
      <c r="M2663" s="415">
        <v>1295</v>
      </c>
      <c r="N2663" s="415">
        <v>0</v>
      </c>
      <c r="O2663" s="415">
        <v>0</v>
      </c>
      <c r="P2663" s="415">
        <v>0</v>
      </c>
      <c r="Q2663" s="481">
        <f t="shared" si="87"/>
        <v>-180.23999999999978</v>
      </c>
    </row>
    <row r="2664" spans="1:17" x14ac:dyDescent="0.3">
      <c r="A2664" s="366" t="str">
        <f>IFERROR(VLOOKUP(RIGHT(E2664,3)+0,[1]SchLocTable!$A$2:$B$47,2,FALSE)," ")</f>
        <v xml:space="preserve"> </v>
      </c>
      <c r="B2664" s="366" t="str">
        <f>VLOOKUP(VALUE(D2664),$D$3:F$106,3,FALSE)</f>
        <v>Aquaculture</v>
      </c>
      <c r="C2664" t="s">
        <v>314</v>
      </c>
      <c r="D2664">
        <v>835</v>
      </c>
      <c r="E2664" t="s">
        <v>890</v>
      </c>
      <c r="F2664" t="s">
        <v>392</v>
      </c>
      <c r="G2664" t="s">
        <v>319</v>
      </c>
      <c r="H2664" s="502">
        <v>52504</v>
      </c>
      <c r="I2664" s="415">
        <v>0</v>
      </c>
      <c r="J2664" s="415">
        <v>0</v>
      </c>
      <c r="K2664" s="415">
        <v>0</v>
      </c>
      <c r="L2664" s="415">
        <v>46.57</v>
      </c>
      <c r="M2664" s="415">
        <v>0</v>
      </c>
      <c r="N2664" s="415">
        <v>0</v>
      </c>
      <c r="O2664" s="415">
        <v>0</v>
      </c>
      <c r="P2664" s="415">
        <v>0</v>
      </c>
      <c r="Q2664" s="481">
        <f t="shared" si="87"/>
        <v>0</v>
      </c>
    </row>
    <row r="2665" spans="1:17" x14ac:dyDescent="0.3">
      <c r="A2665" s="366" t="str">
        <f>IFERROR(VLOOKUP(RIGHT(E2665,3)+0,[1]SchLocTable!$A$2:$B$47,2,FALSE)," ")</f>
        <v xml:space="preserve"> </v>
      </c>
      <c r="B2665" s="366" t="str">
        <f>VLOOKUP(VALUE(D2665),$D$3:F$106,3,FALSE)</f>
        <v>Aquaculture</v>
      </c>
      <c r="C2665" t="s">
        <v>314</v>
      </c>
      <c r="D2665">
        <v>835</v>
      </c>
      <c r="E2665" t="s">
        <v>890</v>
      </c>
      <c r="F2665" t="s">
        <v>458</v>
      </c>
      <c r="G2665" t="s">
        <v>319</v>
      </c>
      <c r="H2665" s="502">
        <v>54675</v>
      </c>
      <c r="I2665" s="415">
        <v>4174.2707</v>
      </c>
      <c r="J2665" s="415">
        <v>4052.69</v>
      </c>
      <c r="K2665" s="415">
        <v>5145.8100000000004</v>
      </c>
      <c r="L2665" s="415">
        <v>7061.33</v>
      </c>
      <c r="M2665" s="415">
        <v>7239.42</v>
      </c>
      <c r="N2665" s="415">
        <v>5186.0200000000004</v>
      </c>
      <c r="O2665" s="415">
        <v>14937.68</v>
      </c>
      <c r="P2665" s="415">
        <v>3806.55</v>
      </c>
      <c r="Q2665" s="481">
        <f t="shared" si="87"/>
        <v>-121.58069999999998</v>
      </c>
    </row>
    <row r="2666" spans="1:17" x14ac:dyDescent="0.3">
      <c r="A2666" s="366" t="str">
        <f>IFERROR(VLOOKUP(RIGHT(E2666,3)+0,[1]SchLocTable!$A$2:$B$47,2,FALSE)," ")</f>
        <v xml:space="preserve"> </v>
      </c>
      <c r="B2666" s="366" t="str">
        <f>VLOOKUP(VALUE(D2666),$D$3:F$106,3,FALSE)</f>
        <v>Aquaculture</v>
      </c>
      <c r="C2666" t="s">
        <v>314</v>
      </c>
      <c r="D2666">
        <v>835</v>
      </c>
      <c r="E2666" t="s">
        <v>890</v>
      </c>
      <c r="F2666" t="s">
        <v>901</v>
      </c>
      <c r="G2666" t="s">
        <v>319</v>
      </c>
      <c r="H2666" s="502">
        <v>56170</v>
      </c>
      <c r="I2666" s="415">
        <v>38247.515300000006</v>
      </c>
      <c r="J2666" s="415">
        <v>37133.51</v>
      </c>
      <c r="K2666" s="415">
        <v>7297.15</v>
      </c>
      <c r="L2666" s="415">
        <v>41575.980000000003</v>
      </c>
      <c r="M2666" s="415">
        <v>37377.56</v>
      </c>
      <c r="N2666" s="415">
        <v>65564.52</v>
      </c>
      <c r="O2666" s="415">
        <v>26841.35</v>
      </c>
      <c r="P2666" s="415">
        <v>17556.919999999998</v>
      </c>
      <c r="Q2666" s="481">
        <f t="shared" si="87"/>
        <v>-1114.0053000000044</v>
      </c>
    </row>
    <row r="2667" spans="1:17" x14ac:dyDescent="0.3">
      <c r="A2667" s="366" t="str">
        <f>IFERROR(VLOOKUP(RIGHT(E2667,3)+0,[1]SchLocTable!$A$2:$B$47,2,FALSE)," ")</f>
        <v xml:space="preserve"> </v>
      </c>
      <c r="B2667" s="366" t="str">
        <f>VLOOKUP(VALUE(D2667),$D$3:F$106,3,FALSE)</f>
        <v>Aquaculture</v>
      </c>
      <c r="C2667" t="s">
        <v>314</v>
      </c>
      <c r="D2667">
        <v>835</v>
      </c>
      <c r="E2667" t="s">
        <v>890</v>
      </c>
      <c r="F2667" t="s">
        <v>464</v>
      </c>
      <c r="G2667" t="s">
        <v>319</v>
      </c>
      <c r="H2667" s="502">
        <v>56180</v>
      </c>
      <c r="I2667" s="415">
        <v>15120.049800000001</v>
      </c>
      <c r="J2667" s="415">
        <v>14679.66</v>
      </c>
      <c r="K2667" s="415">
        <v>5812.76</v>
      </c>
      <c r="L2667" s="415">
        <v>11359.64</v>
      </c>
      <c r="M2667" s="415">
        <v>32862.949999999997</v>
      </c>
      <c r="N2667" s="415">
        <v>38931.1</v>
      </c>
      <c r="O2667" s="415">
        <v>4760.41</v>
      </c>
      <c r="P2667" s="415">
        <v>0</v>
      </c>
      <c r="Q2667" s="481">
        <f t="shared" si="87"/>
        <v>-440.38980000000083</v>
      </c>
    </row>
    <row r="2668" spans="1:17" x14ac:dyDescent="0.3">
      <c r="A2668" s="366" t="str">
        <f>IFERROR(VLOOKUP(RIGHT(E2668,3)+0,[1]SchLocTable!$A$2:$B$47,2,FALSE)," ")</f>
        <v xml:space="preserve"> </v>
      </c>
      <c r="B2668" s="366" t="str">
        <f>VLOOKUP(VALUE(D2668),$D$3:F$106,3,FALSE)</f>
        <v>Aquaculture</v>
      </c>
      <c r="C2668" t="s">
        <v>314</v>
      </c>
      <c r="D2668">
        <v>835</v>
      </c>
      <c r="E2668" t="s">
        <v>890</v>
      </c>
      <c r="F2668" t="s">
        <v>898</v>
      </c>
      <c r="G2668" t="s">
        <v>319</v>
      </c>
      <c r="H2668" s="502">
        <v>54680</v>
      </c>
      <c r="I2668" s="415">
        <v>33281.524800000007</v>
      </c>
      <c r="J2668" s="415">
        <v>32312.16</v>
      </c>
      <c r="K2668" s="415">
        <v>31167.09</v>
      </c>
      <c r="L2668" s="415">
        <v>10654.65</v>
      </c>
      <c r="M2668" s="415">
        <v>26526.95</v>
      </c>
      <c r="N2668" s="415">
        <v>15633.1</v>
      </c>
      <c r="O2668" s="415">
        <v>11813.27</v>
      </c>
      <c r="P2668" s="415">
        <v>12025.02</v>
      </c>
      <c r="Q2668" s="481">
        <f t="shared" si="87"/>
        <v>-969.36480000000665</v>
      </c>
    </row>
    <row r="2669" spans="1:17" x14ac:dyDescent="0.3">
      <c r="A2669" s="366" t="str">
        <f>IFERROR(VLOOKUP(RIGHT(E2669,3)+0,[1]SchLocTable!$A$2:$B$47,2,FALSE)," ")</f>
        <v xml:space="preserve"> </v>
      </c>
      <c r="B2669" s="366" t="str">
        <f>VLOOKUP(VALUE(D2669),$D$3:F$106,3,FALSE)</f>
        <v>Aquaculture</v>
      </c>
      <c r="C2669" t="s">
        <v>314</v>
      </c>
      <c r="D2669">
        <v>835</v>
      </c>
      <c r="E2669" t="s">
        <v>890</v>
      </c>
      <c r="F2669" t="s">
        <v>463</v>
      </c>
      <c r="G2669" t="s">
        <v>319</v>
      </c>
      <c r="H2669" s="502">
        <v>54725</v>
      </c>
      <c r="I2669" s="415">
        <v>207.03</v>
      </c>
      <c r="J2669" s="415">
        <v>201</v>
      </c>
      <c r="K2669" s="415">
        <v>118.92</v>
      </c>
      <c r="L2669" s="415">
        <v>29.78</v>
      </c>
      <c r="M2669" s="415">
        <v>0</v>
      </c>
      <c r="N2669" s="415">
        <v>0</v>
      </c>
      <c r="O2669" s="415">
        <v>0</v>
      </c>
      <c r="P2669" s="415">
        <v>0</v>
      </c>
      <c r="Q2669" s="481">
        <f t="shared" si="87"/>
        <v>-6.0300000000000011</v>
      </c>
    </row>
    <row r="2670" spans="1:17" x14ac:dyDescent="0.3">
      <c r="A2670" s="366" t="str">
        <f>IFERROR(VLOOKUP(RIGHT(E2670,3)+0,[1]SchLocTable!$A$2:$B$47,2,FALSE)," ")</f>
        <v xml:space="preserve"> </v>
      </c>
      <c r="B2670" s="366" t="str">
        <f>VLOOKUP(VALUE(D2670),$D$3:F$106,3,FALSE)</f>
        <v>Aquaculture</v>
      </c>
      <c r="C2670" t="s">
        <v>314</v>
      </c>
      <c r="D2670">
        <v>835</v>
      </c>
      <c r="E2670" t="s">
        <v>890</v>
      </c>
      <c r="F2670" t="s">
        <v>461</v>
      </c>
      <c r="G2670" t="s">
        <v>319</v>
      </c>
      <c r="H2670" s="502">
        <v>53050</v>
      </c>
      <c r="I2670" s="415">
        <v>8000</v>
      </c>
      <c r="J2670" s="415">
        <v>8000</v>
      </c>
      <c r="K2670" s="415">
        <v>8000</v>
      </c>
      <c r="L2670" s="415">
        <v>8000</v>
      </c>
      <c r="M2670" s="415">
        <v>8000</v>
      </c>
      <c r="N2670" s="415">
        <v>8000</v>
      </c>
      <c r="O2670" s="415">
        <v>8000</v>
      </c>
      <c r="P2670" s="415">
        <v>8000</v>
      </c>
      <c r="Q2670" s="481">
        <f t="shared" si="87"/>
        <v>0</v>
      </c>
    </row>
    <row r="2671" spans="1:17" x14ac:dyDescent="0.3">
      <c r="A2671" s="366" t="str">
        <f>IFERROR(VLOOKUP(RIGHT(E2671,3)+0,[1]SchLocTable!$A$2:$B$47,2,FALSE)," ")</f>
        <v xml:space="preserve"> </v>
      </c>
      <c r="B2671" s="366" t="str">
        <f>VLOOKUP(VALUE(D2671),$D$3:F$106,3,FALSE)</f>
        <v>Aquaculture</v>
      </c>
      <c r="C2671" t="s">
        <v>314</v>
      </c>
      <c r="D2671">
        <v>835</v>
      </c>
      <c r="E2671" t="s">
        <v>890</v>
      </c>
      <c r="F2671" t="s">
        <v>317</v>
      </c>
      <c r="G2671">
        <v>1</v>
      </c>
      <c r="H2671" s="502">
        <v>51100</v>
      </c>
      <c r="I2671" s="415">
        <v>18366.074999999997</v>
      </c>
      <c r="J2671" s="415">
        <v>0</v>
      </c>
      <c r="K2671" s="415">
        <v>10563</v>
      </c>
      <c r="L2671" s="415">
        <v>0</v>
      </c>
      <c r="M2671" s="415">
        <v>192</v>
      </c>
      <c r="N2671" s="415">
        <v>0</v>
      </c>
      <c r="O2671" s="415">
        <v>0</v>
      </c>
      <c r="P2671" s="415">
        <v>0</v>
      </c>
      <c r="Q2671" s="481">
        <f t="shared" si="87"/>
        <v>-18366.074999999997</v>
      </c>
    </row>
    <row r="2672" spans="1:17" x14ac:dyDescent="0.3">
      <c r="A2672" s="366" t="str">
        <f>IFERROR(VLOOKUP(RIGHT(E2672,3)+0,[1]SchLocTable!$A$2:$B$47,2,FALSE)," ")</f>
        <v xml:space="preserve"> </v>
      </c>
      <c r="B2672" s="366" t="str">
        <f>VLOOKUP(VALUE(D2672),$D$3:F$106,3,FALSE)</f>
        <v>Aquaculture</v>
      </c>
      <c r="C2672" t="s">
        <v>314</v>
      </c>
      <c r="D2672">
        <v>835</v>
      </c>
      <c r="E2672" t="s">
        <v>890</v>
      </c>
      <c r="F2672" t="s">
        <v>452</v>
      </c>
      <c r="G2672" t="s">
        <v>319</v>
      </c>
      <c r="H2672" s="502">
        <v>51108</v>
      </c>
      <c r="I2672" s="415">
        <v>0</v>
      </c>
      <c r="J2672" s="415">
        <v>0</v>
      </c>
      <c r="K2672" s="415">
        <v>0</v>
      </c>
      <c r="L2672" s="415">
        <v>111.92</v>
      </c>
      <c r="M2672" s="415">
        <v>0</v>
      </c>
      <c r="N2672" s="415">
        <v>0</v>
      </c>
      <c r="O2672" s="415">
        <v>0</v>
      </c>
      <c r="P2672" s="415">
        <v>0</v>
      </c>
      <c r="Q2672" s="481">
        <f t="shared" si="87"/>
        <v>0</v>
      </c>
    </row>
    <row r="2673" spans="1:17" x14ac:dyDescent="0.3">
      <c r="A2673" s="366" t="str">
        <f>IFERROR(VLOOKUP(RIGHT(E2673,3)+0,[1]SchLocTable!$A$2:$B$47,2,FALSE)," ")</f>
        <v xml:space="preserve"> </v>
      </c>
      <c r="B2673" s="366" t="str">
        <f>VLOOKUP(VALUE(D2673),$D$3:F$106,3,FALSE)</f>
        <v>Aquaculture</v>
      </c>
      <c r="C2673" t="s">
        <v>314</v>
      </c>
      <c r="D2673">
        <v>835</v>
      </c>
      <c r="E2673" t="s">
        <v>890</v>
      </c>
      <c r="F2673" t="s">
        <v>457</v>
      </c>
      <c r="G2673" t="s">
        <v>319</v>
      </c>
      <c r="H2673" s="502">
        <v>54580</v>
      </c>
      <c r="I2673" s="415">
        <v>12133.7708</v>
      </c>
      <c r="J2673" s="415">
        <v>11780.36</v>
      </c>
      <c r="K2673" s="415">
        <v>14656.04</v>
      </c>
      <c r="L2673" s="415">
        <v>8181.85</v>
      </c>
      <c r="M2673" s="415">
        <v>12741.75</v>
      </c>
      <c r="N2673" s="415">
        <v>32662.799999999999</v>
      </c>
      <c r="O2673" s="415">
        <v>8421.23</v>
      </c>
      <c r="P2673" s="415">
        <v>7505.49</v>
      </c>
      <c r="Q2673" s="481">
        <f t="shared" si="87"/>
        <v>-353.41079999999965</v>
      </c>
    </row>
    <row r="2674" spans="1:17" x14ac:dyDescent="0.3">
      <c r="A2674" s="366" t="str">
        <f>IFERROR(VLOOKUP(RIGHT(E2674,3)+0,[1]SchLocTable!$A$2:$B$47,2,FALSE)," ")</f>
        <v xml:space="preserve"> </v>
      </c>
      <c r="B2674" s="366" t="str">
        <f>VLOOKUP(VALUE(D2674),$D$3:F$106,3,FALSE)</f>
        <v>Aquaculture</v>
      </c>
      <c r="C2674" t="s">
        <v>314</v>
      </c>
      <c r="D2674">
        <v>835</v>
      </c>
      <c r="E2674" t="s">
        <v>890</v>
      </c>
      <c r="F2674" t="s">
        <v>483</v>
      </c>
      <c r="G2674" t="s">
        <v>319</v>
      </c>
      <c r="H2674" s="502">
        <v>51122</v>
      </c>
      <c r="I2674" s="415">
        <v>0</v>
      </c>
      <c r="J2674" s="415">
        <v>0</v>
      </c>
      <c r="K2674" s="415">
        <v>0</v>
      </c>
      <c r="L2674" s="415">
        <v>116.5</v>
      </c>
      <c r="M2674" s="415">
        <v>0</v>
      </c>
      <c r="N2674" s="415">
        <v>0</v>
      </c>
      <c r="O2674" s="415">
        <v>0</v>
      </c>
      <c r="P2674" s="415">
        <v>0</v>
      </c>
      <c r="Q2674" s="481">
        <f t="shared" si="87"/>
        <v>0</v>
      </c>
    </row>
    <row r="2675" spans="1:17" x14ac:dyDescent="0.3">
      <c r="A2675" s="366" t="str">
        <f>IFERROR(VLOOKUP(RIGHT(E2675,3)+0,[1]SchLocTable!$A$2:$B$47,2,FALSE)," ")</f>
        <v xml:space="preserve"> </v>
      </c>
      <c r="B2675" s="366" t="str">
        <f>VLOOKUP(VALUE(D2675),$D$3:F$106,3,FALSE)</f>
        <v>Aquaculture</v>
      </c>
      <c r="C2675" t="s">
        <v>314</v>
      </c>
      <c r="D2675">
        <v>835</v>
      </c>
      <c r="E2675" t="s">
        <v>890</v>
      </c>
      <c r="F2675" t="s">
        <v>324</v>
      </c>
      <c r="G2675" t="s">
        <v>319</v>
      </c>
      <c r="H2675" s="502">
        <v>52385</v>
      </c>
      <c r="I2675" s="415">
        <v>0</v>
      </c>
      <c r="J2675" s="415">
        <v>0</v>
      </c>
      <c r="K2675" s="415">
        <v>759.66</v>
      </c>
      <c r="L2675" s="415">
        <v>0</v>
      </c>
      <c r="M2675" s="415">
        <v>0</v>
      </c>
      <c r="N2675" s="415">
        <v>1426</v>
      </c>
      <c r="O2675" s="415">
        <v>0</v>
      </c>
      <c r="P2675" s="415">
        <v>0</v>
      </c>
      <c r="Q2675" s="481">
        <f t="shared" si="87"/>
        <v>0</v>
      </c>
    </row>
    <row r="2676" spans="1:17" x14ac:dyDescent="0.3">
      <c r="A2676" s="366" t="str">
        <f>IFERROR(VLOOKUP(RIGHT(E2676,3)+0,[1]SchLocTable!$A$2:$B$47,2,FALSE)," ")</f>
        <v xml:space="preserve"> </v>
      </c>
      <c r="B2676" s="366" t="str">
        <f>VLOOKUP(VALUE(D2676),$D$3:F$106,3,FALSE)</f>
        <v>Aquaculture</v>
      </c>
      <c r="C2676" t="s">
        <v>314</v>
      </c>
      <c r="D2676">
        <v>835</v>
      </c>
      <c r="E2676" t="s">
        <v>890</v>
      </c>
      <c r="F2676" t="s">
        <v>899</v>
      </c>
      <c r="G2676" t="s">
        <v>319</v>
      </c>
      <c r="H2676" s="502">
        <v>54705</v>
      </c>
      <c r="I2676" s="415">
        <v>1483.2</v>
      </c>
      <c r="J2676" s="415">
        <v>1440</v>
      </c>
      <c r="K2676" s="415">
        <v>0</v>
      </c>
      <c r="L2676" s="415">
        <v>0</v>
      </c>
      <c r="M2676" s="415">
        <v>0</v>
      </c>
      <c r="N2676" s="415">
        <v>0</v>
      </c>
      <c r="O2676" s="415">
        <v>0</v>
      </c>
      <c r="P2676" s="415">
        <v>0</v>
      </c>
      <c r="Q2676" s="481">
        <f t="shared" si="87"/>
        <v>-43.200000000000045</v>
      </c>
    </row>
    <row r="2677" spans="1:17" x14ac:dyDescent="0.3">
      <c r="A2677" s="366" t="str">
        <f>IFERROR(VLOOKUP(RIGHT(E2677,3)+0,[1]SchLocTable!$A$2:$B$47,2,FALSE)," ")</f>
        <v xml:space="preserve"> </v>
      </c>
      <c r="B2677" s="366" t="str">
        <f>VLOOKUP(VALUE(D2677),$D$3:F$106,3,FALSE)</f>
        <v>Aquaculture</v>
      </c>
      <c r="C2677" t="s">
        <v>314</v>
      </c>
      <c r="D2677">
        <v>835</v>
      </c>
      <c r="E2677" t="s">
        <v>890</v>
      </c>
      <c r="F2677" t="s">
        <v>469</v>
      </c>
      <c r="G2677" t="s">
        <v>319</v>
      </c>
      <c r="H2677" s="502">
        <v>54760</v>
      </c>
      <c r="I2677" s="415">
        <v>2539.5371</v>
      </c>
      <c r="J2677" s="415">
        <v>2465.5700000000002</v>
      </c>
      <c r="K2677" s="415">
        <v>2003.09</v>
      </c>
      <c r="L2677" s="415">
        <v>0</v>
      </c>
      <c r="M2677" s="415">
        <v>0</v>
      </c>
      <c r="N2677" s="415">
        <v>15601.54</v>
      </c>
      <c r="O2677" s="415">
        <v>6891.4</v>
      </c>
      <c r="P2677" s="415">
        <v>23978.68</v>
      </c>
      <c r="Q2677" s="481">
        <f t="shared" si="87"/>
        <v>-73.967099999999846</v>
      </c>
    </row>
    <row r="2678" spans="1:17" x14ac:dyDescent="0.3">
      <c r="A2678" s="366" t="str">
        <f>IFERROR(VLOOKUP(RIGHT(E2678,3)+0,[1]SchLocTable!$A$2:$B$47,2,FALSE)," ")</f>
        <v xml:space="preserve"> </v>
      </c>
      <c r="B2678" s="366" t="str">
        <f>VLOOKUP(VALUE(D2678),$D$3:F$106,3,FALSE)</f>
        <v>Aquaculture</v>
      </c>
      <c r="C2678" t="s">
        <v>314</v>
      </c>
      <c r="D2678">
        <v>835</v>
      </c>
      <c r="E2678" t="s">
        <v>890</v>
      </c>
      <c r="F2678" t="s">
        <v>900</v>
      </c>
      <c r="G2678" t="s">
        <v>319</v>
      </c>
      <c r="H2678" s="502">
        <v>55205</v>
      </c>
      <c r="I2678" s="415">
        <v>0</v>
      </c>
      <c r="J2678" s="415">
        <v>0</v>
      </c>
      <c r="K2678" s="415">
        <v>0</v>
      </c>
      <c r="L2678" s="415">
        <v>0</v>
      </c>
      <c r="M2678" s="415">
        <v>0</v>
      </c>
      <c r="N2678" s="415">
        <v>5112.25</v>
      </c>
      <c r="O2678" s="415">
        <v>14541.2</v>
      </c>
      <c r="P2678" s="415">
        <v>0</v>
      </c>
      <c r="Q2678" s="481">
        <f t="shared" si="87"/>
        <v>0</v>
      </c>
    </row>
    <row r="2679" spans="1:17" x14ac:dyDescent="0.3">
      <c r="A2679" s="366" t="str">
        <f>IFERROR(VLOOKUP(RIGHT(E2679,3)+0,[1]SchLocTable!$A$2:$B$47,2,FALSE)," ")</f>
        <v xml:space="preserve"> </v>
      </c>
      <c r="B2679" s="366" t="str">
        <f>VLOOKUP(VALUE(D2679),$D$3:F$106,3,FALSE)</f>
        <v>Aquaculture</v>
      </c>
      <c r="C2679" t="s">
        <v>314</v>
      </c>
      <c r="D2679">
        <v>835</v>
      </c>
      <c r="E2679" t="s">
        <v>890</v>
      </c>
      <c r="F2679" t="s">
        <v>465</v>
      </c>
      <c r="G2679" t="s">
        <v>319</v>
      </c>
      <c r="H2679" s="502">
        <v>56240</v>
      </c>
      <c r="I2679" s="415">
        <v>93426.226999999999</v>
      </c>
      <c r="J2679" s="415">
        <v>70423.58</v>
      </c>
      <c r="K2679" s="415">
        <v>84285</v>
      </c>
      <c r="L2679" s="415">
        <v>83200</v>
      </c>
      <c r="M2679" s="415">
        <v>79035</v>
      </c>
      <c r="N2679" s="415">
        <v>64935</v>
      </c>
      <c r="O2679" s="415">
        <v>59418.6</v>
      </c>
      <c r="P2679" s="415">
        <v>41505</v>
      </c>
      <c r="Q2679" s="481">
        <f t="shared" si="87"/>
        <v>-23002.646999999997</v>
      </c>
    </row>
    <row r="2680" spans="1:17" x14ac:dyDescent="0.3">
      <c r="A2680" s="366" t="str">
        <f>IFERROR(VLOOKUP(RIGHT(E2680,3)+0,[1]SchLocTable!$A$2:$B$47,2,FALSE)," ")</f>
        <v xml:space="preserve"> </v>
      </c>
      <c r="B2680" s="366" t="str">
        <f>VLOOKUP(VALUE(D2680),$D$3:F$106,3,FALSE)</f>
        <v>Aquaculture</v>
      </c>
      <c r="C2680" t="s">
        <v>314</v>
      </c>
      <c r="D2680">
        <v>835</v>
      </c>
      <c r="E2680" t="s">
        <v>890</v>
      </c>
      <c r="F2680" t="s">
        <v>560</v>
      </c>
      <c r="G2680" t="s">
        <v>319</v>
      </c>
      <c r="H2680" s="502">
        <v>51404</v>
      </c>
      <c r="I2680" s="415">
        <v>0</v>
      </c>
      <c r="J2680" s="415">
        <v>0</v>
      </c>
      <c r="K2680" s="415">
        <v>50</v>
      </c>
      <c r="L2680" s="415">
        <v>600</v>
      </c>
      <c r="M2680" s="415">
        <v>1551.2</v>
      </c>
      <c r="N2680" s="415">
        <v>0</v>
      </c>
      <c r="O2680" s="415">
        <v>0</v>
      </c>
      <c r="P2680" s="415">
        <v>0</v>
      </c>
      <c r="Q2680" s="481">
        <f t="shared" si="87"/>
        <v>0</v>
      </c>
    </row>
    <row r="2681" spans="1:17" x14ac:dyDescent="0.3">
      <c r="A2681" s="366" t="str">
        <f>IFERROR(VLOOKUP(RIGHT(E2681,3)+0,[1]SchLocTable!$A$2:$B$47,2,FALSE)," ")</f>
        <v xml:space="preserve"> </v>
      </c>
      <c r="B2681" s="366" t="str">
        <f>VLOOKUP(VALUE(D2681),$D$3:F$106,3,FALSE)</f>
        <v>Aquaculture</v>
      </c>
      <c r="C2681" t="s">
        <v>314</v>
      </c>
      <c r="D2681">
        <v>835</v>
      </c>
      <c r="E2681" t="s">
        <v>890</v>
      </c>
      <c r="F2681" t="s">
        <v>329</v>
      </c>
      <c r="G2681" t="s">
        <v>319</v>
      </c>
      <c r="H2681" s="502">
        <v>51154</v>
      </c>
      <c r="I2681" s="415">
        <v>0</v>
      </c>
      <c r="J2681" s="415">
        <v>0</v>
      </c>
      <c r="K2681" s="415">
        <v>0</v>
      </c>
      <c r="L2681" s="415">
        <v>0</v>
      </c>
      <c r="M2681" s="415">
        <v>11375</v>
      </c>
      <c r="N2681" s="415">
        <v>22000.78</v>
      </c>
      <c r="O2681" s="415">
        <v>0</v>
      </c>
      <c r="P2681" s="415">
        <v>0</v>
      </c>
      <c r="Q2681" s="481">
        <f t="shared" si="87"/>
        <v>0</v>
      </c>
    </row>
    <row r="2682" spans="1:17" x14ac:dyDescent="0.3">
      <c r="A2682" s="366" t="str">
        <f>IFERROR(VLOOKUP(RIGHT(E2682,3)+0,[1]SchLocTable!$A$2:$B$47,2,FALSE)," ")</f>
        <v>Aquaculture</v>
      </c>
      <c r="B2682" s="366" t="str">
        <f>VLOOKUP(VALUE(D2682),$D$3:F$106,3,FALSE)</f>
        <v>Aquaculture</v>
      </c>
      <c r="C2682" t="s">
        <v>314</v>
      </c>
      <c r="D2682">
        <v>835</v>
      </c>
      <c r="E2682" t="s">
        <v>902</v>
      </c>
      <c r="F2682" t="s">
        <v>316</v>
      </c>
      <c r="G2682">
        <v>1</v>
      </c>
      <c r="H2682" s="502">
        <v>51000</v>
      </c>
      <c r="I2682" s="415">
        <v>70842.108479999995</v>
      </c>
      <c r="J2682" s="415">
        <v>0</v>
      </c>
      <c r="K2682" s="415">
        <v>75430.399999999994</v>
      </c>
      <c r="L2682" s="415">
        <v>0</v>
      </c>
      <c r="M2682" s="415">
        <v>0</v>
      </c>
      <c r="N2682" s="415">
        <v>0</v>
      </c>
      <c r="O2682" s="415">
        <v>0</v>
      </c>
      <c r="P2682" s="415">
        <v>0</v>
      </c>
      <c r="Q2682" s="481">
        <f t="shared" si="87"/>
        <v>-70842.108479999995</v>
      </c>
    </row>
    <row r="2683" spans="1:17" x14ac:dyDescent="0.3">
      <c r="A2683" s="366" t="str">
        <f>IFERROR(VLOOKUP(RIGHT(E2683,3)+0,[1]SchLocTable!$A$2:$B$47,2,FALSE)," ")</f>
        <v>Aquaculture</v>
      </c>
      <c r="B2683" s="366" t="str">
        <f>VLOOKUP(VALUE(D2683),$D$3:F$106,3,FALSE)</f>
        <v>Aquaculture</v>
      </c>
      <c r="C2683" t="s">
        <v>314</v>
      </c>
      <c r="D2683">
        <v>835</v>
      </c>
      <c r="E2683" t="s">
        <v>902</v>
      </c>
      <c r="F2683" t="s">
        <v>334</v>
      </c>
      <c r="G2683" t="s">
        <v>319</v>
      </c>
      <c r="H2683" s="502">
        <v>51400</v>
      </c>
      <c r="I2683" s="415">
        <v>0</v>
      </c>
      <c r="J2683" s="415">
        <v>0</v>
      </c>
      <c r="K2683" s="415">
        <v>301.27999999999997</v>
      </c>
      <c r="L2683" s="415">
        <v>0</v>
      </c>
      <c r="M2683" s="415">
        <v>0</v>
      </c>
      <c r="N2683" s="415">
        <v>0</v>
      </c>
      <c r="O2683" s="415">
        <v>0</v>
      </c>
      <c r="P2683" s="415">
        <v>0</v>
      </c>
      <c r="Q2683" s="481">
        <f t="shared" si="87"/>
        <v>0</v>
      </c>
    </row>
    <row r="2684" spans="1:17" x14ac:dyDescent="0.3">
      <c r="A2684" s="366" t="str">
        <f>IFERROR(VLOOKUP(RIGHT(E2684,3)+0,[1]SchLocTable!$A$2:$B$47,2,FALSE)," ")</f>
        <v>Aquaculture</v>
      </c>
      <c r="B2684" s="366" t="str">
        <f>VLOOKUP(VALUE(D2684),$D$3:F$106,3,FALSE)</f>
        <v>Aquaculture</v>
      </c>
      <c r="C2684" t="s">
        <v>314</v>
      </c>
      <c r="D2684">
        <v>835</v>
      </c>
      <c r="E2684" t="s">
        <v>902</v>
      </c>
      <c r="F2684" t="s">
        <v>321</v>
      </c>
      <c r="G2684" t="s">
        <v>319</v>
      </c>
      <c r="H2684" s="502">
        <v>52917</v>
      </c>
      <c r="I2684" s="415">
        <v>15644.663999999999</v>
      </c>
      <c r="J2684" s="415">
        <v>0</v>
      </c>
      <c r="K2684" s="415">
        <v>0</v>
      </c>
      <c r="L2684" s="415">
        <v>0</v>
      </c>
      <c r="M2684" s="415">
        <v>0</v>
      </c>
      <c r="N2684" s="415">
        <v>0</v>
      </c>
      <c r="O2684" s="415">
        <v>0</v>
      </c>
      <c r="P2684" s="415">
        <v>0</v>
      </c>
      <c r="Q2684" s="481">
        <f t="shared" si="87"/>
        <v>-15644.663999999999</v>
      </c>
    </row>
    <row r="2685" spans="1:17" x14ac:dyDescent="0.3">
      <c r="A2685" s="366" t="str">
        <f>IFERROR(VLOOKUP(RIGHT(E2685,3)+0,[1]SchLocTable!$A$2:$B$47,2,FALSE)," ")</f>
        <v>Aquaculture</v>
      </c>
      <c r="B2685" s="366" t="str">
        <f>VLOOKUP(VALUE(D2685),$D$3:F$106,3,FALSE)</f>
        <v>Aquaculture</v>
      </c>
      <c r="C2685" t="s">
        <v>314</v>
      </c>
      <c r="D2685">
        <v>835</v>
      </c>
      <c r="E2685" t="s">
        <v>902</v>
      </c>
      <c r="F2685" t="s">
        <v>320</v>
      </c>
      <c r="G2685" t="s">
        <v>319</v>
      </c>
      <c r="H2685" s="502">
        <v>52360</v>
      </c>
      <c r="I2685" s="415">
        <v>1027.21057296</v>
      </c>
      <c r="J2685" s="415">
        <v>0</v>
      </c>
      <c r="K2685" s="415">
        <v>1098.0899999999999</v>
      </c>
      <c r="L2685" s="415">
        <v>0</v>
      </c>
      <c r="M2685" s="415">
        <v>0</v>
      </c>
      <c r="N2685" s="415">
        <v>0</v>
      </c>
      <c r="O2685" s="415">
        <v>0</v>
      </c>
      <c r="P2685" s="415">
        <v>0</v>
      </c>
      <c r="Q2685" s="481">
        <f t="shared" si="87"/>
        <v>-1027.21057296</v>
      </c>
    </row>
    <row r="2686" spans="1:17" x14ac:dyDescent="0.3">
      <c r="A2686" s="366" t="str">
        <f>IFERROR(VLOOKUP(RIGHT(E2686,3)+0,[1]SchLocTable!$A$2:$B$47,2,FALSE)," ")</f>
        <v xml:space="preserve"> </v>
      </c>
      <c r="B2686" s="366" t="str">
        <f>VLOOKUP(VALUE(D2686),$D$3:F$106,3,FALSE)</f>
        <v>Aquaculture Support Staff</v>
      </c>
      <c r="C2686" t="s">
        <v>314</v>
      </c>
      <c r="D2686">
        <v>836</v>
      </c>
      <c r="E2686" t="s">
        <v>903</v>
      </c>
      <c r="F2686" t="s">
        <v>316</v>
      </c>
      <c r="G2686">
        <v>5</v>
      </c>
      <c r="H2686" s="502">
        <v>51000</v>
      </c>
      <c r="I2686" s="415">
        <v>285085.44691199996</v>
      </c>
      <c r="J2686" s="415">
        <v>253776</v>
      </c>
      <c r="K2686" s="415">
        <v>257179.68</v>
      </c>
      <c r="L2686" s="415">
        <v>249077.35</v>
      </c>
      <c r="M2686" s="415">
        <v>243892.94</v>
      </c>
      <c r="N2686" s="415">
        <v>231172.22</v>
      </c>
      <c r="O2686" s="415">
        <v>243860.75</v>
      </c>
      <c r="P2686" s="415">
        <v>230318.89</v>
      </c>
      <c r="Q2686" s="481">
        <f t="shared" si="87"/>
        <v>-31309.446911999956</v>
      </c>
    </row>
    <row r="2687" spans="1:17" x14ac:dyDescent="0.3">
      <c r="A2687" s="366" t="str">
        <f>IFERROR(VLOOKUP(RIGHT(E2687,3)+0,[1]SchLocTable!$A$2:$B$47,2,FALSE)," ")</f>
        <v xml:space="preserve"> </v>
      </c>
      <c r="B2687" s="366" t="str">
        <f>VLOOKUP(VALUE(D2687),$D$3:F$106,3,FALSE)</f>
        <v>Aquaculture Support Staff</v>
      </c>
      <c r="C2687" t="s">
        <v>314</v>
      </c>
      <c r="D2687">
        <v>836</v>
      </c>
      <c r="E2687" t="s">
        <v>903</v>
      </c>
      <c r="F2687" t="s">
        <v>334</v>
      </c>
      <c r="G2687">
        <v>4</v>
      </c>
      <c r="H2687" s="502">
        <v>51400</v>
      </c>
      <c r="I2687" s="415">
        <v>0</v>
      </c>
      <c r="J2687" s="415">
        <v>3941.59</v>
      </c>
      <c r="K2687" s="415">
        <v>2171.66</v>
      </c>
      <c r="L2687" s="415">
        <v>1060.96</v>
      </c>
      <c r="M2687" s="415">
        <v>1533.35</v>
      </c>
      <c r="N2687" s="415">
        <v>3753.9</v>
      </c>
      <c r="O2687" s="415">
        <v>1472</v>
      </c>
      <c r="P2687" s="415">
        <v>2476.8000000000002</v>
      </c>
      <c r="Q2687" s="481">
        <f t="shared" ref="Q2687:Q2750" si="88">J2687-I2687</f>
        <v>3941.59</v>
      </c>
    </row>
    <row r="2688" spans="1:17" x14ac:dyDescent="0.3">
      <c r="A2688" s="366" t="str">
        <f>IFERROR(VLOOKUP(RIGHT(E2688,3)+0,[1]SchLocTable!$A$2:$B$47,2,FALSE)," ")</f>
        <v xml:space="preserve"> </v>
      </c>
      <c r="B2688" s="366" t="str">
        <f>VLOOKUP(VALUE(D2688),$D$3:F$106,3,FALSE)</f>
        <v>Aquaculture Support Staff</v>
      </c>
      <c r="C2688" t="s">
        <v>314</v>
      </c>
      <c r="D2688">
        <v>836</v>
      </c>
      <c r="E2688" t="s">
        <v>903</v>
      </c>
      <c r="F2688" t="s">
        <v>360</v>
      </c>
      <c r="G2688" t="s">
        <v>319</v>
      </c>
      <c r="H2688" s="502">
        <v>52920</v>
      </c>
      <c r="I2688" s="415">
        <v>1000</v>
      </c>
      <c r="J2688" s="415">
        <v>1000</v>
      </c>
      <c r="K2688" s="415">
        <v>1000</v>
      </c>
      <c r="L2688" s="415">
        <v>1000</v>
      </c>
      <c r="M2688" s="415">
        <v>1000</v>
      </c>
      <c r="N2688" s="415">
        <v>1083.3399999999999</v>
      </c>
      <c r="O2688" s="415">
        <v>1000</v>
      </c>
      <c r="P2688" s="415">
        <v>1000</v>
      </c>
      <c r="Q2688" s="481">
        <f t="shared" si="88"/>
        <v>0</v>
      </c>
    </row>
    <row r="2689" spans="1:17" x14ac:dyDescent="0.3">
      <c r="A2689" s="366" t="str">
        <f>IFERROR(VLOOKUP(RIGHT(E2689,3)+0,[1]SchLocTable!$A$2:$B$47,2,FALSE)," ")</f>
        <v xml:space="preserve"> </v>
      </c>
      <c r="B2689" s="366" t="str">
        <f>VLOOKUP(VALUE(D2689),$D$3:F$106,3,FALSE)</f>
        <v>Aquaculture Support Staff</v>
      </c>
      <c r="C2689" t="s">
        <v>314</v>
      </c>
      <c r="D2689">
        <v>836</v>
      </c>
      <c r="E2689" t="s">
        <v>903</v>
      </c>
      <c r="F2689" t="s">
        <v>321</v>
      </c>
      <c r="G2689" t="s">
        <v>319</v>
      </c>
      <c r="H2689" s="502">
        <v>52917</v>
      </c>
      <c r="I2689" s="415">
        <v>30262.464</v>
      </c>
      <c r="J2689" s="415">
        <v>25266.48</v>
      </c>
      <c r="K2689" s="415">
        <v>35801.07</v>
      </c>
      <c r="L2689" s="415">
        <v>34936.239999999998</v>
      </c>
      <c r="M2689" s="415">
        <v>34847.89</v>
      </c>
      <c r="N2689" s="415">
        <v>19199.97</v>
      </c>
      <c r="O2689" s="415">
        <v>37395.69</v>
      </c>
      <c r="P2689" s="415">
        <v>32915.410000000003</v>
      </c>
      <c r="Q2689" s="481">
        <f t="shared" si="88"/>
        <v>-4995.9840000000004</v>
      </c>
    </row>
    <row r="2690" spans="1:17" x14ac:dyDescent="0.3">
      <c r="A2690" s="366" t="str">
        <f>IFERROR(VLOOKUP(RIGHT(E2690,3)+0,[1]SchLocTable!$A$2:$B$47,2,FALSE)," ")</f>
        <v xml:space="preserve"> </v>
      </c>
      <c r="B2690" s="366" t="str">
        <f>VLOOKUP(VALUE(D2690),$D$3:F$106,3,FALSE)</f>
        <v>Aquaculture Support Staff</v>
      </c>
      <c r="C2690" t="s">
        <v>314</v>
      </c>
      <c r="D2690">
        <v>836</v>
      </c>
      <c r="E2690" t="s">
        <v>903</v>
      </c>
      <c r="F2690" t="s">
        <v>318</v>
      </c>
      <c r="G2690" t="s">
        <v>319</v>
      </c>
      <c r="H2690" s="502">
        <v>51140</v>
      </c>
      <c r="I2690" s="415">
        <v>2045</v>
      </c>
      <c r="J2690" s="415">
        <v>1275</v>
      </c>
      <c r="K2690" s="415">
        <v>1900</v>
      </c>
      <c r="L2690" s="415">
        <v>1125</v>
      </c>
      <c r="M2690" s="415">
        <v>1050</v>
      </c>
      <c r="N2690" s="415">
        <v>1966.67</v>
      </c>
      <c r="O2690" s="415">
        <v>3909.97</v>
      </c>
      <c r="P2690" s="415">
        <v>2855</v>
      </c>
      <c r="Q2690" s="481">
        <f t="shared" si="88"/>
        <v>-770</v>
      </c>
    </row>
    <row r="2691" spans="1:17" x14ac:dyDescent="0.3">
      <c r="A2691" s="366" t="str">
        <f>IFERROR(VLOOKUP(RIGHT(E2691,3)+0,[1]SchLocTable!$A$2:$B$47,2,FALSE)," ")</f>
        <v xml:space="preserve"> </v>
      </c>
      <c r="B2691" s="366" t="str">
        <f>VLOOKUP(VALUE(D2691),$D$3:F$106,3,FALSE)</f>
        <v>Aquaculture Support Staff</v>
      </c>
      <c r="C2691" t="s">
        <v>314</v>
      </c>
      <c r="D2691">
        <v>836</v>
      </c>
      <c r="E2691" t="s">
        <v>903</v>
      </c>
      <c r="F2691" t="s">
        <v>320</v>
      </c>
      <c r="G2691" t="s">
        <v>319</v>
      </c>
      <c r="H2691" s="502">
        <v>52360</v>
      </c>
      <c r="I2691" s="415">
        <v>4237.1867014240006</v>
      </c>
      <c r="J2691" s="415">
        <v>3432</v>
      </c>
      <c r="K2691" s="415">
        <v>3710.23</v>
      </c>
      <c r="L2691" s="415">
        <v>3569.15</v>
      </c>
      <c r="M2691" s="415">
        <v>3605.59</v>
      </c>
      <c r="N2691" s="415">
        <v>3640.49</v>
      </c>
      <c r="O2691" s="415">
        <v>3816.8</v>
      </c>
      <c r="P2691" s="415">
        <v>3396.72</v>
      </c>
      <c r="Q2691" s="481">
        <f t="shared" si="88"/>
        <v>-805.1867014240006</v>
      </c>
    </row>
    <row r="2692" spans="1:17" x14ac:dyDescent="0.3">
      <c r="A2692" s="366" t="str">
        <f>IFERROR(VLOOKUP(RIGHT(E2692,3)+0,[1]SchLocTable!$A$2:$B$47,2,FALSE)," ")</f>
        <v xml:space="preserve"> </v>
      </c>
      <c r="B2692" s="366" t="str">
        <f>VLOOKUP(VALUE(D2692),$D$3:F$106,3,FALSE)</f>
        <v>Aquaculture Support Staff</v>
      </c>
      <c r="C2692" t="s">
        <v>314</v>
      </c>
      <c r="D2692">
        <v>836</v>
      </c>
      <c r="E2692" t="s">
        <v>903</v>
      </c>
      <c r="F2692" t="s">
        <v>392</v>
      </c>
      <c r="G2692" t="s">
        <v>319</v>
      </c>
      <c r="H2692" s="502">
        <v>52504</v>
      </c>
      <c r="I2692" s="415">
        <v>58060.9660901936</v>
      </c>
      <c r="J2692" s="415">
        <v>53161</v>
      </c>
      <c r="K2692" s="415">
        <v>54241.94</v>
      </c>
      <c r="L2692" s="415">
        <v>52548.39</v>
      </c>
      <c r="M2692" s="415">
        <v>55654.7</v>
      </c>
      <c r="N2692" s="415">
        <v>41256.93</v>
      </c>
      <c r="O2692" s="415">
        <v>40740.06</v>
      </c>
      <c r="P2692" s="415">
        <v>33243.03</v>
      </c>
      <c r="Q2692" s="481">
        <f t="shared" si="88"/>
        <v>-4899.9660901936004</v>
      </c>
    </row>
    <row r="2693" spans="1:17" x14ac:dyDescent="0.3">
      <c r="A2693" s="366" t="str">
        <f>IFERROR(VLOOKUP(RIGHT(E2693,3)+0,[1]SchLocTable!$A$2:$B$47,2,FALSE)," ")</f>
        <v xml:space="preserve"> </v>
      </c>
      <c r="B2693" s="366" t="str">
        <f>VLOOKUP(VALUE(D2693),$D$3:F$106,3,FALSE)</f>
        <v>Aquaculture Support Staff</v>
      </c>
      <c r="C2693" t="s">
        <v>314</v>
      </c>
      <c r="D2693">
        <v>836</v>
      </c>
      <c r="E2693" t="s">
        <v>903</v>
      </c>
      <c r="F2693" t="s">
        <v>317</v>
      </c>
      <c r="G2693">
        <v>3</v>
      </c>
      <c r="H2693" s="502">
        <v>51100</v>
      </c>
      <c r="I2693" s="415">
        <v>2639.8709999999996</v>
      </c>
      <c r="J2693" s="415">
        <v>269.77</v>
      </c>
      <c r="K2693" s="415">
        <v>1179.07</v>
      </c>
      <c r="L2693" s="415">
        <v>1318.65</v>
      </c>
      <c r="M2693" s="415">
        <v>785.74</v>
      </c>
      <c r="N2693" s="415">
        <v>1115.3599999999999</v>
      </c>
      <c r="O2693" s="415">
        <v>1957.5</v>
      </c>
      <c r="P2693" s="415">
        <v>6030</v>
      </c>
      <c r="Q2693" s="481">
        <f t="shared" si="88"/>
        <v>-2370.1009999999997</v>
      </c>
    </row>
    <row r="2694" spans="1:17" x14ac:dyDescent="0.3">
      <c r="A2694" s="366" t="str">
        <f>IFERROR(VLOOKUP(RIGHT(E2694,3)+0,[1]SchLocTable!$A$2:$B$47,2,FALSE)," ")</f>
        <v xml:space="preserve"> </v>
      </c>
      <c r="B2694" s="366" t="str">
        <f>VLOOKUP(VALUE(D2694),$D$3:F$106,3,FALSE)</f>
        <v>Aquaculture Support Staff</v>
      </c>
      <c r="C2694" t="s">
        <v>314</v>
      </c>
      <c r="D2694">
        <v>836</v>
      </c>
      <c r="E2694" t="s">
        <v>903</v>
      </c>
      <c r="F2694" t="s">
        <v>452</v>
      </c>
      <c r="G2694" t="s">
        <v>319</v>
      </c>
      <c r="H2694" s="502">
        <v>51108</v>
      </c>
      <c r="I2694" s="415">
        <v>0</v>
      </c>
      <c r="J2694" s="415">
        <v>7431.01</v>
      </c>
      <c r="K2694" s="415">
        <v>2117.08</v>
      </c>
      <c r="L2694" s="415">
        <v>3215.49</v>
      </c>
      <c r="M2694" s="415">
        <v>13675.51</v>
      </c>
      <c r="N2694" s="415">
        <v>8089.19</v>
      </c>
      <c r="O2694" s="415">
        <v>0</v>
      </c>
      <c r="P2694" s="415">
        <v>0</v>
      </c>
      <c r="Q2694" s="481">
        <f t="shared" si="88"/>
        <v>7431.01</v>
      </c>
    </row>
    <row r="2695" spans="1:17" x14ac:dyDescent="0.3">
      <c r="A2695" s="366" t="str">
        <f>IFERROR(VLOOKUP(RIGHT(E2695,3)+0,[1]SchLocTable!$A$2:$B$47,2,FALSE)," ")</f>
        <v xml:space="preserve"> </v>
      </c>
      <c r="B2695" s="366" t="str">
        <f>VLOOKUP(VALUE(D2695),$D$3:F$106,3,FALSE)</f>
        <v>Aquaculture Support Staff</v>
      </c>
      <c r="C2695" t="s">
        <v>314</v>
      </c>
      <c r="D2695">
        <v>836</v>
      </c>
      <c r="E2695" t="s">
        <v>903</v>
      </c>
      <c r="F2695" t="s">
        <v>427</v>
      </c>
      <c r="G2695" t="s">
        <v>319</v>
      </c>
      <c r="H2695" s="502">
        <v>51106</v>
      </c>
      <c r="I2695" s="415">
        <v>3494.4546</v>
      </c>
      <c r="J2695" s="415">
        <v>198</v>
      </c>
      <c r="K2695" s="415">
        <v>6706.66</v>
      </c>
      <c r="L2695" s="415">
        <v>4771.3500000000004</v>
      </c>
      <c r="M2695" s="415">
        <v>198</v>
      </c>
      <c r="N2695" s="415">
        <v>101.43</v>
      </c>
      <c r="O2695" s="415">
        <v>57.96</v>
      </c>
      <c r="P2695" s="415">
        <v>0</v>
      </c>
      <c r="Q2695" s="481">
        <f t="shared" si="88"/>
        <v>-3296.4546</v>
      </c>
    </row>
    <row r="2696" spans="1:17" x14ac:dyDescent="0.3">
      <c r="A2696" s="366" t="str">
        <f>IFERROR(VLOOKUP(RIGHT(E2696,3)+0,[1]SchLocTable!$A$2:$B$47,2,FALSE)," ")</f>
        <v xml:space="preserve"> </v>
      </c>
      <c r="B2696" s="366" t="str">
        <f>VLOOKUP(VALUE(D2696),$D$3:F$106,3,FALSE)</f>
        <v>Aquaculture Support Staff</v>
      </c>
      <c r="C2696" t="s">
        <v>314</v>
      </c>
      <c r="D2696">
        <v>836</v>
      </c>
      <c r="E2696" t="s">
        <v>903</v>
      </c>
      <c r="F2696" t="s">
        <v>324</v>
      </c>
      <c r="G2696" t="s">
        <v>319</v>
      </c>
      <c r="H2696" s="502">
        <v>52385</v>
      </c>
      <c r="I2696" s="415">
        <v>630.66275999999993</v>
      </c>
      <c r="J2696" s="415">
        <v>57.55</v>
      </c>
      <c r="K2696" s="415">
        <v>125.72</v>
      </c>
      <c r="L2696" s="415">
        <v>142.46</v>
      </c>
      <c r="M2696" s="415">
        <v>263.81</v>
      </c>
      <c r="N2696" s="415">
        <v>1596.76</v>
      </c>
      <c r="O2696" s="415">
        <v>175.69</v>
      </c>
      <c r="P2696" s="415">
        <v>153.56</v>
      </c>
      <c r="Q2696" s="481">
        <f t="shared" si="88"/>
        <v>-573.11275999999998</v>
      </c>
    </row>
    <row r="2697" spans="1:17" x14ac:dyDescent="0.3">
      <c r="A2697" s="366" t="str">
        <f>IFERROR(VLOOKUP(RIGHT(E2697,3)+0,[1]SchLocTable!$A$2:$B$47,2,FALSE)," ")</f>
        <v xml:space="preserve"> </v>
      </c>
      <c r="B2697" s="366" t="str">
        <f>VLOOKUP(VALUE(D2697),$D$3:F$106,3,FALSE)</f>
        <v>Agriculture</v>
      </c>
      <c r="C2697" t="s">
        <v>314</v>
      </c>
      <c r="D2697">
        <v>837</v>
      </c>
      <c r="E2697" t="s">
        <v>904</v>
      </c>
      <c r="F2697" t="s">
        <v>808</v>
      </c>
      <c r="G2697" t="s">
        <v>319</v>
      </c>
      <c r="H2697" s="502">
        <v>55540</v>
      </c>
      <c r="I2697" s="415">
        <v>390220.65</v>
      </c>
      <c r="J2697" s="415">
        <v>378855</v>
      </c>
      <c r="K2697" s="415">
        <v>174122.96</v>
      </c>
      <c r="L2697" s="415">
        <v>310918.09999999998</v>
      </c>
      <c r="M2697" s="415">
        <v>300701.96999999997</v>
      </c>
      <c r="N2697" s="415">
        <v>307035</v>
      </c>
      <c r="O2697" s="415">
        <v>300212</v>
      </c>
      <c r="P2697" s="415">
        <v>0</v>
      </c>
      <c r="Q2697" s="481">
        <f t="shared" si="88"/>
        <v>-11365.650000000023</v>
      </c>
    </row>
    <row r="2698" spans="1:17" x14ac:dyDescent="0.3">
      <c r="A2698" s="366" t="str">
        <f>IFERROR(VLOOKUP(RIGHT(E2698,3)+0,[1]SchLocTable!$A$2:$B$47,2,FALSE)," ")</f>
        <v xml:space="preserve"> </v>
      </c>
      <c r="B2698" s="366" t="str">
        <f>VLOOKUP(VALUE(D2698),$D$3:F$106,3,FALSE)</f>
        <v>Agriculture</v>
      </c>
      <c r="C2698" t="s">
        <v>314</v>
      </c>
      <c r="D2698">
        <v>837</v>
      </c>
      <c r="E2698" t="s">
        <v>904</v>
      </c>
      <c r="F2698" t="s">
        <v>465</v>
      </c>
      <c r="G2698" t="s">
        <v>319</v>
      </c>
      <c r="H2698" s="502">
        <v>56240</v>
      </c>
      <c r="I2698" s="415">
        <v>180409.79520000002</v>
      </c>
      <c r="J2698" s="415">
        <v>135000</v>
      </c>
      <c r="K2698" s="415">
        <v>162748.79999999999</v>
      </c>
      <c r="L2698" s="415">
        <v>154123.20000000001</v>
      </c>
      <c r="M2698" s="415">
        <v>151200</v>
      </c>
      <c r="N2698" s="415">
        <v>141816.16</v>
      </c>
      <c r="O2698" s="415">
        <v>0</v>
      </c>
      <c r="P2698" s="415">
        <v>0</v>
      </c>
      <c r="Q2698" s="481">
        <f t="shared" si="88"/>
        <v>-45409.795200000022</v>
      </c>
    </row>
    <row r="2699" spans="1:17" x14ac:dyDescent="0.3">
      <c r="A2699" s="366" t="str">
        <f>IFERROR(VLOOKUP(RIGHT(E2699,3)+0,[1]SchLocTable!$A$2:$B$47,2,FALSE)," ")</f>
        <v xml:space="preserve"> </v>
      </c>
      <c r="B2699" s="366" t="str">
        <f>VLOOKUP(VALUE(D2699),$D$3:F$106,3,FALSE)</f>
        <v>Magnet High School</v>
      </c>
      <c r="C2699" t="s">
        <v>314</v>
      </c>
      <c r="D2699">
        <v>838</v>
      </c>
      <c r="E2699" t="s">
        <v>905</v>
      </c>
      <c r="F2699" t="s">
        <v>808</v>
      </c>
      <c r="G2699" t="s">
        <v>319</v>
      </c>
      <c r="H2699" s="502">
        <v>55540</v>
      </c>
      <c r="I2699" s="415">
        <v>-654050</v>
      </c>
      <c r="J2699" s="415">
        <v>0</v>
      </c>
      <c r="K2699" s="415">
        <v>-873460</v>
      </c>
      <c r="L2699" s="415">
        <v>-756012.86</v>
      </c>
      <c r="M2699" s="415">
        <v>0</v>
      </c>
      <c r="N2699" s="415">
        <v>0</v>
      </c>
      <c r="O2699" s="415">
        <v>0</v>
      </c>
      <c r="P2699" s="415">
        <v>0</v>
      </c>
      <c r="Q2699" s="481">
        <f t="shared" si="88"/>
        <v>654050</v>
      </c>
    </row>
    <row r="2700" spans="1:17" x14ac:dyDescent="0.3">
      <c r="A2700" s="366" t="str">
        <f>IFERROR(VLOOKUP(RIGHT(E2700,3)+0,[1]SchLocTable!$A$2:$B$47,2,FALSE)," ")</f>
        <v xml:space="preserve"> </v>
      </c>
      <c r="B2700" s="366" t="str">
        <f>VLOOKUP(VALUE(D2700),$D$3:F$106,3,FALSE)</f>
        <v>Discovery Magnet</v>
      </c>
      <c r="C2700" t="s">
        <v>314</v>
      </c>
      <c r="D2700">
        <v>839</v>
      </c>
      <c r="E2700" t="s">
        <v>906</v>
      </c>
      <c r="F2700" t="s">
        <v>316</v>
      </c>
      <c r="G2700">
        <v>4</v>
      </c>
      <c r="H2700" s="502">
        <v>51000</v>
      </c>
      <c r="I2700" s="415">
        <v>110428.46490000001</v>
      </c>
      <c r="J2700" s="415">
        <v>379182</v>
      </c>
      <c r="K2700" s="415">
        <v>205516.14</v>
      </c>
      <c r="L2700" s="415">
        <v>322846.55</v>
      </c>
      <c r="M2700" s="415">
        <v>113298.88</v>
      </c>
      <c r="N2700" s="415">
        <v>227057.17</v>
      </c>
      <c r="O2700" s="415">
        <v>168699</v>
      </c>
      <c r="P2700" s="415">
        <v>297492.01</v>
      </c>
      <c r="Q2700" s="481">
        <f t="shared" si="88"/>
        <v>268753.53509999998</v>
      </c>
    </row>
    <row r="2701" spans="1:17" x14ac:dyDescent="0.3">
      <c r="A2701" s="366" t="str">
        <f>IFERROR(VLOOKUP(RIGHT(E2701,3)+0,[1]SchLocTable!$A$2:$B$47,2,FALSE)," ")</f>
        <v xml:space="preserve"> </v>
      </c>
      <c r="B2701" s="366" t="str">
        <f>VLOOKUP(VALUE(D2701),$D$3:F$106,3,FALSE)</f>
        <v>Discovery Magnet</v>
      </c>
      <c r="C2701" t="s">
        <v>314</v>
      </c>
      <c r="D2701">
        <v>839</v>
      </c>
      <c r="E2701" t="s">
        <v>906</v>
      </c>
      <c r="F2701" t="s">
        <v>321</v>
      </c>
      <c r="G2701" t="s">
        <v>319</v>
      </c>
      <c r="H2701" s="502">
        <v>52917</v>
      </c>
      <c r="I2701" s="415">
        <v>46330.955999999998</v>
      </c>
      <c r="J2701" s="415">
        <v>103218.78</v>
      </c>
      <c r="K2701" s="415">
        <v>70151.759999999995</v>
      </c>
      <c r="L2701" s="415">
        <v>82505.37</v>
      </c>
      <c r="M2701" s="415">
        <v>80403.490000000005</v>
      </c>
      <c r="N2701" s="415">
        <v>98413.92</v>
      </c>
      <c r="O2701" s="415">
        <v>77103.42</v>
      </c>
      <c r="P2701" s="415">
        <v>73785.679999999993</v>
      </c>
      <c r="Q2701" s="481">
        <f t="shared" si="88"/>
        <v>56887.824000000001</v>
      </c>
    </row>
    <row r="2702" spans="1:17" x14ac:dyDescent="0.3">
      <c r="A2702" s="366" t="str">
        <f>IFERROR(VLOOKUP(RIGHT(E2702,3)+0,[1]SchLocTable!$A$2:$B$47,2,FALSE)," ")</f>
        <v xml:space="preserve"> </v>
      </c>
      <c r="B2702" s="366" t="str">
        <f>VLOOKUP(VALUE(D2702),$D$3:F$106,3,FALSE)</f>
        <v>Discovery Magnet</v>
      </c>
      <c r="C2702" t="s">
        <v>314</v>
      </c>
      <c r="D2702">
        <v>839</v>
      </c>
      <c r="E2702" t="s">
        <v>906</v>
      </c>
      <c r="F2702" t="s">
        <v>318</v>
      </c>
      <c r="G2702" t="s">
        <v>319</v>
      </c>
      <c r="H2702" s="502">
        <v>51140</v>
      </c>
      <c r="I2702" s="415">
        <v>3100</v>
      </c>
      <c r="J2702" s="415">
        <v>0</v>
      </c>
      <c r="K2702" s="415">
        <v>2700</v>
      </c>
      <c r="L2702" s="415">
        <v>2700</v>
      </c>
      <c r="M2702" s="415">
        <v>3600</v>
      </c>
      <c r="N2702" s="415">
        <v>2700</v>
      </c>
      <c r="O2702" s="415">
        <v>900</v>
      </c>
      <c r="P2702" s="415">
        <v>1800</v>
      </c>
      <c r="Q2702" s="481">
        <f t="shared" si="88"/>
        <v>-3100</v>
      </c>
    </row>
    <row r="2703" spans="1:17" x14ac:dyDescent="0.3">
      <c r="A2703" s="366" t="str">
        <f>IFERROR(VLOOKUP(RIGHT(E2703,3)+0,[1]SchLocTable!$A$2:$B$47,2,FALSE)," ")</f>
        <v xml:space="preserve"> </v>
      </c>
      <c r="B2703" s="366" t="str">
        <f>VLOOKUP(VALUE(D2703),$D$3:F$106,3,FALSE)</f>
        <v>Discovery Magnet</v>
      </c>
      <c r="C2703" t="s">
        <v>314</v>
      </c>
      <c r="D2703">
        <v>839</v>
      </c>
      <c r="E2703" t="s">
        <v>906</v>
      </c>
      <c r="F2703" t="s">
        <v>320</v>
      </c>
      <c r="G2703" t="s">
        <v>319</v>
      </c>
      <c r="H2703" s="502">
        <v>52360</v>
      </c>
      <c r="I2703" s="415">
        <v>1601.2127410500002</v>
      </c>
      <c r="J2703" s="415">
        <v>4983</v>
      </c>
      <c r="K2703" s="415">
        <v>2618.83</v>
      </c>
      <c r="L2703" s="415">
        <v>4323.8100000000004</v>
      </c>
      <c r="M2703" s="415">
        <v>3450.89</v>
      </c>
      <c r="N2703" s="415">
        <v>5122.47</v>
      </c>
      <c r="O2703" s="415">
        <v>3703.34</v>
      </c>
      <c r="P2703" s="415">
        <v>4106.71</v>
      </c>
      <c r="Q2703" s="481">
        <f t="shared" si="88"/>
        <v>3381.7872589499998</v>
      </c>
    </row>
    <row r="2704" spans="1:17" x14ac:dyDescent="0.3">
      <c r="A2704" s="366" t="str">
        <f>IFERROR(VLOOKUP(RIGHT(E2704,3)+0,[1]SchLocTable!$A$2:$B$47,2,FALSE)," ")</f>
        <v xml:space="preserve"> </v>
      </c>
      <c r="B2704" s="366" t="str">
        <f>VLOOKUP(VALUE(D2704),$D$3:F$106,3,FALSE)</f>
        <v>"6 to 6" Magnet School</v>
      </c>
      <c r="C2704" t="s">
        <v>314</v>
      </c>
      <c r="D2704">
        <v>840</v>
      </c>
      <c r="E2704" t="s">
        <v>907</v>
      </c>
      <c r="F2704" t="s">
        <v>808</v>
      </c>
      <c r="G2704" t="s">
        <v>319</v>
      </c>
      <c r="H2704" s="502">
        <v>55540</v>
      </c>
      <c r="I2704" s="415">
        <v>985092</v>
      </c>
      <c r="J2704" s="415">
        <v>956400</v>
      </c>
      <c r="K2704" s="415">
        <v>651463.96</v>
      </c>
      <c r="L2704" s="415">
        <v>1218017.77</v>
      </c>
      <c r="M2704" s="415">
        <v>1153788.9099999999</v>
      </c>
      <c r="N2704" s="415">
        <v>1172520.77</v>
      </c>
      <c r="O2704" s="415">
        <v>1157852.57</v>
      </c>
      <c r="P2704" s="415">
        <v>1211302.76</v>
      </c>
      <c r="Q2704" s="481">
        <f t="shared" si="88"/>
        <v>-28692</v>
      </c>
    </row>
    <row r="2705" spans="1:17" x14ac:dyDescent="0.3">
      <c r="A2705" s="366" t="str">
        <f>IFERROR(VLOOKUP(RIGHT(E2705,3)+0,[1]SchLocTable!$A$2:$B$47,2,FALSE)," ")</f>
        <v xml:space="preserve"> </v>
      </c>
      <c r="B2705" s="366" t="str">
        <f>VLOOKUP(VALUE(D2705),$D$3:F$106,3,FALSE)</f>
        <v>"6 to 6" Magnet School</v>
      </c>
      <c r="C2705" t="s">
        <v>314</v>
      </c>
      <c r="D2705">
        <v>840</v>
      </c>
      <c r="E2705" t="s">
        <v>907</v>
      </c>
      <c r="F2705" t="s">
        <v>465</v>
      </c>
      <c r="G2705" t="s">
        <v>319</v>
      </c>
      <c r="H2705" s="502">
        <v>56240</v>
      </c>
      <c r="I2705" s="415">
        <v>270614.69280000002</v>
      </c>
      <c r="J2705" s="415">
        <v>216193.2</v>
      </c>
      <c r="K2705" s="415">
        <v>244123.2</v>
      </c>
      <c r="L2705" s="415">
        <v>232498.35</v>
      </c>
      <c r="M2705" s="415">
        <v>233330</v>
      </c>
      <c r="N2705" s="415">
        <v>223464.95999999999</v>
      </c>
      <c r="O2705" s="415">
        <v>211364.06</v>
      </c>
      <c r="P2705" s="415">
        <v>141671.28</v>
      </c>
      <c r="Q2705" s="481">
        <f t="shared" si="88"/>
        <v>-54421.492800000007</v>
      </c>
    </row>
    <row r="2706" spans="1:17" x14ac:dyDescent="0.3">
      <c r="A2706" s="366" t="str">
        <f>IFERROR(VLOOKUP(RIGHT(E2706,3)+0,[1]SchLocTable!$A$2:$B$47,2,FALSE)," ")</f>
        <v xml:space="preserve"> </v>
      </c>
      <c r="B2706" s="366" t="str">
        <f>VLOOKUP(VALUE(D2706),$D$3:F$106,3,FALSE)</f>
        <v>Reg Ctr Performing Arts</v>
      </c>
      <c r="C2706" t="s">
        <v>314</v>
      </c>
      <c r="D2706">
        <v>841</v>
      </c>
      <c r="E2706" t="s">
        <v>908</v>
      </c>
      <c r="F2706" t="s">
        <v>808</v>
      </c>
      <c r="G2706" t="s">
        <v>319</v>
      </c>
      <c r="H2706" s="502">
        <v>55540</v>
      </c>
      <c r="I2706" s="415">
        <v>211562</v>
      </c>
      <c r="J2706" s="415">
        <v>205400</v>
      </c>
      <c r="K2706" s="415">
        <v>130113</v>
      </c>
      <c r="L2706" s="415">
        <v>232880</v>
      </c>
      <c r="M2706" s="415">
        <v>191130</v>
      </c>
      <c r="N2706" s="415">
        <v>191700</v>
      </c>
      <c r="O2706" s="415">
        <v>197100</v>
      </c>
      <c r="P2706" s="415">
        <v>180645</v>
      </c>
      <c r="Q2706" s="481">
        <f t="shared" si="88"/>
        <v>-6162</v>
      </c>
    </row>
    <row r="2707" spans="1:17" x14ac:dyDescent="0.3">
      <c r="A2707" s="366" t="str">
        <f>IFERROR(VLOOKUP(RIGHT(E2707,3)+0,[1]SchLocTable!$A$2:$B$47,2,FALSE)," ")</f>
        <v xml:space="preserve"> </v>
      </c>
      <c r="B2707" s="366" t="str">
        <f>VLOOKUP(VALUE(D2707),$D$3:F$106,3,FALSE)</f>
        <v>Reg Ctr Performing Arts</v>
      </c>
      <c r="C2707" t="s">
        <v>314</v>
      </c>
      <c r="D2707">
        <v>841</v>
      </c>
      <c r="E2707" t="s">
        <v>908</v>
      </c>
      <c r="F2707" t="s">
        <v>465</v>
      </c>
      <c r="G2707" t="s">
        <v>319</v>
      </c>
      <c r="H2707" s="502">
        <v>56240</v>
      </c>
      <c r="I2707" s="415">
        <v>112111.4724</v>
      </c>
      <c r="J2707" s="415">
        <v>56830</v>
      </c>
      <c r="K2707" s="415">
        <v>75294.600000000006</v>
      </c>
      <c r="L2707" s="415">
        <v>72360</v>
      </c>
      <c r="M2707" s="415">
        <v>74214</v>
      </c>
      <c r="N2707" s="415">
        <v>52669.5</v>
      </c>
      <c r="O2707" s="415">
        <v>48033</v>
      </c>
      <c r="P2707" s="415">
        <v>32246</v>
      </c>
      <c r="Q2707" s="481">
        <f t="shared" si="88"/>
        <v>-55281.472399999999</v>
      </c>
    </row>
    <row r="2708" spans="1:17" x14ac:dyDescent="0.3">
      <c r="A2708" s="366" t="str">
        <f>IFERROR(VLOOKUP(RIGHT(E2708,3)+0,[1]SchLocTable!$A$2:$B$47,2,FALSE)," ")</f>
        <v xml:space="preserve"> </v>
      </c>
      <c r="B2708" s="366" t="str">
        <f>VLOOKUP(VALUE(D2708),$D$3:F$106,3,FALSE)</f>
        <v>Educational Technology</v>
      </c>
      <c r="C2708" t="s">
        <v>314</v>
      </c>
      <c r="D2708">
        <v>842</v>
      </c>
      <c r="E2708" t="s">
        <v>909</v>
      </c>
      <c r="F2708" t="s">
        <v>316</v>
      </c>
      <c r="G2708" t="s">
        <v>319</v>
      </c>
      <c r="H2708" s="502">
        <v>51000</v>
      </c>
      <c r="I2708" s="415">
        <v>0</v>
      </c>
      <c r="J2708" s="415">
        <v>0</v>
      </c>
      <c r="K2708" s="415">
        <v>111500</v>
      </c>
      <c r="L2708" s="415">
        <v>0</v>
      </c>
      <c r="M2708" s="415">
        <v>0</v>
      </c>
      <c r="N2708" s="415">
        <v>0</v>
      </c>
      <c r="O2708" s="415">
        <v>0</v>
      </c>
      <c r="P2708" s="415">
        <v>0</v>
      </c>
      <c r="Q2708" s="481">
        <f t="shared" si="88"/>
        <v>0</v>
      </c>
    </row>
    <row r="2709" spans="1:17" x14ac:dyDescent="0.3">
      <c r="A2709" s="366" t="str">
        <f>IFERROR(VLOOKUP(RIGHT(E2709,3)+0,[1]SchLocTable!$A$2:$B$47,2,FALSE)," ")</f>
        <v xml:space="preserve"> </v>
      </c>
      <c r="B2709" s="366" t="str">
        <f>VLOOKUP(VALUE(D2709),$D$3:F$106,3,FALSE)</f>
        <v>Educational Technology</v>
      </c>
      <c r="C2709" t="s">
        <v>314</v>
      </c>
      <c r="D2709">
        <v>842</v>
      </c>
      <c r="E2709" t="s">
        <v>909</v>
      </c>
      <c r="F2709" t="s">
        <v>334</v>
      </c>
      <c r="G2709" t="s">
        <v>319</v>
      </c>
      <c r="H2709" s="502">
        <v>51400</v>
      </c>
      <c r="I2709" s="415">
        <v>0</v>
      </c>
      <c r="J2709" s="415">
        <v>0</v>
      </c>
      <c r="K2709" s="415">
        <v>15500</v>
      </c>
      <c r="L2709" s="415">
        <v>13548.39</v>
      </c>
      <c r="M2709" s="415">
        <v>67400</v>
      </c>
      <c r="N2709" s="415">
        <v>58250</v>
      </c>
      <c r="O2709" s="415">
        <v>55000</v>
      </c>
      <c r="P2709" s="415">
        <v>37500</v>
      </c>
      <c r="Q2709" s="481">
        <f t="shared" si="88"/>
        <v>0</v>
      </c>
    </row>
    <row r="2710" spans="1:17" x14ac:dyDescent="0.3">
      <c r="A2710" s="366" t="str">
        <f>IFERROR(VLOOKUP(RIGHT(E2710,3)+0,[1]SchLocTable!$A$2:$B$47,2,FALSE)," ")</f>
        <v xml:space="preserve"> </v>
      </c>
      <c r="B2710" s="366" t="str">
        <f>VLOOKUP(VALUE(D2710),$D$3:F$106,3,FALSE)</f>
        <v>Educational Technology</v>
      </c>
      <c r="C2710" t="s">
        <v>314</v>
      </c>
      <c r="D2710">
        <v>842</v>
      </c>
      <c r="E2710" t="s">
        <v>909</v>
      </c>
      <c r="F2710" t="s">
        <v>320</v>
      </c>
      <c r="G2710" t="s">
        <v>319</v>
      </c>
      <c r="H2710" s="502">
        <v>52360</v>
      </c>
      <c r="I2710" s="415">
        <v>0</v>
      </c>
      <c r="J2710" s="415">
        <v>0</v>
      </c>
      <c r="K2710" s="415">
        <v>1837.45</v>
      </c>
      <c r="L2710" s="415">
        <v>196.45</v>
      </c>
      <c r="M2710" s="415">
        <v>973.77</v>
      </c>
      <c r="N2710" s="415">
        <v>844.63</v>
      </c>
      <c r="O2710" s="415">
        <v>775.14</v>
      </c>
      <c r="P2710" s="415">
        <v>528.91</v>
      </c>
      <c r="Q2710" s="481">
        <f t="shared" si="88"/>
        <v>0</v>
      </c>
    </row>
    <row r="2711" spans="1:17" x14ac:dyDescent="0.3">
      <c r="A2711" s="366" t="str">
        <f>IFERROR(VLOOKUP(RIGHT(E2711,3)+0,[1]SchLocTable!$A$2:$B$47,2,FALSE)," ")</f>
        <v xml:space="preserve"> </v>
      </c>
      <c r="B2711" s="366" t="str">
        <f>VLOOKUP(VALUE(D2711),$D$3:F$106,3,FALSE)</f>
        <v>Educational Technology</v>
      </c>
      <c r="C2711" t="s">
        <v>314</v>
      </c>
      <c r="D2711">
        <v>842</v>
      </c>
      <c r="E2711" t="s">
        <v>909</v>
      </c>
      <c r="F2711" t="s">
        <v>392</v>
      </c>
      <c r="G2711" t="s">
        <v>319</v>
      </c>
      <c r="H2711" s="502">
        <v>52504</v>
      </c>
      <c r="I2711" s="415">
        <v>0</v>
      </c>
      <c r="J2711" s="415">
        <v>0</v>
      </c>
      <c r="K2711" s="415">
        <v>1029.5</v>
      </c>
      <c r="L2711" s="415">
        <v>305.85000000000002</v>
      </c>
      <c r="M2711" s="415">
        <v>0</v>
      </c>
      <c r="N2711" s="415">
        <v>95.1</v>
      </c>
      <c r="O2711" s="415">
        <v>0</v>
      </c>
      <c r="P2711" s="415">
        <v>71.150000000000006</v>
      </c>
      <c r="Q2711" s="481">
        <f t="shared" si="88"/>
        <v>0</v>
      </c>
    </row>
    <row r="2712" spans="1:17" x14ac:dyDescent="0.3">
      <c r="A2712" s="366" t="str">
        <f>IFERROR(VLOOKUP(RIGHT(E2712,3)+0,[1]SchLocTable!$A$2:$B$47,2,FALSE)," ")</f>
        <v xml:space="preserve"> </v>
      </c>
      <c r="B2712" s="366" t="str">
        <f>VLOOKUP(VALUE(D2712),$D$3:F$106,3,FALSE)</f>
        <v>Educational Technology</v>
      </c>
      <c r="C2712" t="s">
        <v>314</v>
      </c>
      <c r="D2712">
        <v>842</v>
      </c>
      <c r="E2712" t="s">
        <v>909</v>
      </c>
      <c r="F2712" t="s">
        <v>324</v>
      </c>
      <c r="G2712" t="s">
        <v>319</v>
      </c>
      <c r="H2712" s="502">
        <v>52385</v>
      </c>
      <c r="I2712" s="415">
        <v>0</v>
      </c>
      <c r="J2712" s="415">
        <v>0</v>
      </c>
      <c r="K2712" s="415">
        <v>93</v>
      </c>
      <c r="L2712" s="415">
        <v>0</v>
      </c>
      <c r="M2712" s="415">
        <v>0</v>
      </c>
      <c r="N2712" s="415">
        <v>93</v>
      </c>
      <c r="O2712" s="415">
        <v>0</v>
      </c>
      <c r="P2712" s="415">
        <v>0</v>
      </c>
      <c r="Q2712" s="481">
        <f t="shared" si="88"/>
        <v>0</v>
      </c>
    </row>
    <row r="2713" spans="1:17" x14ac:dyDescent="0.3">
      <c r="A2713" s="366" t="str">
        <f>IFERROR(VLOOKUP(RIGHT(E2713,3)+0,[1]SchLocTable!$A$2:$B$47,2,FALSE)," ")</f>
        <v xml:space="preserve"> </v>
      </c>
      <c r="B2713" s="366" t="str">
        <f>VLOOKUP(VALUE(D2713),$D$3:F$106,3,FALSE)</f>
        <v>Athletics</v>
      </c>
      <c r="C2713" t="s">
        <v>314</v>
      </c>
      <c r="D2713">
        <v>843</v>
      </c>
      <c r="E2713" t="s">
        <v>910</v>
      </c>
      <c r="F2713" t="s">
        <v>474</v>
      </c>
      <c r="G2713" t="s">
        <v>319</v>
      </c>
      <c r="H2713" s="502">
        <v>54550</v>
      </c>
      <c r="I2713" s="415">
        <v>10813.970000000001</v>
      </c>
      <c r="J2713" s="415">
        <v>10499</v>
      </c>
      <c r="K2713" s="415">
        <v>0</v>
      </c>
      <c r="L2713" s="415">
        <v>0</v>
      </c>
      <c r="M2713" s="415">
        <v>0</v>
      </c>
      <c r="N2713" s="415">
        <v>0</v>
      </c>
      <c r="O2713" s="415">
        <v>0</v>
      </c>
      <c r="P2713" s="415">
        <v>0</v>
      </c>
      <c r="Q2713" s="481">
        <f t="shared" si="88"/>
        <v>-314.97000000000116</v>
      </c>
    </row>
    <row r="2714" spans="1:17" x14ac:dyDescent="0.3">
      <c r="A2714" s="366" t="str">
        <f>IFERROR(VLOOKUP(RIGHT(E2714,3)+0,[1]SchLocTable!$A$2:$B$47,2,FALSE)," ")</f>
        <v xml:space="preserve"> </v>
      </c>
      <c r="B2714" s="366" t="str">
        <f>VLOOKUP(VALUE(D2714),$D$3:F$106,3,FALSE)</f>
        <v>Athletics</v>
      </c>
      <c r="C2714" t="s">
        <v>314</v>
      </c>
      <c r="D2714">
        <v>843</v>
      </c>
      <c r="E2714" t="s">
        <v>910</v>
      </c>
      <c r="F2714" t="s">
        <v>911</v>
      </c>
      <c r="G2714">
        <v>31</v>
      </c>
      <c r="H2714" s="502">
        <v>51144</v>
      </c>
      <c r="I2714" s="415">
        <v>6862.0499999999993</v>
      </c>
      <c r="J2714" s="415">
        <v>260000</v>
      </c>
      <c r="K2714" s="415">
        <v>338312.99</v>
      </c>
      <c r="L2714" s="415">
        <v>307969.01</v>
      </c>
      <c r="M2714" s="415">
        <v>321810.99</v>
      </c>
      <c r="N2714" s="415">
        <v>273516.99</v>
      </c>
      <c r="O2714" s="415">
        <v>160701</v>
      </c>
      <c r="P2714" s="415">
        <v>246374.73</v>
      </c>
      <c r="Q2714" s="481">
        <f t="shared" si="88"/>
        <v>253137.95</v>
      </c>
    </row>
    <row r="2715" spans="1:17" x14ac:dyDescent="0.3">
      <c r="A2715" s="366" t="str">
        <f>IFERROR(VLOOKUP(RIGHT(E2715,3)+0,[1]SchLocTable!$A$2:$B$47,2,FALSE)," ")</f>
        <v xml:space="preserve"> </v>
      </c>
      <c r="B2715" s="366" t="str">
        <f>VLOOKUP(VALUE(D2715),$D$3:F$106,3,FALSE)</f>
        <v>Athletics</v>
      </c>
      <c r="C2715" t="s">
        <v>314</v>
      </c>
      <c r="D2715">
        <v>843</v>
      </c>
      <c r="E2715" t="s">
        <v>910</v>
      </c>
      <c r="F2715" t="s">
        <v>316</v>
      </c>
      <c r="G2715">
        <v>1</v>
      </c>
      <c r="H2715" s="502">
        <v>51000</v>
      </c>
      <c r="I2715" s="415">
        <v>0</v>
      </c>
      <c r="J2715" s="415">
        <v>0</v>
      </c>
      <c r="K2715" s="415">
        <v>150</v>
      </c>
      <c r="L2715" s="415">
        <v>0</v>
      </c>
      <c r="M2715" s="415">
        <v>0</v>
      </c>
      <c r="N2715" s="415">
        <v>0</v>
      </c>
      <c r="O2715" s="415">
        <v>0</v>
      </c>
      <c r="P2715" s="415">
        <v>0</v>
      </c>
      <c r="Q2715" s="481">
        <f t="shared" si="88"/>
        <v>0</v>
      </c>
    </row>
    <row r="2716" spans="1:17" x14ac:dyDescent="0.3">
      <c r="A2716" s="366" t="str">
        <f>IFERROR(VLOOKUP(RIGHT(E2716,3)+0,[1]SchLocTable!$A$2:$B$47,2,FALSE)," ")</f>
        <v xml:space="preserve"> </v>
      </c>
      <c r="B2716" s="366" t="str">
        <f>VLOOKUP(VALUE(D2716),$D$3:F$106,3,FALSE)</f>
        <v>Athletics</v>
      </c>
      <c r="C2716" t="s">
        <v>314</v>
      </c>
      <c r="D2716">
        <v>843</v>
      </c>
      <c r="E2716" t="s">
        <v>910</v>
      </c>
      <c r="F2716" t="s">
        <v>334</v>
      </c>
      <c r="G2716" t="s">
        <v>319</v>
      </c>
      <c r="H2716" s="502">
        <v>51400</v>
      </c>
      <c r="I2716" s="415">
        <v>0</v>
      </c>
      <c r="J2716" s="415">
        <v>0</v>
      </c>
      <c r="K2716" s="415">
        <v>2032</v>
      </c>
      <c r="L2716" s="415">
        <v>52500</v>
      </c>
      <c r="M2716" s="415">
        <v>0</v>
      </c>
      <c r="N2716" s="415">
        <v>0</v>
      </c>
      <c r="O2716" s="415">
        <v>0</v>
      </c>
      <c r="P2716" s="415">
        <v>0</v>
      </c>
      <c r="Q2716" s="481">
        <f t="shared" si="88"/>
        <v>0</v>
      </c>
    </row>
    <row r="2717" spans="1:17" x14ac:dyDescent="0.3">
      <c r="A2717" s="366" t="str">
        <f>IFERROR(VLOOKUP(RIGHT(E2717,3)+0,[1]SchLocTable!$A$2:$B$47,2,FALSE)," ")</f>
        <v xml:space="preserve"> </v>
      </c>
      <c r="B2717" s="366" t="str">
        <f>VLOOKUP(VALUE(D2717),$D$3:F$106,3,FALSE)</f>
        <v>Athletics</v>
      </c>
      <c r="C2717" t="s">
        <v>314</v>
      </c>
      <c r="D2717">
        <v>843</v>
      </c>
      <c r="E2717" t="s">
        <v>910</v>
      </c>
      <c r="F2717" t="s">
        <v>891</v>
      </c>
      <c r="G2717" t="s">
        <v>319</v>
      </c>
      <c r="H2717" s="502">
        <v>53420</v>
      </c>
      <c r="I2717" s="415">
        <v>131545.42000000001</v>
      </c>
      <c r="J2717" s="415">
        <v>127714</v>
      </c>
      <c r="K2717" s="415">
        <v>136735</v>
      </c>
      <c r="L2717" s="415">
        <v>143932</v>
      </c>
      <c r="M2717" s="415">
        <v>143932</v>
      </c>
      <c r="N2717" s="415">
        <v>160367</v>
      </c>
      <c r="O2717" s="415">
        <v>160367</v>
      </c>
      <c r="P2717" s="415">
        <v>154722</v>
      </c>
      <c r="Q2717" s="481">
        <f t="shared" si="88"/>
        <v>-3831.4200000000128</v>
      </c>
    </row>
    <row r="2718" spans="1:17" x14ac:dyDescent="0.3">
      <c r="A2718" s="366" t="str">
        <f>IFERROR(VLOOKUP(RIGHT(E2718,3)+0,[1]SchLocTable!$A$2:$B$47,2,FALSE)," ")</f>
        <v xml:space="preserve"> </v>
      </c>
      <c r="B2718" s="366" t="str">
        <f>VLOOKUP(VALUE(D2718),$D$3:F$106,3,FALSE)</f>
        <v>Athletics</v>
      </c>
      <c r="C2718" t="s">
        <v>314</v>
      </c>
      <c r="D2718">
        <v>843</v>
      </c>
      <c r="E2718" t="s">
        <v>910</v>
      </c>
      <c r="F2718" t="s">
        <v>810</v>
      </c>
      <c r="G2718" t="s">
        <v>319</v>
      </c>
      <c r="H2718" s="502">
        <v>56155</v>
      </c>
      <c r="I2718" s="415">
        <v>28296.16</v>
      </c>
      <c r="J2718" s="415">
        <v>27472</v>
      </c>
      <c r="K2718" s="415">
        <v>0</v>
      </c>
      <c r="L2718" s="415">
        <v>0</v>
      </c>
      <c r="M2718" s="415">
        <v>0</v>
      </c>
      <c r="N2718" s="415">
        <v>0</v>
      </c>
      <c r="O2718" s="415">
        <v>0</v>
      </c>
      <c r="P2718" s="415">
        <v>0</v>
      </c>
      <c r="Q2718" s="481">
        <f t="shared" si="88"/>
        <v>-824.15999999999985</v>
      </c>
    </row>
    <row r="2719" spans="1:17" x14ac:dyDescent="0.3">
      <c r="A2719" s="366" t="str">
        <f>IFERROR(VLOOKUP(RIGHT(E2719,3)+0,[1]SchLocTable!$A$2:$B$47,2,FALSE)," ")</f>
        <v xml:space="preserve"> </v>
      </c>
      <c r="B2719" s="366" t="str">
        <f>VLOOKUP(VALUE(D2719),$D$3:F$106,3,FALSE)</f>
        <v>Athletics</v>
      </c>
      <c r="C2719" t="s">
        <v>314</v>
      </c>
      <c r="D2719">
        <v>843</v>
      </c>
      <c r="E2719" t="s">
        <v>910</v>
      </c>
      <c r="F2719" t="s">
        <v>897</v>
      </c>
      <c r="G2719" t="s">
        <v>319</v>
      </c>
      <c r="H2719" s="502">
        <v>54670</v>
      </c>
      <c r="I2719" s="415">
        <v>0</v>
      </c>
      <c r="J2719" s="415">
        <v>0</v>
      </c>
      <c r="K2719" s="415">
        <v>6405.47</v>
      </c>
      <c r="L2719" s="415">
        <v>1417.66</v>
      </c>
      <c r="M2719" s="415">
        <v>182.16</v>
      </c>
      <c r="N2719" s="415">
        <v>4663.05</v>
      </c>
      <c r="O2719" s="415">
        <v>878.18</v>
      </c>
      <c r="P2719" s="415">
        <v>2050</v>
      </c>
      <c r="Q2719" s="481">
        <f t="shared" si="88"/>
        <v>0</v>
      </c>
    </row>
    <row r="2720" spans="1:17" x14ac:dyDescent="0.3">
      <c r="A2720" s="366" t="str">
        <f>IFERROR(VLOOKUP(RIGHT(E2720,3)+0,[1]SchLocTable!$A$2:$B$47,2,FALSE)," ")</f>
        <v xml:space="preserve"> </v>
      </c>
      <c r="B2720" s="366" t="str">
        <f>VLOOKUP(VALUE(D2720),$D$3:F$106,3,FALSE)</f>
        <v>Athletics</v>
      </c>
      <c r="C2720" t="s">
        <v>314</v>
      </c>
      <c r="D2720">
        <v>843</v>
      </c>
      <c r="E2720" t="s">
        <v>910</v>
      </c>
      <c r="F2720" t="s">
        <v>320</v>
      </c>
      <c r="G2720" t="s">
        <v>319</v>
      </c>
      <c r="H2720" s="502">
        <v>52360</v>
      </c>
      <c r="I2720" s="415">
        <v>404.594515</v>
      </c>
      <c r="J2720" s="415">
        <v>774.98</v>
      </c>
      <c r="K2720" s="415">
        <v>5535.64</v>
      </c>
      <c r="L2720" s="415">
        <v>5476.77</v>
      </c>
      <c r="M2720" s="415">
        <v>4962.6899999999996</v>
      </c>
      <c r="N2720" s="415">
        <v>4399.22</v>
      </c>
      <c r="O2720" s="415">
        <v>2460.9699999999998</v>
      </c>
      <c r="P2720" s="415">
        <v>3728.67</v>
      </c>
      <c r="Q2720" s="481">
        <f t="shared" si="88"/>
        <v>370.38548500000002</v>
      </c>
    </row>
    <row r="2721" spans="1:17" x14ac:dyDescent="0.3">
      <c r="A2721" s="366" t="str">
        <f>IFERROR(VLOOKUP(RIGHT(E2721,3)+0,[1]SchLocTable!$A$2:$B$47,2,FALSE)," ")</f>
        <v xml:space="preserve"> </v>
      </c>
      <c r="B2721" s="366" t="str">
        <f>VLOOKUP(VALUE(D2721),$D$3:F$106,3,FALSE)</f>
        <v>Athletics</v>
      </c>
      <c r="C2721" t="s">
        <v>314</v>
      </c>
      <c r="D2721">
        <v>843</v>
      </c>
      <c r="E2721" t="s">
        <v>910</v>
      </c>
      <c r="F2721" t="s">
        <v>473</v>
      </c>
      <c r="G2721" t="s">
        <v>319</v>
      </c>
      <c r="H2721" s="502">
        <v>53605</v>
      </c>
      <c r="I2721" s="415">
        <v>8409.9500000000007</v>
      </c>
      <c r="J2721" s="415">
        <v>8165</v>
      </c>
      <c r="K2721" s="415">
        <v>18238</v>
      </c>
      <c r="L2721" s="415">
        <v>15687</v>
      </c>
      <c r="M2721" s="415">
        <v>5560</v>
      </c>
      <c r="N2721" s="415">
        <v>12325</v>
      </c>
      <c r="O2721" s="415">
        <v>4800</v>
      </c>
      <c r="P2721" s="415">
        <v>4830</v>
      </c>
      <c r="Q2721" s="481">
        <f t="shared" si="88"/>
        <v>-244.95000000000073</v>
      </c>
    </row>
    <row r="2722" spans="1:17" x14ac:dyDescent="0.3">
      <c r="A2722" s="366" t="str">
        <f>IFERROR(VLOOKUP(RIGHT(E2722,3)+0,[1]SchLocTable!$A$2:$B$47,2,FALSE)," ")</f>
        <v xml:space="preserve"> </v>
      </c>
      <c r="B2722" s="366" t="str">
        <f>VLOOKUP(VALUE(D2722),$D$3:F$106,3,FALSE)</f>
        <v>Athletics</v>
      </c>
      <c r="C2722" t="s">
        <v>314</v>
      </c>
      <c r="D2722">
        <v>843</v>
      </c>
      <c r="E2722" t="s">
        <v>910</v>
      </c>
      <c r="F2722" t="s">
        <v>392</v>
      </c>
      <c r="G2722" t="s">
        <v>319</v>
      </c>
      <c r="H2722" s="502">
        <v>52504</v>
      </c>
      <c r="I2722" s="415">
        <v>0</v>
      </c>
      <c r="J2722" s="415">
        <v>0</v>
      </c>
      <c r="K2722" s="415">
        <v>9490.0400000000009</v>
      </c>
      <c r="L2722" s="415">
        <v>3191.64</v>
      </c>
      <c r="M2722" s="415">
        <v>4987.6400000000003</v>
      </c>
      <c r="N2722" s="415">
        <v>1579.32</v>
      </c>
      <c r="O2722" s="415">
        <v>2493.41</v>
      </c>
      <c r="P2722" s="415">
        <v>4848.71</v>
      </c>
      <c r="Q2722" s="481">
        <f t="shared" si="88"/>
        <v>0</v>
      </c>
    </row>
    <row r="2723" spans="1:17" x14ac:dyDescent="0.3">
      <c r="A2723" s="366" t="str">
        <f>IFERROR(VLOOKUP(RIGHT(E2723,3)+0,[1]SchLocTable!$A$2:$B$47,2,FALSE)," ")</f>
        <v xml:space="preserve"> </v>
      </c>
      <c r="B2723" s="366" t="str">
        <f>VLOOKUP(VALUE(D2723),$D$3:F$106,3,FALSE)</f>
        <v>Athletics</v>
      </c>
      <c r="C2723" t="s">
        <v>314</v>
      </c>
      <c r="D2723">
        <v>843</v>
      </c>
      <c r="E2723" t="s">
        <v>910</v>
      </c>
      <c r="F2723" t="s">
        <v>458</v>
      </c>
      <c r="G2723" t="s">
        <v>319</v>
      </c>
      <c r="H2723" s="502">
        <v>54675</v>
      </c>
      <c r="I2723" s="415">
        <v>0</v>
      </c>
      <c r="J2723" s="415">
        <v>0</v>
      </c>
      <c r="K2723" s="415">
        <v>0</v>
      </c>
      <c r="L2723" s="415">
        <v>1161.6300000000001</v>
      </c>
      <c r="M2723" s="415">
        <v>0</v>
      </c>
      <c r="N2723" s="415">
        <v>0</v>
      </c>
      <c r="O2723" s="415">
        <v>0</v>
      </c>
      <c r="P2723" s="415">
        <v>0</v>
      </c>
      <c r="Q2723" s="481">
        <f t="shared" si="88"/>
        <v>0</v>
      </c>
    </row>
    <row r="2724" spans="1:17" x14ac:dyDescent="0.3">
      <c r="A2724" s="366" t="str">
        <f>IFERROR(VLOOKUP(RIGHT(E2724,3)+0,[1]SchLocTable!$A$2:$B$47,2,FALSE)," ")</f>
        <v xml:space="preserve"> </v>
      </c>
      <c r="B2724" s="366" t="str">
        <f>VLOOKUP(VALUE(D2724),$D$3:F$106,3,FALSE)</f>
        <v>Athletics</v>
      </c>
      <c r="C2724" t="s">
        <v>314</v>
      </c>
      <c r="D2724">
        <v>843</v>
      </c>
      <c r="E2724" t="s">
        <v>910</v>
      </c>
      <c r="F2724" t="s">
        <v>901</v>
      </c>
      <c r="G2724" t="s">
        <v>319</v>
      </c>
      <c r="H2724" s="502">
        <v>56170</v>
      </c>
      <c r="I2724" s="415">
        <v>0</v>
      </c>
      <c r="J2724" s="415">
        <v>0</v>
      </c>
      <c r="K2724" s="415">
        <v>0</v>
      </c>
      <c r="L2724" s="415">
        <v>0</v>
      </c>
      <c r="M2724" s="415">
        <v>0</v>
      </c>
      <c r="N2724" s="415">
        <v>9723.1</v>
      </c>
      <c r="O2724" s="415">
        <v>5800</v>
      </c>
      <c r="P2724" s="415">
        <v>16476.05</v>
      </c>
      <c r="Q2724" s="481">
        <f t="shared" si="88"/>
        <v>0</v>
      </c>
    </row>
    <row r="2725" spans="1:17" x14ac:dyDescent="0.3">
      <c r="A2725" s="366" t="str">
        <f>IFERROR(VLOOKUP(RIGHT(E2725,3)+0,[1]SchLocTable!$A$2:$B$47,2,FALSE)," ")</f>
        <v xml:space="preserve"> </v>
      </c>
      <c r="B2725" s="366" t="str">
        <f>VLOOKUP(VALUE(D2725),$D$3:F$106,3,FALSE)</f>
        <v>Athletics</v>
      </c>
      <c r="C2725" t="s">
        <v>314</v>
      </c>
      <c r="D2725">
        <v>843</v>
      </c>
      <c r="E2725" t="s">
        <v>910</v>
      </c>
      <c r="F2725" t="s">
        <v>464</v>
      </c>
      <c r="G2725" t="s">
        <v>319</v>
      </c>
      <c r="H2725" s="502">
        <v>56180</v>
      </c>
      <c r="I2725" s="415">
        <v>113481.37269999999</v>
      </c>
      <c r="J2725" s="415">
        <v>110176.09</v>
      </c>
      <c r="K2725" s="415">
        <v>207951.5</v>
      </c>
      <c r="L2725" s="415">
        <v>110840.95</v>
      </c>
      <c r="M2725" s="415">
        <v>159789</v>
      </c>
      <c r="N2725" s="415">
        <v>104466.71</v>
      </c>
      <c r="O2725" s="415">
        <v>50819.63</v>
      </c>
      <c r="P2725" s="415">
        <v>145161.73000000001</v>
      </c>
      <c r="Q2725" s="481">
        <f t="shared" si="88"/>
        <v>-3305.2826999999961</v>
      </c>
    </row>
    <row r="2726" spans="1:17" x14ac:dyDescent="0.3">
      <c r="A2726" s="366" t="str">
        <f>IFERROR(VLOOKUP(RIGHT(E2726,3)+0,[1]SchLocTable!$A$2:$B$47,2,FALSE)," ")</f>
        <v xml:space="preserve"> </v>
      </c>
      <c r="B2726" s="366" t="str">
        <f>VLOOKUP(VALUE(D2726),$D$3:F$106,3,FALSE)</f>
        <v>Athletics</v>
      </c>
      <c r="C2726" t="s">
        <v>314</v>
      </c>
      <c r="D2726">
        <v>843</v>
      </c>
      <c r="E2726" t="s">
        <v>910</v>
      </c>
      <c r="F2726" t="s">
        <v>461</v>
      </c>
      <c r="G2726" t="s">
        <v>319</v>
      </c>
      <c r="H2726" s="502">
        <v>53050</v>
      </c>
      <c r="I2726" s="415">
        <v>437</v>
      </c>
      <c r="J2726" s="415">
        <v>950</v>
      </c>
      <c r="K2726" s="415">
        <v>1300</v>
      </c>
      <c r="L2726" s="415">
        <v>1260</v>
      </c>
      <c r="M2726" s="415">
        <v>1215</v>
      </c>
      <c r="N2726" s="415">
        <v>1050</v>
      </c>
      <c r="O2726" s="415">
        <v>1190</v>
      </c>
      <c r="P2726" s="415">
        <v>1040</v>
      </c>
      <c r="Q2726" s="481">
        <f t="shared" si="88"/>
        <v>513</v>
      </c>
    </row>
    <row r="2727" spans="1:17" x14ac:dyDescent="0.3">
      <c r="A2727" s="366" t="str">
        <f>IFERROR(VLOOKUP(RIGHT(E2727,3)+0,[1]SchLocTable!$A$2:$B$47,2,FALSE)," ")</f>
        <v xml:space="preserve"> </v>
      </c>
      <c r="B2727" s="366" t="str">
        <f>VLOOKUP(VALUE(D2727),$D$3:F$106,3,FALSE)</f>
        <v>Athletics</v>
      </c>
      <c r="C2727" t="s">
        <v>314</v>
      </c>
      <c r="D2727">
        <v>843</v>
      </c>
      <c r="E2727" t="s">
        <v>910</v>
      </c>
      <c r="F2727" t="s">
        <v>324</v>
      </c>
      <c r="G2727" t="s">
        <v>319</v>
      </c>
      <c r="H2727" s="502">
        <v>52385</v>
      </c>
      <c r="I2727" s="415">
        <v>411.06000000000006</v>
      </c>
      <c r="J2727" s="415">
        <v>85.03</v>
      </c>
      <c r="K2727" s="415">
        <v>7939.84</v>
      </c>
      <c r="L2727" s="415">
        <v>7565.78</v>
      </c>
      <c r="M2727" s="415">
        <v>6916.59</v>
      </c>
      <c r="N2727" s="415">
        <v>6361.34</v>
      </c>
      <c r="O2727" s="415">
        <v>2271.2399999999998</v>
      </c>
      <c r="P2727" s="415">
        <v>6543.2</v>
      </c>
      <c r="Q2727" s="481">
        <f t="shared" si="88"/>
        <v>-326.03000000000009</v>
      </c>
    </row>
    <row r="2728" spans="1:17" x14ac:dyDescent="0.3">
      <c r="A2728" s="366" t="str">
        <f>IFERROR(VLOOKUP(RIGHT(E2728,3)+0,[1]SchLocTable!$A$2:$B$47,2,FALSE)," ")</f>
        <v xml:space="preserve"> </v>
      </c>
      <c r="B2728" s="366" t="str">
        <f>VLOOKUP(VALUE(D2728),$D$3:F$106,3,FALSE)</f>
        <v>Athletics</v>
      </c>
      <c r="C2728" t="s">
        <v>314</v>
      </c>
      <c r="D2728">
        <v>843</v>
      </c>
      <c r="E2728" t="s">
        <v>910</v>
      </c>
      <c r="F2728" t="s">
        <v>689</v>
      </c>
      <c r="G2728">
        <v>1</v>
      </c>
      <c r="H2728" s="502">
        <v>51142</v>
      </c>
      <c r="I2728" s="415">
        <v>21041.019999999997</v>
      </c>
      <c r="J2728" s="415">
        <v>10120</v>
      </c>
      <c r="K2728" s="415">
        <v>39691</v>
      </c>
      <c r="L2728" s="415">
        <v>17890</v>
      </c>
      <c r="M2728" s="415">
        <v>21025</v>
      </c>
      <c r="N2728" s="415">
        <v>29896.75</v>
      </c>
      <c r="O2728" s="415">
        <v>9019</v>
      </c>
      <c r="P2728" s="415">
        <v>14461</v>
      </c>
      <c r="Q2728" s="481">
        <f t="shared" si="88"/>
        <v>-10921.019999999997</v>
      </c>
    </row>
    <row r="2729" spans="1:17" x14ac:dyDescent="0.3">
      <c r="A2729" s="366" t="str">
        <f>IFERROR(VLOOKUP(RIGHT(E2729,3)+0,[1]SchLocTable!$A$2:$B$47,2,FALSE)," ")</f>
        <v xml:space="preserve"> </v>
      </c>
      <c r="B2729" s="366" t="str">
        <f>VLOOKUP(VALUE(D2729),$D$3:F$106,3,FALSE)</f>
        <v>Athletics</v>
      </c>
      <c r="C2729" t="s">
        <v>314</v>
      </c>
      <c r="D2729">
        <v>843</v>
      </c>
      <c r="E2729" t="s">
        <v>910</v>
      </c>
      <c r="F2729" t="s">
        <v>750</v>
      </c>
      <c r="G2729" t="s">
        <v>319</v>
      </c>
      <c r="H2729" s="502">
        <v>55195</v>
      </c>
      <c r="I2729" s="415">
        <v>30175.817300000006</v>
      </c>
      <c r="J2729" s="415">
        <v>29296.91</v>
      </c>
      <c r="K2729" s="415">
        <v>27543.45</v>
      </c>
      <c r="L2729" s="415">
        <v>97248.94</v>
      </c>
      <c r="M2729" s="415">
        <v>107750.46</v>
      </c>
      <c r="N2729" s="415">
        <v>53183.5</v>
      </c>
      <c r="O2729" s="415">
        <v>18290.73</v>
      </c>
      <c r="P2729" s="415">
        <v>18932.96</v>
      </c>
      <c r="Q2729" s="481">
        <f t="shared" si="88"/>
        <v>-878.90730000000622</v>
      </c>
    </row>
    <row r="2730" spans="1:17" x14ac:dyDescent="0.3">
      <c r="A2730" s="366" t="str">
        <f>IFERROR(VLOOKUP(RIGHT(E2730,3)+0,[1]SchLocTable!$A$2:$B$47,2,FALSE)," ")</f>
        <v xml:space="preserve"> </v>
      </c>
      <c r="B2730" s="366" t="str">
        <f>VLOOKUP(VALUE(D2730),$D$3:F$106,3,FALSE)</f>
        <v>Athletics</v>
      </c>
      <c r="C2730" t="s">
        <v>314</v>
      </c>
      <c r="D2730">
        <v>843</v>
      </c>
      <c r="E2730" t="s">
        <v>910</v>
      </c>
      <c r="F2730" t="s">
        <v>465</v>
      </c>
      <c r="G2730" t="s">
        <v>319</v>
      </c>
      <c r="H2730" s="502">
        <v>56240</v>
      </c>
      <c r="I2730" s="415">
        <v>106000</v>
      </c>
      <c r="J2730" s="415">
        <v>100000</v>
      </c>
      <c r="K2730" s="415">
        <v>254097.16</v>
      </c>
      <c r="L2730" s="415">
        <v>138138.25</v>
      </c>
      <c r="M2730" s="415">
        <v>185618.48</v>
      </c>
      <c r="N2730" s="415">
        <v>0</v>
      </c>
      <c r="O2730" s="415">
        <v>0</v>
      </c>
      <c r="P2730" s="415">
        <v>0</v>
      </c>
      <c r="Q2730" s="481">
        <f t="shared" si="88"/>
        <v>-6000</v>
      </c>
    </row>
    <row r="2731" spans="1:17" x14ac:dyDescent="0.3">
      <c r="A2731" s="366" t="str">
        <f>IFERROR(VLOOKUP(RIGHT(E2731,3)+0,[1]SchLocTable!$A$2:$B$47,2,FALSE)," ")</f>
        <v xml:space="preserve"> </v>
      </c>
      <c r="B2731" s="366" t="str">
        <f>VLOOKUP(VALUE(D2731),$D$3:F$106,3,FALSE)</f>
        <v>Athletics</v>
      </c>
      <c r="C2731" t="s">
        <v>314</v>
      </c>
      <c r="D2731">
        <v>843</v>
      </c>
      <c r="E2731" t="s">
        <v>910</v>
      </c>
      <c r="F2731" t="s">
        <v>533</v>
      </c>
      <c r="G2731" t="s">
        <v>319</v>
      </c>
      <c r="H2731" s="502">
        <v>52397</v>
      </c>
      <c r="I2731" s="415">
        <v>0</v>
      </c>
      <c r="J2731" s="415">
        <v>0</v>
      </c>
      <c r="K2731" s="415">
        <v>0</v>
      </c>
      <c r="L2731" s="415">
        <v>1272</v>
      </c>
      <c r="M2731" s="415">
        <v>144</v>
      </c>
      <c r="N2731" s="415">
        <v>164</v>
      </c>
      <c r="O2731" s="415">
        <v>0</v>
      </c>
      <c r="P2731" s="415">
        <v>0</v>
      </c>
      <c r="Q2731" s="481">
        <f t="shared" si="88"/>
        <v>0</v>
      </c>
    </row>
    <row r="2732" spans="1:17" x14ac:dyDescent="0.3">
      <c r="A2732" s="366" t="str">
        <f>IFERROR(VLOOKUP(RIGHT(E2732,3)+0,[1]SchLocTable!$A$2:$B$47,2,FALSE)," ")</f>
        <v xml:space="preserve"> </v>
      </c>
      <c r="B2732" s="366" t="str">
        <f>VLOOKUP(VALUE(D2732),$D$3:F$106,3,FALSE)</f>
        <v>Athletics</v>
      </c>
      <c r="C2732" t="s">
        <v>314</v>
      </c>
      <c r="D2732">
        <v>843</v>
      </c>
      <c r="E2732" t="s">
        <v>910</v>
      </c>
      <c r="F2732" t="s">
        <v>912</v>
      </c>
      <c r="G2732" t="s">
        <v>319</v>
      </c>
      <c r="H2732" s="502">
        <v>54745</v>
      </c>
      <c r="I2732" s="415">
        <v>42674.445</v>
      </c>
      <c r="J2732" s="415">
        <v>41431.5</v>
      </c>
      <c r="K2732" s="415">
        <v>20008.39</v>
      </c>
      <c r="L2732" s="415">
        <v>1810.49</v>
      </c>
      <c r="M2732" s="415">
        <v>0</v>
      </c>
      <c r="N2732" s="415">
        <v>669.49</v>
      </c>
      <c r="O2732" s="415">
        <v>0</v>
      </c>
      <c r="P2732" s="415">
        <v>22015</v>
      </c>
      <c r="Q2732" s="481">
        <f t="shared" si="88"/>
        <v>-1242.9449999999997</v>
      </c>
    </row>
    <row r="2733" spans="1:17" x14ac:dyDescent="0.3">
      <c r="A2733" s="366" t="str">
        <f>IFERROR(VLOOKUP(RIGHT(E2733,3)+0,[1]SchLocTable!$A$2:$B$47,2,FALSE)," ")</f>
        <v xml:space="preserve"> </v>
      </c>
      <c r="B2733" s="366" t="str">
        <f>VLOOKUP(VALUE(D2733),$D$3:F$106,3,FALSE)</f>
        <v>Intramurals</v>
      </c>
      <c r="C2733" t="s">
        <v>314</v>
      </c>
      <c r="D2733">
        <v>844</v>
      </c>
      <c r="E2733" t="s">
        <v>913</v>
      </c>
      <c r="F2733" t="s">
        <v>334</v>
      </c>
      <c r="G2733" t="s">
        <v>319</v>
      </c>
      <c r="H2733" s="502">
        <v>51400</v>
      </c>
      <c r="I2733" s="415">
        <v>0</v>
      </c>
      <c r="J2733" s="415">
        <v>0</v>
      </c>
      <c r="K2733" s="415">
        <v>420</v>
      </c>
      <c r="L2733" s="415">
        <v>0</v>
      </c>
      <c r="M2733" s="415">
        <v>77</v>
      </c>
      <c r="N2733" s="415">
        <v>0</v>
      </c>
      <c r="O2733" s="415">
        <v>0</v>
      </c>
      <c r="P2733" s="415">
        <v>0</v>
      </c>
      <c r="Q2733" s="481">
        <f t="shared" si="88"/>
        <v>0</v>
      </c>
    </row>
    <row r="2734" spans="1:17" x14ac:dyDescent="0.3">
      <c r="A2734" s="366" t="str">
        <f>IFERROR(VLOOKUP(RIGHT(E2734,3)+0,[1]SchLocTable!$A$2:$B$47,2,FALSE)," ")</f>
        <v xml:space="preserve"> </v>
      </c>
      <c r="B2734" s="366" t="str">
        <f>VLOOKUP(VALUE(D2734),$D$3:F$106,3,FALSE)</f>
        <v>Intramurals</v>
      </c>
      <c r="C2734" t="s">
        <v>314</v>
      </c>
      <c r="D2734">
        <v>844</v>
      </c>
      <c r="E2734" t="s">
        <v>913</v>
      </c>
      <c r="F2734" t="s">
        <v>320</v>
      </c>
      <c r="G2734" t="s">
        <v>319</v>
      </c>
      <c r="H2734" s="502">
        <v>52360</v>
      </c>
      <c r="I2734" s="415">
        <v>0</v>
      </c>
      <c r="J2734" s="415">
        <v>0</v>
      </c>
      <c r="K2734" s="415">
        <v>6.09</v>
      </c>
      <c r="L2734" s="415">
        <v>0</v>
      </c>
      <c r="M2734" s="415">
        <v>1.1200000000000001</v>
      </c>
      <c r="N2734" s="415">
        <v>0</v>
      </c>
      <c r="O2734" s="415">
        <v>0</v>
      </c>
      <c r="P2734" s="415">
        <v>469.23</v>
      </c>
      <c r="Q2734" s="481">
        <f t="shared" si="88"/>
        <v>0</v>
      </c>
    </row>
    <row r="2735" spans="1:17" x14ac:dyDescent="0.3">
      <c r="A2735" s="366" t="str">
        <f>IFERROR(VLOOKUP(RIGHT(E2735,3)+0,[1]SchLocTable!$A$2:$B$47,2,FALSE)," ")</f>
        <v xml:space="preserve"> </v>
      </c>
      <c r="B2735" s="366" t="str">
        <f>VLOOKUP(VALUE(D2735),$D$3:F$106,3,FALSE)</f>
        <v>Intramurals</v>
      </c>
      <c r="C2735" t="s">
        <v>314</v>
      </c>
      <c r="D2735">
        <v>844</v>
      </c>
      <c r="E2735" t="s">
        <v>913</v>
      </c>
      <c r="F2735" t="s">
        <v>464</v>
      </c>
      <c r="G2735" t="s">
        <v>319</v>
      </c>
      <c r="H2735" s="502">
        <v>56180</v>
      </c>
      <c r="I2735" s="415">
        <v>525.30000000000007</v>
      </c>
      <c r="J2735" s="415">
        <v>510</v>
      </c>
      <c r="K2735" s="415">
        <v>0</v>
      </c>
      <c r="L2735" s="415">
        <v>0</v>
      </c>
      <c r="M2735" s="415">
        <v>0</v>
      </c>
      <c r="N2735" s="415">
        <v>0</v>
      </c>
      <c r="O2735" s="415">
        <v>0</v>
      </c>
      <c r="P2735" s="415">
        <v>0</v>
      </c>
      <c r="Q2735" s="481">
        <f t="shared" si="88"/>
        <v>-15.300000000000068</v>
      </c>
    </row>
    <row r="2736" spans="1:17" x14ac:dyDescent="0.3">
      <c r="A2736" s="366" t="str">
        <f>IFERROR(VLOOKUP(RIGHT(E2736,3)+0,[1]SchLocTable!$A$2:$B$47,2,FALSE)," ")</f>
        <v xml:space="preserve"> </v>
      </c>
      <c r="B2736" s="366" t="str">
        <f>VLOOKUP(VALUE(D2736),$D$3:F$106,3,FALSE)</f>
        <v>Extracurricular, HS</v>
      </c>
      <c r="C2736" t="s">
        <v>314</v>
      </c>
      <c r="D2736">
        <v>845</v>
      </c>
      <c r="E2736" t="s">
        <v>914</v>
      </c>
      <c r="F2736" t="s">
        <v>334</v>
      </c>
      <c r="G2736" t="s">
        <v>319</v>
      </c>
      <c r="H2736" s="502">
        <v>51400</v>
      </c>
      <c r="I2736" s="415">
        <v>0</v>
      </c>
      <c r="J2736" s="415">
        <v>0</v>
      </c>
      <c r="K2736" s="415">
        <v>135313.64000000001</v>
      </c>
      <c r="L2736" s="415">
        <v>136594</v>
      </c>
      <c r="M2736" s="415">
        <v>142197</v>
      </c>
      <c r="N2736" s="415">
        <v>116775</v>
      </c>
      <c r="O2736" s="415">
        <v>98300.5</v>
      </c>
      <c r="P2736" s="415">
        <v>122626</v>
      </c>
      <c r="Q2736" s="481">
        <f t="shared" si="88"/>
        <v>0</v>
      </c>
    </row>
    <row r="2737" spans="1:17" x14ac:dyDescent="0.3">
      <c r="A2737" s="366" t="str">
        <f>IFERROR(VLOOKUP(RIGHT(E2737,3)+0,[1]SchLocTable!$A$2:$B$47,2,FALSE)," ")</f>
        <v xml:space="preserve"> </v>
      </c>
      <c r="B2737" s="366" t="str">
        <f>VLOOKUP(VALUE(D2737),$D$3:F$106,3,FALSE)</f>
        <v>Extracurricular, HS</v>
      </c>
      <c r="C2737" t="s">
        <v>314</v>
      </c>
      <c r="D2737">
        <v>845</v>
      </c>
      <c r="E2737" t="s">
        <v>914</v>
      </c>
      <c r="F2737" t="s">
        <v>320</v>
      </c>
      <c r="G2737" t="s">
        <v>319</v>
      </c>
      <c r="H2737" s="502">
        <v>52360</v>
      </c>
      <c r="I2737" s="415">
        <v>0</v>
      </c>
      <c r="J2737" s="415">
        <v>0</v>
      </c>
      <c r="K2737" s="415">
        <v>1941.84</v>
      </c>
      <c r="L2737" s="415">
        <v>1947.51</v>
      </c>
      <c r="M2737" s="415">
        <v>2024.62</v>
      </c>
      <c r="N2737" s="415">
        <v>1671.3</v>
      </c>
      <c r="O2737" s="415">
        <v>1404.14</v>
      </c>
      <c r="P2737" s="415">
        <v>1711.79</v>
      </c>
      <c r="Q2737" s="481">
        <f t="shared" si="88"/>
        <v>0</v>
      </c>
    </row>
    <row r="2738" spans="1:17" x14ac:dyDescent="0.3">
      <c r="A2738" s="366" t="str">
        <f>IFERROR(VLOOKUP(RIGHT(E2738,3)+0,[1]SchLocTable!$A$2:$B$47,2,FALSE)," ")</f>
        <v xml:space="preserve"> </v>
      </c>
      <c r="B2738" s="366" t="str">
        <f>VLOOKUP(VALUE(D2738),$D$3:F$106,3,FALSE)</f>
        <v>Extracurricular, HS</v>
      </c>
      <c r="C2738" t="s">
        <v>314</v>
      </c>
      <c r="D2738">
        <v>845</v>
      </c>
      <c r="E2738" t="s">
        <v>914</v>
      </c>
      <c r="F2738" t="s">
        <v>392</v>
      </c>
      <c r="G2738" t="s">
        <v>319</v>
      </c>
      <c r="H2738" s="502">
        <v>52504</v>
      </c>
      <c r="I2738" s="415">
        <v>0</v>
      </c>
      <c r="J2738" s="415">
        <v>0</v>
      </c>
      <c r="K2738" s="415">
        <v>1662.04</v>
      </c>
      <c r="L2738" s="415">
        <v>1827.97</v>
      </c>
      <c r="M2738" s="415">
        <v>907.44</v>
      </c>
      <c r="N2738" s="415">
        <v>1900.04</v>
      </c>
      <c r="O2738" s="415">
        <v>1142.72</v>
      </c>
      <c r="P2738" s="415">
        <v>0</v>
      </c>
      <c r="Q2738" s="481">
        <f t="shared" si="88"/>
        <v>0</v>
      </c>
    </row>
    <row r="2739" spans="1:17" x14ac:dyDescent="0.3">
      <c r="A2739" s="366" t="str">
        <f>IFERROR(VLOOKUP(RIGHT(E2739,3)+0,[1]SchLocTable!$A$2:$B$47,2,FALSE)," ")</f>
        <v xml:space="preserve"> </v>
      </c>
      <c r="B2739" s="366" t="str">
        <f>VLOOKUP(VALUE(D2739),$D$3:F$106,3,FALSE)</f>
        <v>Extracurricular, HS</v>
      </c>
      <c r="C2739" t="s">
        <v>314</v>
      </c>
      <c r="D2739">
        <v>845</v>
      </c>
      <c r="E2739" t="s">
        <v>914</v>
      </c>
      <c r="F2739" t="s">
        <v>324</v>
      </c>
      <c r="G2739" t="s">
        <v>319</v>
      </c>
      <c r="H2739" s="502">
        <v>52385</v>
      </c>
      <c r="I2739" s="415">
        <v>0</v>
      </c>
      <c r="J2739" s="415">
        <v>0</v>
      </c>
      <c r="K2739" s="415">
        <v>52.51</v>
      </c>
      <c r="L2739" s="415">
        <v>110.24</v>
      </c>
      <c r="M2739" s="415">
        <v>273.17</v>
      </c>
      <c r="N2739" s="415">
        <v>192.14</v>
      </c>
      <c r="O2739" s="415">
        <v>137.27000000000001</v>
      </c>
      <c r="P2739" s="415">
        <v>0</v>
      </c>
      <c r="Q2739" s="481">
        <f t="shared" si="88"/>
        <v>0</v>
      </c>
    </row>
    <row r="2740" spans="1:17" x14ac:dyDescent="0.3">
      <c r="A2740" s="366" t="str">
        <f>IFERROR(VLOOKUP(RIGHT(E2740,3)+0,[1]SchLocTable!$A$2:$B$47,2,FALSE)," ")</f>
        <v xml:space="preserve"> </v>
      </c>
      <c r="B2740" s="366" t="str">
        <f>VLOOKUP(VALUE(D2740),$D$3:F$106,3,FALSE)</f>
        <v>Adult Education</v>
      </c>
      <c r="C2740" t="s">
        <v>314</v>
      </c>
      <c r="D2740">
        <v>846</v>
      </c>
      <c r="E2740" t="s">
        <v>915</v>
      </c>
      <c r="F2740" t="s">
        <v>926</v>
      </c>
      <c r="G2740" t="s">
        <v>319</v>
      </c>
      <c r="H2740" s="502">
        <v>56045</v>
      </c>
      <c r="I2740" s="415">
        <v>0</v>
      </c>
      <c r="J2740" s="415">
        <v>0</v>
      </c>
      <c r="K2740" s="415">
        <v>5855.84</v>
      </c>
      <c r="L2740" s="415">
        <v>4889.17</v>
      </c>
      <c r="M2740" s="415">
        <v>4778.47</v>
      </c>
      <c r="N2740" s="415">
        <v>3012.5</v>
      </c>
      <c r="O2740" s="415">
        <v>14125.84</v>
      </c>
      <c r="P2740" s="415">
        <v>14920.15</v>
      </c>
      <c r="Q2740" s="481">
        <f t="shared" si="88"/>
        <v>0</v>
      </c>
    </row>
    <row r="2741" spans="1:17" x14ac:dyDescent="0.3">
      <c r="A2741" s="366" t="str">
        <f>IFERROR(VLOOKUP(RIGHT(E2741,3)+0,[1]SchLocTable!$A$2:$B$47,2,FALSE)," ")</f>
        <v xml:space="preserve"> </v>
      </c>
      <c r="B2741" s="366" t="str">
        <f>VLOOKUP(VALUE(D2741),$D$3:F$106,3,FALSE)</f>
        <v>Adult Education</v>
      </c>
      <c r="C2741" t="s">
        <v>314</v>
      </c>
      <c r="D2741">
        <v>846</v>
      </c>
      <c r="E2741" t="s">
        <v>915</v>
      </c>
      <c r="F2741" t="s">
        <v>789</v>
      </c>
      <c r="G2741" t="s">
        <v>319</v>
      </c>
      <c r="H2741" s="502">
        <v>54540</v>
      </c>
      <c r="I2741" s="415">
        <v>0</v>
      </c>
      <c r="J2741" s="415">
        <v>0</v>
      </c>
      <c r="K2741" s="415">
        <v>240.64</v>
      </c>
      <c r="L2741" s="415">
        <v>260.7</v>
      </c>
      <c r="M2741" s="415">
        <v>524.78</v>
      </c>
      <c r="N2741" s="415">
        <v>1306.25</v>
      </c>
      <c r="O2741" s="415">
        <v>0</v>
      </c>
      <c r="P2741" s="415">
        <v>0</v>
      </c>
      <c r="Q2741" s="481">
        <f t="shared" si="88"/>
        <v>0</v>
      </c>
    </row>
    <row r="2742" spans="1:17" x14ac:dyDescent="0.3">
      <c r="A2742" s="366" t="str">
        <f>IFERROR(VLOOKUP(RIGHT(E2742,3)+0,[1]SchLocTable!$A$2:$B$47,2,FALSE)," ")</f>
        <v xml:space="preserve"> </v>
      </c>
      <c r="B2742" s="366" t="str">
        <f>VLOOKUP(VALUE(D2742),$D$3:F$106,3,FALSE)</f>
        <v>Adult Education</v>
      </c>
      <c r="C2742" t="s">
        <v>314</v>
      </c>
      <c r="D2742">
        <v>846</v>
      </c>
      <c r="E2742" t="s">
        <v>915</v>
      </c>
      <c r="F2742" t="s">
        <v>927</v>
      </c>
      <c r="G2742" t="s">
        <v>319</v>
      </c>
      <c r="H2742" s="502">
        <v>56060</v>
      </c>
      <c r="I2742" s="415">
        <v>0</v>
      </c>
      <c r="J2742" s="415">
        <v>0</v>
      </c>
      <c r="K2742" s="415">
        <v>365</v>
      </c>
      <c r="L2742" s="415">
        <v>628.75</v>
      </c>
      <c r="M2742" s="415">
        <v>117.5</v>
      </c>
      <c r="N2742" s="415">
        <v>0</v>
      </c>
      <c r="O2742" s="415">
        <v>0</v>
      </c>
      <c r="P2742" s="415">
        <v>0</v>
      </c>
      <c r="Q2742" s="481">
        <f t="shared" si="88"/>
        <v>0</v>
      </c>
    </row>
    <row r="2743" spans="1:17" x14ac:dyDescent="0.3">
      <c r="A2743" s="366" t="str">
        <f>IFERROR(VLOOKUP(RIGHT(E2743,3)+0,[1]SchLocTable!$A$2:$B$47,2,FALSE)," ")</f>
        <v xml:space="preserve"> </v>
      </c>
      <c r="B2743" s="366" t="str">
        <f>VLOOKUP(VALUE(D2743),$D$3:F$106,3,FALSE)</f>
        <v>Adult Education</v>
      </c>
      <c r="C2743" t="s">
        <v>314</v>
      </c>
      <c r="D2743">
        <v>846</v>
      </c>
      <c r="E2743" t="s">
        <v>915</v>
      </c>
      <c r="F2743" t="s">
        <v>918</v>
      </c>
      <c r="G2743" t="s">
        <v>319</v>
      </c>
      <c r="H2743" s="502">
        <v>53130</v>
      </c>
      <c r="I2743" s="415">
        <v>261352.94839800001</v>
      </c>
      <c r="J2743" s="415">
        <v>117629.46</v>
      </c>
      <c r="K2743" s="415">
        <v>246350.22</v>
      </c>
      <c r="L2743" s="415">
        <v>151616.09</v>
      </c>
      <c r="M2743" s="415">
        <v>119612.17</v>
      </c>
      <c r="N2743" s="415">
        <v>110971.19</v>
      </c>
      <c r="O2743" s="415">
        <v>133587.95000000001</v>
      </c>
      <c r="P2743" s="415">
        <v>130836.03</v>
      </c>
      <c r="Q2743" s="481">
        <f t="shared" si="88"/>
        <v>-143723.48839800002</v>
      </c>
    </row>
    <row r="2744" spans="1:17" x14ac:dyDescent="0.3">
      <c r="A2744" s="366" t="str">
        <f>IFERROR(VLOOKUP(RIGHT(E2744,3)+0,[1]SchLocTable!$A$2:$B$47,2,FALSE)," ")</f>
        <v xml:space="preserve"> </v>
      </c>
      <c r="B2744" s="366" t="str">
        <f>VLOOKUP(VALUE(D2744),$D$3:F$106,3,FALSE)</f>
        <v>Adult Education</v>
      </c>
      <c r="C2744" t="s">
        <v>314</v>
      </c>
      <c r="D2744">
        <v>846</v>
      </c>
      <c r="E2744" t="s">
        <v>915</v>
      </c>
      <c r="F2744" t="s">
        <v>922</v>
      </c>
      <c r="G2744" t="s">
        <v>319</v>
      </c>
      <c r="H2744" s="502">
        <v>55080</v>
      </c>
      <c r="I2744" s="415">
        <v>0</v>
      </c>
      <c r="J2744" s="415">
        <v>0</v>
      </c>
      <c r="K2744" s="415">
        <v>461.18</v>
      </c>
      <c r="L2744" s="415">
        <v>585.45000000000005</v>
      </c>
      <c r="M2744" s="415">
        <v>190.56</v>
      </c>
      <c r="N2744" s="415">
        <v>38.72</v>
      </c>
      <c r="O2744" s="415">
        <v>0</v>
      </c>
      <c r="P2744" s="415">
        <v>0</v>
      </c>
      <c r="Q2744" s="481">
        <f t="shared" si="88"/>
        <v>0</v>
      </c>
    </row>
    <row r="2745" spans="1:17" x14ac:dyDescent="0.3">
      <c r="A2745" s="366" t="str">
        <f>IFERROR(VLOOKUP(RIGHT(E2745,3)+0,[1]SchLocTable!$A$2:$B$47,2,FALSE)," ")</f>
        <v xml:space="preserve"> </v>
      </c>
      <c r="B2745" s="366" t="str">
        <f>VLOOKUP(VALUE(D2745),$D$3:F$106,3,FALSE)</f>
        <v>Adult Education</v>
      </c>
      <c r="C2745" t="s">
        <v>314</v>
      </c>
      <c r="D2745">
        <v>846</v>
      </c>
      <c r="E2745" t="s">
        <v>915</v>
      </c>
      <c r="F2745" t="s">
        <v>928</v>
      </c>
      <c r="G2745" t="s">
        <v>319</v>
      </c>
      <c r="H2745" s="502">
        <v>56080</v>
      </c>
      <c r="I2745" s="415">
        <v>0</v>
      </c>
      <c r="J2745" s="415">
        <v>0</v>
      </c>
      <c r="K2745" s="415">
        <v>4365.3</v>
      </c>
      <c r="L2745" s="415">
        <v>4055.5</v>
      </c>
      <c r="M2745" s="415">
        <v>760</v>
      </c>
      <c r="N2745" s="415">
        <v>7725</v>
      </c>
      <c r="O2745" s="415">
        <v>11328.5</v>
      </c>
      <c r="P2745" s="415">
        <v>0</v>
      </c>
      <c r="Q2745" s="481">
        <f t="shared" si="88"/>
        <v>0</v>
      </c>
    </row>
    <row r="2746" spans="1:17" x14ac:dyDescent="0.3">
      <c r="A2746" s="366" t="str">
        <f>IFERROR(VLOOKUP(RIGHT(E2746,3)+0,[1]SchLocTable!$A$2:$B$47,2,FALSE)," ")</f>
        <v xml:space="preserve"> </v>
      </c>
      <c r="B2746" s="366" t="str">
        <f>VLOOKUP(VALUE(D2746),$D$3:F$106,3,FALSE)</f>
        <v>Adult Education</v>
      </c>
      <c r="C2746" t="s">
        <v>314</v>
      </c>
      <c r="D2746">
        <v>846</v>
      </c>
      <c r="E2746" t="s">
        <v>915</v>
      </c>
      <c r="F2746" t="s">
        <v>316</v>
      </c>
      <c r="G2746">
        <v>6</v>
      </c>
      <c r="H2746" s="502">
        <v>51000</v>
      </c>
      <c r="I2746" s="415">
        <v>659280.33589599992</v>
      </c>
      <c r="J2746" s="415">
        <v>627094.31999999995</v>
      </c>
      <c r="K2746" s="415">
        <v>802871.5</v>
      </c>
      <c r="L2746" s="415">
        <v>732888.33</v>
      </c>
      <c r="M2746" s="415">
        <v>862342.82</v>
      </c>
      <c r="N2746" s="415">
        <v>813278.62</v>
      </c>
      <c r="O2746" s="415">
        <v>596061.11</v>
      </c>
      <c r="P2746" s="415">
        <v>723918.21</v>
      </c>
      <c r="Q2746" s="481">
        <f t="shared" si="88"/>
        <v>-32186.015895999968</v>
      </c>
    </row>
    <row r="2747" spans="1:17" x14ac:dyDescent="0.3">
      <c r="A2747" s="366" t="str">
        <f>IFERROR(VLOOKUP(RIGHT(E2747,3)+0,[1]SchLocTable!$A$2:$B$47,2,FALSE)," ")</f>
        <v xml:space="preserve"> </v>
      </c>
      <c r="B2747" s="366" t="str">
        <f>VLOOKUP(VALUE(D2747),$D$3:F$106,3,FALSE)</f>
        <v>Adult Education</v>
      </c>
      <c r="C2747" t="s">
        <v>314</v>
      </c>
      <c r="D2747">
        <v>846</v>
      </c>
      <c r="E2747" t="s">
        <v>915</v>
      </c>
      <c r="F2747" t="s">
        <v>919</v>
      </c>
      <c r="G2747" t="s">
        <v>319</v>
      </c>
      <c r="H2747" s="502">
        <v>53140</v>
      </c>
      <c r="I2747" s="415">
        <v>50576.090000000004</v>
      </c>
      <c r="J2747" s="415">
        <v>49103</v>
      </c>
      <c r="K2747" s="415">
        <v>49872.81</v>
      </c>
      <c r="L2747" s="415">
        <v>45227.73</v>
      </c>
      <c r="M2747" s="415">
        <v>62290.03</v>
      </c>
      <c r="N2747" s="415">
        <v>46929.97</v>
      </c>
      <c r="O2747" s="415">
        <v>29364.27</v>
      </c>
      <c r="P2747" s="415">
        <v>49103.3</v>
      </c>
      <c r="Q2747" s="481">
        <f t="shared" si="88"/>
        <v>-1473.0900000000038</v>
      </c>
    </row>
    <row r="2748" spans="1:17" x14ac:dyDescent="0.3">
      <c r="A2748" s="366" t="str">
        <f>IFERROR(VLOOKUP(RIGHT(E2748,3)+0,[1]SchLocTable!$A$2:$B$47,2,FALSE)," ")</f>
        <v xml:space="preserve"> </v>
      </c>
      <c r="B2748" s="366" t="str">
        <f>VLOOKUP(VALUE(D2748),$D$3:F$106,3,FALSE)</f>
        <v>Adult Education</v>
      </c>
      <c r="C2748" t="s">
        <v>314</v>
      </c>
      <c r="D2748">
        <v>846</v>
      </c>
      <c r="E2748" t="s">
        <v>915</v>
      </c>
      <c r="F2748" t="s">
        <v>334</v>
      </c>
      <c r="G2748" t="s">
        <v>319</v>
      </c>
      <c r="H2748" s="502">
        <v>51400</v>
      </c>
      <c r="I2748" s="415">
        <v>0</v>
      </c>
      <c r="J2748" s="415">
        <v>0</v>
      </c>
      <c r="K2748" s="415">
        <v>2000</v>
      </c>
      <c r="L2748" s="415">
        <v>0</v>
      </c>
      <c r="M2748" s="415">
        <v>0</v>
      </c>
      <c r="N2748" s="415">
        <v>0</v>
      </c>
      <c r="O2748" s="415">
        <v>0</v>
      </c>
      <c r="P2748" s="415">
        <v>0</v>
      </c>
      <c r="Q2748" s="481">
        <f t="shared" si="88"/>
        <v>0</v>
      </c>
    </row>
    <row r="2749" spans="1:17" x14ac:dyDescent="0.3">
      <c r="A2749" s="366" t="str">
        <f>IFERROR(VLOOKUP(RIGHT(E2749,3)+0,[1]SchLocTable!$A$2:$B$47,2,FALSE)," ")</f>
        <v xml:space="preserve"> </v>
      </c>
      <c r="B2749" s="366" t="str">
        <f>VLOOKUP(VALUE(D2749),$D$3:F$106,3,FALSE)</f>
        <v>Adult Education</v>
      </c>
      <c r="C2749" t="s">
        <v>314</v>
      </c>
      <c r="D2749">
        <v>846</v>
      </c>
      <c r="E2749" t="s">
        <v>915</v>
      </c>
      <c r="F2749" t="s">
        <v>790</v>
      </c>
      <c r="G2749" t="s">
        <v>319</v>
      </c>
      <c r="H2749" s="502">
        <v>54640</v>
      </c>
      <c r="I2749" s="415">
        <v>0</v>
      </c>
      <c r="J2749" s="415">
        <v>0</v>
      </c>
      <c r="K2749" s="415">
        <v>22.27</v>
      </c>
      <c r="L2749" s="415">
        <v>51.57</v>
      </c>
      <c r="M2749" s="415">
        <v>520.14</v>
      </c>
      <c r="N2749" s="415">
        <v>970.01</v>
      </c>
      <c r="O2749" s="415">
        <v>0</v>
      </c>
      <c r="P2749" s="415">
        <v>0</v>
      </c>
      <c r="Q2749" s="481">
        <f t="shared" si="88"/>
        <v>0</v>
      </c>
    </row>
    <row r="2750" spans="1:17" x14ac:dyDescent="0.3">
      <c r="A2750" s="366" t="str">
        <f>IFERROR(VLOOKUP(RIGHT(E2750,3)+0,[1]SchLocTable!$A$2:$B$47,2,FALSE)," ")</f>
        <v xml:space="preserve"> </v>
      </c>
      <c r="B2750" s="366" t="str">
        <f>VLOOKUP(VALUE(D2750),$D$3:F$106,3,FALSE)</f>
        <v>Adult Education</v>
      </c>
      <c r="C2750" t="s">
        <v>314</v>
      </c>
      <c r="D2750">
        <v>846</v>
      </c>
      <c r="E2750" t="s">
        <v>915</v>
      </c>
      <c r="F2750" t="s">
        <v>360</v>
      </c>
      <c r="G2750" t="s">
        <v>319</v>
      </c>
      <c r="H2750" s="502">
        <v>52920</v>
      </c>
      <c r="I2750" s="415">
        <v>500</v>
      </c>
      <c r="J2750" s="415">
        <v>0</v>
      </c>
      <c r="K2750" s="415">
        <v>500</v>
      </c>
      <c r="L2750" s="415">
        <v>0</v>
      </c>
      <c r="M2750" s="415">
        <v>0</v>
      </c>
      <c r="N2750" s="415">
        <v>0</v>
      </c>
      <c r="O2750" s="415">
        <v>0</v>
      </c>
      <c r="P2750" s="415">
        <v>0</v>
      </c>
      <c r="Q2750" s="481">
        <f t="shared" si="88"/>
        <v>-500</v>
      </c>
    </row>
    <row r="2751" spans="1:17" x14ac:dyDescent="0.3">
      <c r="A2751" s="366" t="str">
        <f>IFERROR(VLOOKUP(RIGHT(E2751,3)+0,[1]SchLocTable!$A$2:$B$47,2,FALSE)," ")</f>
        <v xml:space="preserve"> </v>
      </c>
      <c r="B2751" s="366" t="str">
        <f>VLOOKUP(VALUE(D2751),$D$3:F$106,3,FALSE)</f>
        <v>Adult Education</v>
      </c>
      <c r="C2751" t="s">
        <v>314</v>
      </c>
      <c r="D2751">
        <v>846</v>
      </c>
      <c r="E2751" t="s">
        <v>915</v>
      </c>
      <c r="F2751" t="s">
        <v>321</v>
      </c>
      <c r="G2751" t="s">
        <v>319</v>
      </c>
      <c r="H2751" s="502">
        <v>52917</v>
      </c>
      <c r="I2751" s="415">
        <v>149624.17199999999</v>
      </c>
      <c r="J2751" s="415">
        <v>125461.67</v>
      </c>
      <c r="K2751" s="415">
        <v>159668.73000000001</v>
      </c>
      <c r="L2751" s="415">
        <v>197481.78</v>
      </c>
      <c r="M2751" s="415">
        <v>172002.41</v>
      </c>
      <c r="N2751" s="415">
        <v>187316.89</v>
      </c>
      <c r="O2751" s="415">
        <v>106637.72</v>
      </c>
      <c r="P2751" s="415">
        <v>146153.29</v>
      </c>
      <c r="Q2751" s="481">
        <f t="shared" ref="Q2751:Q2814" si="89">J2751-I2751</f>
        <v>-24162.501999999993</v>
      </c>
    </row>
    <row r="2752" spans="1:17" x14ac:dyDescent="0.3">
      <c r="A2752" s="366" t="str">
        <f>IFERROR(VLOOKUP(RIGHT(E2752,3)+0,[1]SchLocTable!$A$2:$B$47,2,FALSE)," ")</f>
        <v xml:space="preserve"> </v>
      </c>
      <c r="B2752" s="366" t="str">
        <f>VLOOKUP(VALUE(D2752),$D$3:F$106,3,FALSE)</f>
        <v>Adult Education</v>
      </c>
      <c r="C2752" t="s">
        <v>314</v>
      </c>
      <c r="D2752">
        <v>846</v>
      </c>
      <c r="E2752" t="s">
        <v>915</v>
      </c>
      <c r="F2752" t="s">
        <v>923</v>
      </c>
      <c r="G2752" t="s">
        <v>319</v>
      </c>
      <c r="H2752" s="502">
        <v>55110</v>
      </c>
      <c r="I2752" s="415">
        <v>0</v>
      </c>
      <c r="J2752" s="415">
        <v>0</v>
      </c>
      <c r="K2752" s="415">
        <v>12606.73</v>
      </c>
      <c r="L2752" s="415">
        <v>76.069999999999993</v>
      </c>
      <c r="M2752" s="415">
        <v>6109.71</v>
      </c>
      <c r="N2752" s="415">
        <v>0</v>
      </c>
      <c r="O2752" s="415">
        <v>0</v>
      </c>
      <c r="P2752" s="415">
        <v>0</v>
      </c>
      <c r="Q2752" s="481">
        <f t="shared" si="89"/>
        <v>0</v>
      </c>
    </row>
    <row r="2753" spans="1:17" x14ac:dyDescent="0.3">
      <c r="A2753" s="366" t="str">
        <f>IFERROR(VLOOKUP(RIGHT(E2753,3)+0,[1]SchLocTable!$A$2:$B$47,2,FALSE)," ")</f>
        <v xml:space="preserve"> </v>
      </c>
      <c r="B2753" s="366" t="str">
        <f>VLOOKUP(VALUE(D2753),$D$3:F$106,3,FALSE)</f>
        <v>Adult Education</v>
      </c>
      <c r="C2753" t="s">
        <v>314</v>
      </c>
      <c r="D2753">
        <v>846</v>
      </c>
      <c r="E2753" t="s">
        <v>915</v>
      </c>
      <c r="F2753" t="s">
        <v>929</v>
      </c>
      <c r="G2753" t="s">
        <v>319</v>
      </c>
      <c r="H2753" s="502">
        <v>56125</v>
      </c>
      <c r="I2753" s="415">
        <v>0</v>
      </c>
      <c r="J2753" s="415">
        <v>0</v>
      </c>
      <c r="K2753" s="415">
        <v>4709.07</v>
      </c>
      <c r="L2753" s="415">
        <v>4340.55</v>
      </c>
      <c r="M2753" s="415">
        <v>6593.43</v>
      </c>
      <c r="N2753" s="415">
        <v>4557.59</v>
      </c>
      <c r="O2753" s="415">
        <v>0</v>
      </c>
      <c r="P2753" s="415">
        <v>0</v>
      </c>
      <c r="Q2753" s="481">
        <f t="shared" si="89"/>
        <v>0</v>
      </c>
    </row>
    <row r="2754" spans="1:17" x14ac:dyDescent="0.3">
      <c r="A2754" s="366" t="str">
        <f>IFERROR(VLOOKUP(RIGHT(E2754,3)+0,[1]SchLocTable!$A$2:$B$47,2,FALSE)," ")</f>
        <v xml:space="preserve"> </v>
      </c>
      <c r="B2754" s="366" t="str">
        <f>VLOOKUP(VALUE(D2754),$D$3:F$106,3,FALSE)</f>
        <v>Adult Education</v>
      </c>
      <c r="C2754" t="s">
        <v>314</v>
      </c>
      <c r="D2754">
        <v>846</v>
      </c>
      <c r="E2754" t="s">
        <v>915</v>
      </c>
      <c r="F2754" t="s">
        <v>318</v>
      </c>
      <c r="G2754" t="s">
        <v>319</v>
      </c>
      <c r="H2754" s="502">
        <v>51140</v>
      </c>
      <c r="I2754" s="415">
        <v>1200</v>
      </c>
      <c r="J2754" s="415">
        <v>0</v>
      </c>
      <c r="K2754" s="415">
        <v>7086.25</v>
      </c>
      <c r="L2754" s="415">
        <v>7250</v>
      </c>
      <c r="M2754" s="415">
        <v>7465</v>
      </c>
      <c r="N2754" s="415">
        <v>7180</v>
      </c>
      <c r="O2754" s="415">
        <v>7885</v>
      </c>
      <c r="P2754" s="415">
        <v>7530</v>
      </c>
      <c r="Q2754" s="481">
        <f t="shared" si="89"/>
        <v>-1200</v>
      </c>
    </row>
    <row r="2755" spans="1:17" x14ac:dyDescent="0.3">
      <c r="A2755" s="366" t="str">
        <f>IFERROR(VLOOKUP(RIGHT(E2755,3)+0,[1]SchLocTable!$A$2:$B$47,2,FALSE)," ")</f>
        <v xml:space="preserve"> </v>
      </c>
      <c r="B2755" s="366" t="str">
        <f>VLOOKUP(VALUE(D2755),$D$3:F$106,3,FALSE)</f>
        <v>Adult Education</v>
      </c>
      <c r="C2755" t="s">
        <v>314</v>
      </c>
      <c r="D2755">
        <v>846</v>
      </c>
      <c r="E2755" t="s">
        <v>915</v>
      </c>
      <c r="F2755" t="s">
        <v>320</v>
      </c>
      <c r="G2755" t="s">
        <v>319</v>
      </c>
      <c r="H2755" s="502">
        <v>52360</v>
      </c>
      <c r="I2755" s="415">
        <v>9566.8148704920004</v>
      </c>
      <c r="J2755" s="415">
        <v>8772</v>
      </c>
      <c r="K2755" s="415">
        <v>10920.8</v>
      </c>
      <c r="L2755" s="415">
        <v>9820.68</v>
      </c>
      <c r="M2755" s="415">
        <v>11871.47</v>
      </c>
      <c r="N2755" s="415">
        <v>10998.29</v>
      </c>
      <c r="O2755" s="415">
        <v>8767.35</v>
      </c>
      <c r="P2755" s="415">
        <v>8789.26</v>
      </c>
      <c r="Q2755" s="481">
        <f t="shared" si="89"/>
        <v>-794.81487049200041</v>
      </c>
    </row>
    <row r="2756" spans="1:17" x14ac:dyDescent="0.3">
      <c r="A2756" s="366" t="str">
        <f>IFERROR(VLOOKUP(RIGHT(E2756,3)+0,[1]SchLocTable!$A$2:$B$47,2,FALSE)," ")</f>
        <v xml:space="preserve"> </v>
      </c>
      <c r="B2756" s="366" t="str">
        <f>VLOOKUP(VALUE(D2756),$D$3:F$106,3,FALSE)</f>
        <v>Adult Education</v>
      </c>
      <c r="C2756" t="s">
        <v>314</v>
      </c>
      <c r="D2756">
        <v>846</v>
      </c>
      <c r="E2756" t="s">
        <v>915</v>
      </c>
      <c r="F2756" t="s">
        <v>392</v>
      </c>
      <c r="G2756" t="s">
        <v>319</v>
      </c>
      <c r="H2756" s="502">
        <v>52504</v>
      </c>
      <c r="I2756" s="415">
        <v>9673.5389718488004</v>
      </c>
      <c r="J2756" s="415">
        <v>8942.92</v>
      </c>
      <c r="K2756" s="415">
        <v>60274.559999999998</v>
      </c>
      <c r="L2756" s="415">
        <v>73506.73</v>
      </c>
      <c r="M2756" s="415">
        <v>56548.31</v>
      </c>
      <c r="N2756" s="415">
        <v>77840.3</v>
      </c>
      <c r="O2756" s="415">
        <v>55989.27</v>
      </c>
      <c r="P2756" s="415">
        <v>43522.51</v>
      </c>
      <c r="Q2756" s="481">
        <f t="shared" si="89"/>
        <v>-730.61897184880036</v>
      </c>
    </row>
    <row r="2757" spans="1:17" x14ac:dyDescent="0.3">
      <c r="A2757" s="366" t="str">
        <f>IFERROR(VLOOKUP(RIGHT(E2757,3)+0,[1]SchLocTable!$A$2:$B$47,2,FALSE)," ")</f>
        <v xml:space="preserve"> </v>
      </c>
      <c r="B2757" s="366" t="str">
        <f>VLOOKUP(VALUE(D2757),$D$3:F$106,3,FALSE)</f>
        <v>Adult Education</v>
      </c>
      <c r="C2757" t="s">
        <v>314</v>
      </c>
      <c r="D2757">
        <v>846</v>
      </c>
      <c r="E2757" t="s">
        <v>915</v>
      </c>
      <c r="F2757" t="s">
        <v>924</v>
      </c>
      <c r="G2757" t="s">
        <v>319</v>
      </c>
      <c r="H2757" s="502">
        <v>55155</v>
      </c>
      <c r="I2757" s="415">
        <v>0</v>
      </c>
      <c r="J2757" s="415">
        <v>0</v>
      </c>
      <c r="K2757" s="415">
        <v>42546.95</v>
      </c>
      <c r="L2757" s="415">
        <v>45448.18</v>
      </c>
      <c r="M2757" s="415">
        <v>0</v>
      </c>
      <c r="N2757" s="415">
        <v>9100</v>
      </c>
      <c r="O2757" s="415">
        <v>9074.5300000000007</v>
      </c>
      <c r="P2757" s="415">
        <v>14590.46</v>
      </c>
      <c r="Q2757" s="481">
        <f t="shared" si="89"/>
        <v>0</v>
      </c>
    </row>
    <row r="2758" spans="1:17" x14ac:dyDescent="0.3">
      <c r="A2758" s="366" t="str">
        <f>IFERROR(VLOOKUP(RIGHT(E2758,3)+0,[1]SchLocTable!$A$2:$B$47,2,FALSE)," ")</f>
        <v xml:space="preserve"> </v>
      </c>
      <c r="B2758" s="366" t="str">
        <f>VLOOKUP(VALUE(D2758),$D$3:F$106,3,FALSE)</f>
        <v>Adult Education</v>
      </c>
      <c r="C2758" t="s">
        <v>314</v>
      </c>
      <c r="D2758">
        <v>846</v>
      </c>
      <c r="E2758" t="s">
        <v>915</v>
      </c>
      <c r="F2758" t="s">
        <v>901</v>
      </c>
      <c r="G2758" t="s">
        <v>319</v>
      </c>
      <c r="H2758" s="502">
        <v>56170</v>
      </c>
      <c r="I2758" s="415">
        <v>0</v>
      </c>
      <c r="J2758" s="415">
        <v>0</v>
      </c>
      <c r="K2758" s="415">
        <v>9425.76</v>
      </c>
      <c r="L2758" s="415">
        <v>14192.1</v>
      </c>
      <c r="M2758" s="415">
        <v>3843.75</v>
      </c>
      <c r="N2758" s="415">
        <v>5783.96</v>
      </c>
      <c r="O2758" s="415">
        <v>2270.84</v>
      </c>
      <c r="P2758" s="415">
        <v>8712.83</v>
      </c>
      <c r="Q2758" s="481">
        <f t="shared" si="89"/>
        <v>0</v>
      </c>
    </row>
    <row r="2759" spans="1:17" x14ac:dyDescent="0.3">
      <c r="A2759" s="366" t="str">
        <f>IFERROR(VLOOKUP(RIGHT(E2759,3)+0,[1]SchLocTable!$A$2:$B$47,2,FALSE)," ")</f>
        <v xml:space="preserve"> </v>
      </c>
      <c r="B2759" s="366" t="str">
        <f>VLOOKUP(VALUE(D2759),$D$3:F$106,3,FALSE)</f>
        <v>Adult Education</v>
      </c>
      <c r="C2759" t="s">
        <v>314</v>
      </c>
      <c r="D2759">
        <v>846</v>
      </c>
      <c r="E2759" t="s">
        <v>915</v>
      </c>
      <c r="F2759" t="s">
        <v>464</v>
      </c>
      <c r="G2759" t="s">
        <v>319</v>
      </c>
      <c r="H2759" s="502">
        <v>56180</v>
      </c>
      <c r="I2759" s="415">
        <v>0</v>
      </c>
      <c r="J2759" s="415">
        <v>0</v>
      </c>
      <c r="K2759" s="415">
        <v>842.5</v>
      </c>
      <c r="L2759" s="415">
        <v>894.5</v>
      </c>
      <c r="M2759" s="415">
        <v>1130.44</v>
      </c>
      <c r="N2759" s="415">
        <v>11067</v>
      </c>
      <c r="O2759" s="415">
        <v>26081.8</v>
      </c>
      <c r="P2759" s="415">
        <v>20485.89</v>
      </c>
      <c r="Q2759" s="481">
        <f t="shared" si="89"/>
        <v>0</v>
      </c>
    </row>
    <row r="2760" spans="1:17" x14ac:dyDescent="0.3">
      <c r="A2760" s="366" t="str">
        <f>IFERROR(VLOOKUP(RIGHT(E2760,3)+0,[1]SchLocTable!$A$2:$B$47,2,FALSE)," ")</f>
        <v xml:space="preserve"> </v>
      </c>
      <c r="B2760" s="366" t="str">
        <f>VLOOKUP(VALUE(D2760),$D$3:F$106,3,FALSE)</f>
        <v>Adult Education</v>
      </c>
      <c r="C2760" t="s">
        <v>314</v>
      </c>
      <c r="D2760">
        <v>846</v>
      </c>
      <c r="E2760" t="s">
        <v>915</v>
      </c>
      <c r="F2760" t="s">
        <v>419</v>
      </c>
      <c r="G2760" t="s">
        <v>319</v>
      </c>
      <c r="H2760" s="502">
        <v>51318</v>
      </c>
      <c r="I2760" s="415">
        <v>0</v>
      </c>
      <c r="J2760" s="415">
        <v>0</v>
      </c>
      <c r="K2760" s="415">
        <v>356.19</v>
      </c>
      <c r="L2760" s="415">
        <v>0</v>
      </c>
      <c r="M2760" s="415">
        <v>0</v>
      </c>
      <c r="N2760" s="415">
        <v>0</v>
      </c>
      <c r="O2760" s="415">
        <v>548.54</v>
      </c>
      <c r="P2760" s="415">
        <v>0</v>
      </c>
      <c r="Q2760" s="481">
        <f t="shared" si="89"/>
        <v>0</v>
      </c>
    </row>
    <row r="2761" spans="1:17" x14ac:dyDescent="0.3">
      <c r="A2761" s="366" t="str">
        <f>IFERROR(VLOOKUP(RIGHT(E2761,3)+0,[1]SchLocTable!$A$2:$B$47,2,FALSE)," ")</f>
        <v xml:space="preserve"> </v>
      </c>
      <c r="B2761" s="366" t="str">
        <f>VLOOKUP(VALUE(D2761),$D$3:F$106,3,FALSE)</f>
        <v>Adult Education</v>
      </c>
      <c r="C2761" t="s">
        <v>314</v>
      </c>
      <c r="D2761">
        <v>846</v>
      </c>
      <c r="E2761" t="s">
        <v>915</v>
      </c>
      <c r="F2761" t="s">
        <v>921</v>
      </c>
      <c r="G2761" t="s">
        <v>319</v>
      </c>
      <c r="H2761" s="502">
        <v>54715</v>
      </c>
      <c r="I2761" s="415">
        <v>0</v>
      </c>
      <c r="J2761" s="415">
        <v>0</v>
      </c>
      <c r="K2761" s="415">
        <v>602.53</v>
      </c>
      <c r="L2761" s="415">
        <v>13.78</v>
      </c>
      <c r="M2761" s="415">
        <v>46.75</v>
      </c>
      <c r="N2761" s="415">
        <v>0</v>
      </c>
      <c r="O2761" s="415">
        <v>0</v>
      </c>
      <c r="P2761" s="415">
        <v>0</v>
      </c>
      <c r="Q2761" s="481">
        <f t="shared" si="89"/>
        <v>0</v>
      </c>
    </row>
    <row r="2762" spans="1:17" x14ac:dyDescent="0.3">
      <c r="A2762" s="366" t="str">
        <f>IFERROR(VLOOKUP(RIGHT(E2762,3)+0,[1]SchLocTable!$A$2:$B$47,2,FALSE)," ")</f>
        <v xml:space="preserve"> </v>
      </c>
      <c r="B2762" s="366" t="str">
        <f>VLOOKUP(VALUE(D2762),$D$3:F$106,3,FALSE)</f>
        <v>Adult Education</v>
      </c>
      <c r="C2762" t="s">
        <v>314</v>
      </c>
      <c r="D2762">
        <v>846</v>
      </c>
      <c r="E2762" t="s">
        <v>915</v>
      </c>
      <c r="F2762" t="s">
        <v>461</v>
      </c>
      <c r="G2762" t="s">
        <v>319</v>
      </c>
      <c r="H2762" s="502">
        <v>53050</v>
      </c>
      <c r="I2762" s="415">
        <v>118248</v>
      </c>
      <c r="J2762" s="415">
        <v>118248</v>
      </c>
      <c r="K2762" s="415">
        <v>133968</v>
      </c>
      <c r="L2762" s="415">
        <v>119229</v>
      </c>
      <c r="M2762" s="415">
        <v>108427</v>
      </c>
      <c r="N2762" s="415">
        <v>118284</v>
      </c>
      <c r="O2762" s="415">
        <v>118269</v>
      </c>
      <c r="P2762" s="415">
        <v>118248</v>
      </c>
      <c r="Q2762" s="481">
        <f t="shared" si="89"/>
        <v>0</v>
      </c>
    </row>
    <row r="2763" spans="1:17" x14ac:dyDescent="0.3">
      <c r="A2763" s="366" t="str">
        <f>IFERROR(VLOOKUP(RIGHT(E2763,3)+0,[1]SchLocTable!$A$2:$B$47,2,FALSE)," ")</f>
        <v xml:space="preserve"> </v>
      </c>
      <c r="B2763" s="366" t="str">
        <f>VLOOKUP(VALUE(D2763),$D$3:F$106,3,FALSE)</f>
        <v>Adult Education</v>
      </c>
      <c r="C2763" t="s">
        <v>314</v>
      </c>
      <c r="D2763">
        <v>846</v>
      </c>
      <c r="E2763" t="s">
        <v>915</v>
      </c>
      <c r="F2763" t="s">
        <v>930</v>
      </c>
      <c r="G2763" t="s">
        <v>319</v>
      </c>
      <c r="H2763" s="502">
        <v>56215</v>
      </c>
      <c r="I2763" s="415">
        <v>0</v>
      </c>
      <c r="J2763" s="415">
        <v>0</v>
      </c>
      <c r="K2763" s="415">
        <v>17786.46</v>
      </c>
      <c r="L2763" s="415">
        <v>17591.23</v>
      </c>
      <c r="M2763" s="415">
        <v>0</v>
      </c>
      <c r="N2763" s="415">
        <v>14138.95</v>
      </c>
      <c r="O2763" s="415">
        <v>4711.41</v>
      </c>
      <c r="P2763" s="415">
        <v>10559.21</v>
      </c>
      <c r="Q2763" s="481">
        <f t="shared" si="89"/>
        <v>0</v>
      </c>
    </row>
    <row r="2764" spans="1:17" x14ac:dyDescent="0.3">
      <c r="A2764" s="366" t="str">
        <f>IFERROR(VLOOKUP(RIGHT(E2764,3)+0,[1]SchLocTable!$A$2:$B$47,2,FALSE)," ")</f>
        <v xml:space="preserve"> </v>
      </c>
      <c r="B2764" s="366" t="str">
        <f>VLOOKUP(VALUE(D2764),$D$3:F$106,3,FALSE)</f>
        <v>Adult Education</v>
      </c>
      <c r="C2764" t="s">
        <v>314</v>
      </c>
      <c r="D2764">
        <v>846</v>
      </c>
      <c r="E2764" t="s">
        <v>915</v>
      </c>
      <c r="F2764" t="s">
        <v>931</v>
      </c>
      <c r="G2764" t="s">
        <v>319</v>
      </c>
      <c r="H2764" s="502">
        <v>56225</v>
      </c>
      <c r="I2764" s="415">
        <v>0</v>
      </c>
      <c r="J2764" s="415">
        <v>0</v>
      </c>
      <c r="K2764" s="415">
        <v>13869.97</v>
      </c>
      <c r="L2764" s="415">
        <v>13336.6</v>
      </c>
      <c r="M2764" s="415">
        <v>12762.29</v>
      </c>
      <c r="N2764" s="415">
        <v>22432.02</v>
      </c>
      <c r="O2764" s="415">
        <v>11475.5</v>
      </c>
      <c r="P2764" s="415">
        <v>9147.5</v>
      </c>
      <c r="Q2764" s="481">
        <f t="shared" si="89"/>
        <v>0</v>
      </c>
    </row>
    <row r="2765" spans="1:17" x14ac:dyDescent="0.3">
      <c r="A2765" s="366" t="str">
        <f>IFERROR(VLOOKUP(RIGHT(E2765,3)+0,[1]SchLocTable!$A$2:$B$47,2,FALSE)," ")</f>
        <v xml:space="preserve"> </v>
      </c>
      <c r="B2765" s="366" t="str">
        <f>VLOOKUP(VALUE(D2765),$D$3:F$106,3,FALSE)</f>
        <v>Adult Education</v>
      </c>
      <c r="C2765" t="s">
        <v>314</v>
      </c>
      <c r="D2765">
        <v>846</v>
      </c>
      <c r="E2765" t="s">
        <v>915</v>
      </c>
      <c r="F2765" t="s">
        <v>917</v>
      </c>
      <c r="G2765" t="s">
        <v>319</v>
      </c>
      <c r="H2765" s="502">
        <v>53120</v>
      </c>
      <c r="I2765" s="415">
        <v>11008.672857</v>
      </c>
      <c r="J2765" s="415">
        <v>0</v>
      </c>
      <c r="K2765" s="415">
        <v>10376.73</v>
      </c>
      <c r="L2765" s="415">
        <v>6680.3</v>
      </c>
      <c r="M2765" s="415">
        <v>6068.61</v>
      </c>
      <c r="N2765" s="415">
        <v>3812.18</v>
      </c>
      <c r="O2765" s="415">
        <v>4835.25</v>
      </c>
      <c r="P2765" s="415">
        <v>8843</v>
      </c>
      <c r="Q2765" s="481">
        <f t="shared" si="89"/>
        <v>-11008.672857</v>
      </c>
    </row>
    <row r="2766" spans="1:17" x14ac:dyDescent="0.3">
      <c r="A2766" s="366" t="str">
        <f>IFERROR(VLOOKUP(RIGHT(E2766,3)+0,[1]SchLocTable!$A$2:$B$47,2,FALSE)," ")</f>
        <v xml:space="preserve"> </v>
      </c>
      <c r="B2766" s="366" t="str">
        <f>VLOOKUP(VALUE(D2766),$D$3:F$106,3,FALSE)</f>
        <v>Adult Education</v>
      </c>
      <c r="C2766" t="s">
        <v>314</v>
      </c>
      <c r="D2766">
        <v>846</v>
      </c>
      <c r="E2766" t="s">
        <v>915</v>
      </c>
      <c r="F2766" t="s">
        <v>324</v>
      </c>
      <c r="G2766" t="s">
        <v>319</v>
      </c>
      <c r="H2766" s="502">
        <v>52385</v>
      </c>
      <c r="I2766" s="415">
        <v>0</v>
      </c>
      <c r="J2766" s="415">
        <v>0</v>
      </c>
      <c r="K2766" s="415">
        <v>0</v>
      </c>
      <c r="L2766" s="415">
        <v>538.46</v>
      </c>
      <c r="M2766" s="415">
        <v>0</v>
      </c>
      <c r="N2766" s="415">
        <v>442.7</v>
      </c>
      <c r="O2766" s="415">
        <v>0</v>
      </c>
      <c r="P2766" s="415">
        <v>0</v>
      </c>
      <c r="Q2766" s="481">
        <f t="shared" si="89"/>
        <v>0</v>
      </c>
    </row>
    <row r="2767" spans="1:17" x14ac:dyDescent="0.3">
      <c r="A2767" s="366" t="str">
        <f>IFERROR(VLOOKUP(RIGHT(E2767,3)+0,[1]SchLocTable!$A$2:$B$47,2,FALSE)," ")</f>
        <v xml:space="preserve"> </v>
      </c>
      <c r="B2767" s="366" t="str">
        <f>VLOOKUP(VALUE(D2767),$D$3:F$106,3,FALSE)</f>
        <v>Adult Education</v>
      </c>
      <c r="C2767" t="s">
        <v>314</v>
      </c>
      <c r="D2767">
        <v>846</v>
      </c>
      <c r="E2767" t="s">
        <v>915</v>
      </c>
      <c r="F2767" t="s">
        <v>920</v>
      </c>
      <c r="G2767" t="s">
        <v>319</v>
      </c>
      <c r="H2767" s="502">
        <v>53720</v>
      </c>
      <c r="I2767" s="415">
        <v>0</v>
      </c>
      <c r="J2767" s="415">
        <v>0</v>
      </c>
      <c r="K2767" s="415">
        <v>12539.51</v>
      </c>
      <c r="L2767" s="415">
        <v>17846.2</v>
      </c>
      <c r="M2767" s="415">
        <v>0</v>
      </c>
      <c r="N2767" s="415">
        <v>0</v>
      </c>
      <c r="O2767" s="415">
        <v>11000.71</v>
      </c>
      <c r="P2767" s="415">
        <v>13506.2</v>
      </c>
      <c r="Q2767" s="481">
        <f t="shared" si="89"/>
        <v>0</v>
      </c>
    </row>
    <row r="2768" spans="1:17" x14ac:dyDescent="0.3">
      <c r="A2768" s="366" t="str">
        <f>IFERROR(VLOOKUP(RIGHT(E2768,3)+0,[1]SchLocTable!$A$2:$B$47,2,FALSE)," ")</f>
        <v xml:space="preserve"> </v>
      </c>
      <c r="B2768" s="366" t="str">
        <f>VLOOKUP(VALUE(D2768),$D$3:F$106,3,FALSE)</f>
        <v>Adult Education</v>
      </c>
      <c r="C2768" t="s">
        <v>314</v>
      </c>
      <c r="D2768">
        <v>846</v>
      </c>
      <c r="E2768" t="s">
        <v>915</v>
      </c>
      <c r="F2768" t="s">
        <v>560</v>
      </c>
      <c r="G2768" t="s">
        <v>319</v>
      </c>
      <c r="H2768" s="502">
        <v>51404</v>
      </c>
      <c r="I2768" s="415">
        <v>0</v>
      </c>
      <c r="J2768" s="415">
        <v>0</v>
      </c>
      <c r="K2768" s="415">
        <v>0</v>
      </c>
      <c r="L2768" s="415">
        <v>0</v>
      </c>
      <c r="M2768" s="415">
        <v>1200</v>
      </c>
      <c r="N2768" s="415">
        <v>1400</v>
      </c>
      <c r="O2768" s="415">
        <v>1200</v>
      </c>
      <c r="P2768" s="415">
        <v>1150</v>
      </c>
      <c r="Q2768" s="481">
        <f t="shared" si="89"/>
        <v>0</v>
      </c>
    </row>
    <row r="2769" spans="1:17" x14ac:dyDescent="0.3">
      <c r="A2769" s="366" t="str">
        <f>IFERROR(VLOOKUP(RIGHT(E2769,3)+0,[1]SchLocTable!$A$2:$B$47,2,FALSE)," ")</f>
        <v xml:space="preserve"> </v>
      </c>
      <c r="B2769" s="366" t="str">
        <f>VLOOKUP(VALUE(D2769),$D$3:F$106,3,FALSE)</f>
        <v>Adult Education</v>
      </c>
      <c r="C2769" t="s">
        <v>314</v>
      </c>
      <c r="D2769">
        <v>846</v>
      </c>
      <c r="E2769" t="s">
        <v>915</v>
      </c>
      <c r="F2769" t="s">
        <v>329</v>
      </c>
      <c r="G2769" t="s">
        <v>319</v>
      </c>
      <c r="H2769" s="502">
        <v>51154</v>
      </c>
      <c r="I2769" s="415">
        <v>0</v>
      </c>
      <c r="J2769" s="415">
        <v>0</v>
      </c>
      <c r="K2769" s="415">
        <v>9948.1299999999992</v>
      </c>
      <c r="L2769" s="415">
        <v>0</v>
      </c>
      <c r="M2769" s="415">
        <v>0</v>
      </c>
      <c r="N2769" s="415">
        <v>0</v>
      </c>
      <c r="O2769" s="415">
        <v>0</v>
      </c>
      <c r="P2769" s="415">
        <v>0</v>
      </c>
      <c r="Q2769" s="481">
        <f t="shared" si="89"/>
        <v>0</v>
      </c>
    </row>
    <row r="2770" spans="1:17" x14ac:dyDescent="0.3">
      <c r="A2770" s="366" t="str">
        <f>IFERROR(VLOOKUP(RIGHT(E2770,3)+0,[1]SchLocTable!$A$2:$B$47,2,FALSE)," ")</f>
        <v xml:space="preserve"> </v>
      </c>
      <c r="B2770" s="366" t="str">
        <f>VLOOKUP(VALUE(D2770),$D$3:F$106,3,FALSE)</f>
        <v>Adult Education</v>
      </c>
      <c r="C2770" t="s">
        <v>314</v>
      </c>
      <c r="D2770">
        <v>846</v>
      </c>
      <c r="E2770" t="s">
        <v>915</v>
      </c>
      <c r="F2770" t="s">
        <v>418</v>
      </c>
      <c r="G2770" t="s">
        <v>319</v>
      </c>
      <c r="H2770" s="502">
        <v>51314</v>
      </c>
      <c r="I2770" s="415">
        <v>14226.3806</v>
      </c>
      <c r="J2770" s="415">
        <v>0</v>
      </c>
      <c r="K2770" s="415">
        <v>13812.02</v>
      </c>
      <c r="L2770" s="415">
        <v>0</v>
      </c>
      <c r="M2770" s="415">
        <v>0</v>
      </c>
      <c r="N2770" s="415">
        <v>0</v>
      </c>
      <c r="O2770" s="415">
        <v>330.53</v>
      </c>
      <c r="P2770" s="415">
        <v>0</v>
      </c>
      <c r="Q2770" s="481">
        <f t="shared" si="89"/>
        <v>-14226.3806</v>
      </c>
    </row>
    <row r="2771" spans="1:17" x14ac:dyDescent="0.3">
      <c r="A2771" s="366" t="str">
        <f>IFERROR(VLOOKUP(RIGHT(E2771,3)+0,[1]SchLocTable!$A$2:$B$47,2,FALSE)," ")</f>
        <v xml:space="preserve"> </v>
      </c>
      <c r="B2771" s="366" t="str">
        <f>VLOOKUP(VALUE(D2771),$D$3:F$106,3,FALSE)</f>
        <v>Adult Education</v>
      </c>
      <c r="C2771" t="s">
        <v>314</v>
      </c>
      <c r="D2771">
        <v>846</v>
      </c>
      <c r="E2771" t="s">
        <v>915</v>
      </c>
      <c r="F2771" t="s">
        <v>356</v>
      </c>
      <c r="G2771" t="s">
        <v>319</v>
      </c>
      <c r="H2771" s="502">
        <v>51156</v>
      </c>
      <c r="I2771" s="415">
        <v>0</v>
      </c>
      <c r="J2771" s="415">
        <v>0</v>
      </c>
      <c r="K2771" s="415">
        <v>1234.48</v>
      </c>
      <c r="L2771" s="415">
        <v>1563.1</v>
      </c>
      <c r="M2771" s="415">
        <v>1513.4</v>
      </c>
      <c r="N2771" s="415">
        <v>2427.3000000000002</v>
      </c>
      <c r="O2771" s="415">
        <v>6460.13</v>
      </c>
      <c r="P2771" s="415">
        <v>2368.9299999999998</v>
      </c>
      <c r="Q2771" s="481">
        <f t="shared" si="89"/>
        <v>0</v>
      </c>
    </row>
    <row r="2772" spans="1:17" x14ac:dyDescent="0.3">
      <c r="A2772" s="366" t="str">
        <f>IFERROR(VLOOKUP(RIGHT(E2772,3)+0,[1]SchLocTable!$A$2:$B$47,2,FALSE)," ")</f>
        <v xml:space="preserve"> </v>
      </c>
      <c r="B2772" s="366" t="str">
        <f>VLOOKUP(VALUE(D2772),$D$3:F$106,3,FALSE)</f>
        <v>Adult Education</v>
      </c>
      <c r="C2772" t="s">
        <v>314</v>
      </c>
      <c r="D2772">
        <v>846</v>
      </c>
      <c r="E2772" t="s">
        <v>915</v>
      </c>
      <c r="F2772" t="s">
        <v>916</v>
      </c>
      <c r="G2772" t="s">
        <v>319</v>
      </c>
      <c r="H2772" s="502">
        <v>53110</v>
      </c>
      <c r="I2772" s="415">
        <v>6186.2245990000001</v>
      </c>
      <c r="J2772" s="415">
        <v>11125</v>
      </c>
      <c r="K2772" s="415">
        <v>5831.11</v>
      </c>
      <c r="L2772" s="415">
        <v>6511.94</v>
      </c>
      <c r="M2772" s="415">
        <v>5557.22</v>
      </c>
      <c r="N2772" s="415">
        <v>3674.55</v>
      </c>
      <c r="O2772" s="415">
        <v>5087.54</v>
      </c>
      <c r="P2772" s="415">
        <v>11125</v>
      </c>
      <c r="Q2772" s="481">
        <f t="shared" si="89"/>
        <v>4938.7754009999999</v>
      </c>
    </row>
    <row r="2773" spans="1:17" x14ac:dyDescent="0.3">
      <c r="A2773" s="366" t="str">
        <f>IFERROR(VLOOKUP(RIGHT(E2773,3)+0,[1]SchLocTable!$A$2:$B$47,2,FALSE)," ")</f>
        <v xml:space="preserve"> </v>
      </c>
      <c r="B2773" s="366" t="str">
        <f>VLOOKUP(VALUE(D2773),$D$3:F$106,3,FALSE)</f>
        <v>Adult Education</v>
      </c>
      <c r="C2773" t="s">
        <v>314</v>
      </c>
      <c r="D2773">
        <v>846</v>
      </c>
      <c r="E2773" t="s">
        <v>915</v>
      </c>
      <c r="F2773" t="s">
        <v>925</v>
      </c>
      <c r="G2773" t="s">
        <v>319</v>
      </c>
      <c r="H2773" s="502">
        <v>55220</v>
      </c>
      <c r="I2773" s="415">
        <v>0</v>
      </c>
      <c r="J2773" s="415">
        <v>0</v>
      </c>
      <c r="K2773" s="415">
        <v>305</v>
      </c>
      <c r="L2773" s="415">
        <v>0</v>
      </c>
      <c r="M2773" s="415">
        <v>0</v>
      </c>
      <c r="N2773" s="415">
        <v>0</v>
      </c>
      <c r="O2773" s="415">
        <v>0</v>
      </c>
      <c r="P2773" s="415">
        <v>0</v>
      </c>
      <c r="Q2773" s="481">
        <f t="shared" si="89"/>
        <v>0</v>
      </c>
    </row>
    <row r="2774" spans="1:17" x14ac:dyDescent="0.3">
      <c r="A2774" s="366" t="str">
        <f>IFERROR(VLOOKUP(RIGHT(E2774,3)+0,[1]SchLocTable!$A$2:$B$47,2,FALSE)," ")</f>
        <v xml:space="preserve"> </v>
      </c>
      <c r="B2774" s="366" t="str">
        <f>VLOOKUP(VALUE(D2774),$D$3:F$106,3,FALSE)</f>
        <v>Adult Ed Security</v>
      </c>
      <c r="C2774" t="s">
        <v>314</v>
      </c>
      <c r="D2774">
        <v>847</v>
      </c>
      <c r="E2774" t="s">
        <v>932</v>
      </c>
      <c r="F2774" t="s">
        <v>318</v>
      </c>
      <c r="G2774" t="s">
        <v>319</v>
      </c>
      <c r="H2774" s="502">
        <v>51140</v>
      </c>
      <c r="I2774" s="415">
        <v>0</v>
      </c>
      <c r="J2774" s="415">
        <v>0</v>
      </c>
      <c r="K2774" s="415">
        <v>1743.75</v>
      </c>
      <c r="L2774" s="415">
        <v>2250</v>
      </c>
      <c r="M2774" s="415">
        <v>0</v>
      </c>
      <c r="N2774" s="415">
        <v>0</v>
      </c>
      <c r="O2774" s="415">
        <v>0</v>
      </c>
      <c r="P2774" s="415">
        <v>0</v>
      </c>
      <c r="Q2774" s="481">
        <f t="shared" si="89"/>
        <v>0</v>
      </c>
    </row>
    <row r="2775" spans="1:17" x14ac:dyDescent="0.3">
      <c r="A2775" s="366" t="str">
        <f>IFERROR(VLOOKUP(RIGHT(E2775,3)+0,[1]SchLocTable!$A$2:$B$47,2,FALSE)," ")</f>
        <v xml:space="preserve"> </v>
      </c>
      <c r="B2775" s="366" t="str">
        <f>VLOOKUP(VALUE(D2775),$D$3:F$106,3,FALSE)</f>
        <v>Adult Ed Security</v>
      </c>
      <c r="C2775" t="s">
        <v>314</v>
      </c>
      <c r="D2775">
        <v>847</v>
      </c>
      <c r="E2775" t="s">
        <v>932</v>
      </c>
      <c r="F2775" t="s">
        <v>320</v>
      </c>
      <c r="G2775" t="s">
        <v>319</v>
      </c>
      <c r="H2775" s="502">
        <v>52360</v>
      </c>
      <c r="I2775" s="415">
        <v>1856.4931827</v>
      </c>
      <c r="J2775" s="415">
        <v>1276.55</v>
      </c>
      <c r="K2775" s="415">
        <v>1341.37</v>
      </c>
      <c r="L2775" s="415">
        <v>1170.7</v>
      </c>
      <c r="M2775" s="415">
        <v>1135.0899999999999</v>
      </c>
      <c r="N2775" s="415">
        <v>1072</v>
      </c>
      <c r="O2775" s="415">
        <v>0</v>
      </c>
      <c r="P2775" s="415">
        <v>1374.37</v>
      </c>
      <c r="Q2775" s="481">
        <f t="shared" si="89"/>
        <v>-579.94318270000008</v>
      </c>
    </row>
    <row r="2776" spans="1:17" x14ac:dyDescent="0.3">
      <c r="A2776" s="366" t="str">
        <f>IFERROR(VLOOKUP(RIGHT(E2776,3)+0,[1]SchLocTable!$A$2:$B$47,2,FALSE)," ")</f>
        <v xml:space="preserve"> </v>
      </c>
      <c r="B2776" s="366" t="str">
        <f>VLOOKUP(VALUE(D2776),$D$3:F$106,3,FALSE)</f>
        <v>Adult Ed Security</v>
      </c>
      <c r="C2776" t="s">
        <v>314</v>
      </c>
      <c r="D2776">
        <v>847</v>
      </c>
      <c r="E2776" t="s">
        <v>932</v>
      </c>
      <c r="F2776" t="s">
        <v>392</v>
      </c>
      <c r="G2776" t="s">
        <v>319</v>
      </c>
      <c r="H2776" s="502">
        <v>52504</v>
      </c>
      <c r="I2776" s="415">
        <v>26605.467818280002</v>
      </c>
      <c r="J2776" s="415">
        <v>18294.55</v>
      </c>
      <c r="K2776" s="415">
        <v>19050.919999999998</v>
      </c>
      <c r="L2776" s="415">
        <v>16990.240000000002</v>
      </c>
      <c r="M2776" s="415">
        <v>16930.68</v>
      </c>
      <c r="N2776" s="415">
        <v>14122.8</v>
      </c>
      <c r="O2776" s="415">
        <v>0</v>
      </c>
      <c r="P2776" s="415">
        <v>15791.51</v>
      </c>
      <c r="Q2776" s="481">
        <f t="shared" si="89"/>
        <v>-8310.9178182800024</v>
      </c>
    </row>
    <row r="2777" spans="1:17" x14ac:dyDescent="0.3">
      <c r="A2777" s="366" t="str">
        <f>IFERROR(VLOOKUP(RIGHT(E2777,3)+0,[1]SchLocTable!$A$2:$B$47,2,FALSE)," ")</f>
        <v xml:space="preserve"> </v>
      </c>
      <c r="B2777" s="366" t="str">
        <f>VLOOKUP(VALUE(D2777),$D$3:F$106,3,FALSE)</f>
        <v>Adult Ed Security</v>
      </c>
      <c r="C2777" t="s">
        <v>314</v>
      </c>
      <c r="D2777">
        <v>847</v>
      </c>
      <c r="E2777" t="s">
        <v>932</v>
      </c>
      <c r="F2777" t="s">
        <v>452</v>
      </c>
      <c r="G2777" t="s">
        <v>319</v>
      </c>
      <c r="H2777" s="502">
        <v>51108</v>
      </c>
      <c r="I2777" s="415">
        <v>0</v>
      </c>
      <c r="J2777" s="415">
        <v>0</v>
      </c>
      <c r="K2777" s="415">
        <v>690.82</v>
      </c>
      <c r="L2777" s="415">
        <v>251.22</v>
      </c>
      <c r="M2777" s="415">
        <v>0</v>
      </c>
      <c r="N2777" s="415">
        <v>0</v>
      </c>
      <c r="O2777" s="415">
        <v>780.58</v>
      </c>
      <c r="P2777" s="415">
        <v>1617.04</v>
      </c>
      <c r="Q2777" s="481">
        <f t="shared" si="89"/>
        <v>0</v>
      </c>
    </row>
    <row r="2778" spans="1:17" x14ac:dyDescent="0.3">
      <c r="A2778" s="366" t="str">
        <f>IFERROR(VLOOKUP(RIGHT(E2778,3)+0,[1]SchLocTable!$A$2:$B$47,2,FALSE)," ")</f>
        <v xml:space="preserve"> </v>
      </c>
      <c r="B2778" s="366" t="str">
        <f>VLOOKUP(VALUE(D2778),$D$3:F$106,3,FALSE)</f>
        <v>Adult Ed Security</v>
      </c>
      <c r="C2778" t="s">
        <v>314</v>
      </c>
      <c r="D2778">
        <v>847</v>
      </c>
      <c r="E2778" t="s">
        <v>932</v>
      </c>
      <c r="F2778" t="s">
        <v>483</v>
      </c>
      <c r="G2778" t="s">
        <v>319</v>
      </c>
      <c r="H2778" s="502">
        <v>51122</v>
      </c>
      <c r="I2778" s="415">
        <v>104556.75568000002</v>
      </c>
      <c r="J2778" s="415">
        <v>88039.44</v>
      </c>
      <c r="K2778" s="415">
        <v>90092.29</v>
      </c>
      <c r="L2778" s="415">
        <v>81073.2</v>
      </c>
      <c r="M2778" s="415">
        <v>78455.399999999994</v>
      </c>
      <c r="N2778" s="415">
        <v>74183.149999999994</v>
      </c>
      <c r="O2778" s="415">
        <v>69769.279999999999</v>
      </c>
      <c r="P2778" s="415">
        <v>93211.93</v>
      </c>
      <c r="Q2778" s="481">
        <f t="shared" si="89"/>
        <v>-16517.315680000014</v>
      </c>
    </row>
    <row r="2779" spans="1:17" x14ac:dyDescent="0.3">
      <c r="A2779" s="366" t="str">
        <f>IFERROR(VLOOKUP(RIGHT(E2779,3)+0,[1]SchLocTable!$A$2:$B$47,2,FALSE)," ")</f>
        <v xml:space="preserve"> </v>
      </c>
      <c r="B2779" s="366" t="str">
        <f>VLOOKUP(VALUE(D2779),$D$3:F$106,3,FALSE)</f>
        <v>Adult Ed Security</v>
      </c>
      <c r="C2779" t="s">
        <v>314</v>
      </c>
      <c r="D2779">
        <v>847</v>
      </c>
      <c r="E2779" t="s">
        <v>932</v>
      </c>
      <c r="F2779" t="s">
        <v>324</v>
      </c>
      <c r="G2779" t="s">
        <v>319</v>
      </c>
      <c r="H2779" s="502">
        <v>52385</v>
      </c>
      <c r="I2779" s="415">
        <v>0</v>
      </c>
      <c r="J2779" s="415">
        <v>0</v>
      </c>
      <c r="K2779" s="415">
        <v>0</v>
      </c>
      <c r="L2779" s="415">
        <v>15.32</v>
      </c>
      <c r="M2779" s="415">
        <v>0</v>
      </c>
      <c r="N2779" s="415">
        <v>0</v>
      </c>
      <c r="O2779" s="415">
        <v>0</v>
      </c>
      <c r="P2779" s="415">
        <v>0</v>
      </c>
      <c r="Q2779" s="481">
        <f t="shared" si="89"/>
        <v>0</v>
      </c>
    </row>
    <row r="2780" spans="1:17" x14ac:dyDescent="0.3">
      <c r="A2780" s="366" t="str">
        <f>IFERROR(VLOOKUP(RIGHT(E2780,3)+0,[1]SchLocTable!$A$2:$B$47,2,FALSE)," ")</f>
        <v xml:space="preserve"> </v>
      </c>
      <c r="B2780" s="366" t="str">
        <f>VLOOKUP(VALUE(D2780),$D$3:F$106,3,FALSE)</f>
        <v>Adult Ed Custodial</v>
      </c>
      <c r="C2780" t="s">
        <v>314</v>
      </c>
      <c r="D2780">
        <v>848</v>
      </c>
      <c r="E2780" t="s">
        <v>933</v>
      </c>
      <c r="F2780" t="s">
        <v>318</v>
      </c>
      <c r="G2780" t="s">
        <v>319</v>
      </c>
      <c r="H2780" s="502">
        <v>51140</v>
      </c>
      <c r="I2780" s="415">
        <v>0</v>
      </c>
      <c r="J2780" s="415">
        <v>0</v>
      </c>
      <c r="K2780" s="415">
        <v>0</v>
      </c>
      <c r="L2780" s="415">
        <v>2943.75</v>
      </c>
      <c r="M2780" s="415">
        <v>0</v>
      </c>
      <c r="N2780" s="415">
        <v>0</v>
      </c>
      <c r="O2780" s="415">
        <v>0</v>
      </c>
      <c r="P2780" s="415">
        <v>0</v>
      </c>
      <c r="Q2780" s="481">
        <f t="shared" si="89"/>
        <v>0</v>
      </c>
    </row>
    <row r="2781" spans="1:17" x14ac:dyDescent="0.3">
      <c r="A2781" s="366" t="str">
        <f>IFERROR(VLOOKUP(RIGHT(E2781,3)+0,[1]SchLocTable!$A$2:$B$47,2,FALSE)," ")</f>
        <v xml:space="preserve"> </v>
      </c>
      <c r="B2781" s="366" t="str">
        <f>VLOOKUP(VALUE(D2781),$D$3:F$106,3,FALSE)</f>
        <v>Adult Ed Custodial</v>
      </c>
      <c r="C2781" t="s">
        <v>314</v>
      </c>
      <c r="D2781">
        <v>848</v>
      </c>
      <c r="E2781" t="s">
        <v>933</v>
      </c>
      <c r="F2781" t="s">
        <v>320</v>
      </c>
      <c r="G2781" t="s">
        <v>319</v>
      </c>
      <c r="H2781" s="502">
        <v>52360</v>
      </c>
      <c r="I2781" s="415">
        <v>456.48913050000004</v>
      </c>
      <c r="J2781" s="415">
        <v>250.38</v>
      </c>
      <c r="K2781" s="415">
        <v>270.91000000000003</v>
      </c>
      <c r="L2781" s="415">
        <v>292.32</v>
      </c>
      <c r="M2781" s="415">
        <v>230.02</v>
      </c>
      <c r="N2781" s="415">
        <v>225.87</v>
      </c>
      <c r="O2781" s="415">
        <v>0</v>
      </c>
      <c r="P2781" s="415">
        <v>196.43</v>
      </c>
      <c r="Q2781" s="481">
        <f t="shared" si="89"/>
        <v>-206.10913050000005</v>
      </c>
    </row>
    <row r="2782" spans="1:17" x14ac:dyDescent="0.3">
      <c r="A2782" s="366" t="str">
        <f>IFERROR(VLOOKUP(RIGHT(E2782,3)+0,[1]SchLocTable!$A$2:$B$47,2,FALSE)," ")</f>
        <v xml:space="preserve"> </v>
      </c>
      <c r="B2782" s="366" t="str">
        <f>VLOOKUP(VALUE(D2782),$D$3:F$106,3,FALSE)</f>
        <v>Adult Ed Custodial</v>
      </c>
      <c r="C2782" t="s">
        <v>314</v>
      </c>
      <c r="D2782">
        <v>848</v>
      </c>
      <c r="E2782" t="s">
        <v>933</v>
      </c>
      <c r="F2782" t="s">
        <v>392</v>
      </c>
      <c r="G2782" t="s">
        <v>319</v>
      </c>
      <c r="H2782" s="502">
        <v>52504</v>
      </c>
      <c r="I2782" s="415">
        <v>6541.9614702000008</v>
      </c>
      <c r="J2782" s="415">
        <v>3736.06</v>
      </c>
      <c r="K2782" s="415">
        <v>3870.54</v>
      </c>
      <c r="L2782" s="415">
        <v>4133.54</v>
      </c>
      <c r="M2782" s="415">
        <v>3441.58</v>
      </c>
      <c r="N2782" s="415">
        <v>2964.02</v>
      </c>
      <c r="O2782" s="415">
        <v>0</v>
      </c>
      <c r="P2782" s="415">
        <v>1938.56</v>
      </c>
      <c r="Q2782" s="481">
        <f t="shared" si="89"/>
        <v>-2805.9014702000009</v>
      </c>
    </row>
    <row r="2783" spans="1:17" x14ac:dyDescent="0.3">
      <c r="A2783" s="366" t="str">
        <f>IFERROR(VLOOKUP(RIGHT(E2783,3)+0,[1]SchLocTable!$A$2:$B$47,2,FALSE)," ")</f>
        <v xml:space="preserve"> </v>
      </c>
      <c r="B2783" s="366" t="str">
        <f>VLOOKUP(VALUE(D2783),$D$3:F$106,3,FALSE)</f>
        <v>Adult Ed Custodial</v>
      </c>
      <c r="C2783" t="s">
        <v>314</v>
      </c>
      <c r="D2783">
        <v>848</v>
      </c>
      <c r="E2783" t="s">
        <v>933</v>
      </c>
      <c r="F2783" t="s">
        <v>452</v>
      </c>
      <c r="G2783" t="s">
        <v>319</v>
      </c>
      <c r="H2783" s="502">
        <v>51108</v>
      </c>
      <c r="I2783" s="415">
        <v>0</v>
      </c>
      <c r="J2783" s="415">
        <v>0</v>
      </c>
      <c r="K2783" s="415">
        <v>137.62</v>
      </c>
      <c r="L2783" s="415">
        <v>115.84</v>
      </c>
      <c r="M2783" s="415">
        <v>0</v>
      </c>
      <c r="N2783" s="415">
        <v>0</v>
      </c>
      <c r="O2783" s="415">
        <v>0</v>
      </c>
      <c r="P2783" s="415">
        <v>0</v>
      </c>
      <c r="Q2783" s="481">
        <f t="shared" si="89"/>
        <v>0</v>
      </c>
    </row>
    <row r="2784" spans="1:17" x14ac:dyDescent="0.3">
      <c r="A2784" s="366" t="str">
        <f>IFERROR(VLOOKUP(RIGHT(E2784,3)+0,[1]SchLocTable!$A$2:$B$47,2,FALSE)," ")</f>
        <v xml:space="preserve"> </v>
      </c>
      <c r="B2784" s="366" t="str">
        <f>VLOOKUP(VALUE(D2784),$D$3:F$106,3,FALSE)</f>
        <v>Adult Ed Custodial</v>
      </c>
      <c r="C2784" t="s">
        <v>314</v>
      </c>
      <c r="D2784">
        <v>848</v>
      </c>
      <c r="E2784" t="s">
        <v>933</v>
      </c>
      <c r="F2784" t="s">
        <v>483</v>
      </c>
      <c r="G2784" t="s">
        <v>319</v>
      </c>
      <c r="H2784" s="502">
        <v>51122</v>
      </c>
      <c r="I2784" s="415">
        <v>25014.392000000003</v>
      </c>
      <c r="J2784" s="415">
        <v>17312.95</v>
      </c>
      <c r="K2784" s="415">
        <v>18660.560000000001</v>
      </c>
      <c r="L2784" s="415">
        <v>17212.53</v>
      </c>
      <c r="M2784" s="415">
        <v>15948.9</v>
      </c>
      <c r="N2784" s="415">
        <v>15583.17</v>
      </c>
      <c r="O2784" s="415">
        <v>30301.35</v>
      </c>
      <c r="P2784" s="415">
        <v>13607.65</v>
      </c>
      <c r="Q2784" s="481">
        <f t="shared" si="89"/>
        <v>-7701.4420000000027</v>
      </c>
    </row>
    <row r="2785" spans="1:17" x14ac:dyDescent="0.3">
      <c r="A2785" s="366" t="str">
        <f>IFERROR(VLOOKUP(RIGHT(E2785,3)+0,[1]SchLocTable!$A$2:$B$47,2,FALSE)," ")</f>
        <v xml:space="preserve"> </v>
      </c>
      <c r="B2785" s="366" t="str">
        <f>VLOOKUP(VALUE(D2785),$D$3:F$106,3,FALSE)</f>
        <v>Summer School</v>
      </c>
      <c r="C2785" t="s">
        <v>314</v>
      </c>
      <c r="D2785">
        <v>849</v>
      </c>
      <c r="E2785" t="s">
        <v>934</v>
      </c>
      <c r="F2785" t="s">
        <v>316</v>
      </c>
      <c r="G2785" t="s">
        <v>319</v>
      </c>
      <c r="H2785" s="502">
        <v>51000</v>
      </c>
      <c r="I2785" s="415">
        <v>0</v>
      </c>
      <c r="J2785" s="415">
        <v>0</v>
      </c>
      <c r="K2785" s="415">
        <v>1050</v>
      </c>
      <c r="L2785" s="415">
        <v>945</v>
      </c>
      <c r="M2785" s="415">
        <v>0</v>
      </c>
      <c r="N2785" s="415">
        <v>0</v>
      </c>
      <c r="O2785" s="415">
        <v>0</v>
      </c>
      <c r="P2785" s="415">
        <v>0</v>
      </c>
      <c r="Q2785" s="481">
        <f t="shared" si="89"/>
        <v>0</v>
      </c>
    </row>
    <row r="2786" spans="1:17" x14ac:dyDescent="0.3">
      <c r="A2786" s="366" t="str">
        <f>IFERROR(VLOOKUP(RIGHT(E2786,3)+0,[1]SchLocTable!$A$2:$B$47,2,FALSE)," ")</f>
        <v xml:space="preserve"> </v>
      </c>
      <c r="B2786" s="366" t="str">
        <f>VLOOKUP(VALUE(D2786),$D$3:F$106,3,FALSE)</f>
        <v>Summer School</v>
      </c>
      <c r="C2786" t="s">
        <v>314</v>
      </c>
      <c r="D2786">
        <v>849</v>
      </c>
      <c r="E2786" t="s">
        <v>934</v>
      </c>
      <c r="F2786" t="s">
        <v>320</v>
      </c>
      <c r="G2786" t="s">
        <v>319</v>
      </c>
      <c r="H2786" s="502">
        <v>52360</v>
      </c>
      <c r="I2786" s="415">
        <v>0</v>
      </c>
      <c r="J2786" s="415">
        <v>646.71</v>
      </c>
      <c r="K2786" s="415">
        <v>1022.94</v>
      </c>
      <c r="L2786" s="415">
        <v>334.42</v>
      </c>
      <c r="M2786" s="415">
        <v>1412.55</v>
      </c>
      <c r="N2786" s="415">
        <v>993.47</v>
      </c>
      <c r="O2786" s="415">
        <v>767.18</v>
      </c>
      <c r="P2786" s="415">
        <v>604.55999999999995</v>
      </c>
      <c r="Q2786" s="481">
        <f t="shared" si="89"/>
        <v>646.71</v>
      </c>
    </row>
    <row r="2787" spans="1:17" x14ac:dyDescent="0.3">
      <c r="A2787" s="366" t="str">
        <f>IFERROR(VLOOKUP(RIGHT(E2787,3)+0,[1]SchLocTable!$A$2:$B$47,2,FALSE)," ")</f>
        <v xml:space="preserve"> </v>
      </c>
      <c r="B2787" s="366" t="str">
        <f>VLOOKUP(VALUE(D2787),$D$3:F$106,3,FALSE)</f>
        <v>Summer School</v>
      </c>
      <c r="C2787" t="s">
        <v>314</v>
      </c>
      <c r="D2787">
        <v>849</v>
      </c>
      <c r="E2787" t="s">
        <v>934</v>
      </c>
      <c r="F2787" t="s">
        <v>317</v>
      </c>
      <c r="G2787" t="s">
        <v>319</v>
      </c>
      <c r="H2787" s="502">
        <v>51100</v>
      </c>
      <c r="I2787" s="415">
        <v>0</v>
      </c>
      <c r="J2787" s="415">
        <v>51330</v>
      </c>
      <c r="K2787" s="415">
        <v>61901</v>
      </c>
      <c r="L2787" s="415">
        <v>23669</v>
      </c>
      <c r="M2787" s="415">
        <v>97554.9</v>
      </c>
      <c r="N2787" s="415">
        <v>68402</v>
      </c>
      <c r="O2787" s="415">
        <v>56647.75</v>
      </c>
      <c r="P2787" s="415">
        <v>45045</v>
      </c>
      <c r="Q2787" s="481">
        <f t="shared" si="89"/>
        <v>51330</v>
      </c>
    </row>
    <row r="2788" spans="1:17" x14ac:dyDescent="0.3">
      <c r="A2788" s="366" t="str">
        <f>IFERROR(VLOOKUP(RIGHT(E2788,3)+0,[1]SchLocTable!$A$2:$B$47,2,FALSE)," ")</f>
        <v xml:space="preserve"> </v>
      </c>
      <c r="B2788" s="366" t="str">
        <f>VLOOKUP(VALUE(D2788),$D$3:F$106,3,FALSE)</f>
        <v>Summer School</v>
      </c>
      <c r="C2788" t="s">
        <v>314</v>
      </c>
      <c r="D2788">
        <v>849</v>
      </c>
      <c r="E2788" t="s">
        <v>934</v>
      </c>
      <c r="F2788" t="s">
        <v>324</v>
      </c>
      <c r="G2788" t="s">
        <v>319</v>
      </c>
      <c r="H2788" s="502">
        <v>52385</v>
      </c>
      <c r="I2788" s="415">
        <v>0</v>
      </c>
      <c r="J2788" s="415">
        <v>0</v>
      </c>
      <c r="K2788" s="415">
        <v>0</v>
      </c>
      <c r="L2788" s="415">
        <v>0</v>
      </c>
      <c r="M2788" s="415">
        <v>213.53</v>
      </c>
      <c r="N2788" s="415">
        <v>0</v>
      </c>
      <c r="O2788" s="415">
        <v>0</v>
      </c>
      <c r="P2788" s="415">
        <v>0</v>
      </c>
      <c r="Q2788" s="481">
        <f t="shared" si="89"/>
        <v>0</v>
      </c>
    </row>
    <row r="2789" spans="1:17" x14ac:dyDescent="0.3">
      <c r="A2789" s="366" t="str">
        <f>IFERROR(VLOOKUP(RIGHT(E2789,3)+0,[1]SchLocTable!$A$2:$B$47,2,FALSE)," ")</f>
        <v xml:space="preserve"> </v>
      </c>
      <c r="B2789" s="366" t="str">
        <f>VLOOKUP(VALUE(D2789),$D$3:F$106,3,FALSE)</f>
        <v>Fringes</v>
      </c>
      <c r="C2789" t="s">
        <v>314</v>
      </c>
      <c r="D2789">
        <v>850</v>
      </c>
      <c r="E2789" t="s">
        <v>935</v>
      </c>
      <c r="F2789" t="s">
        <v>948</v>
      </c>
      <c r="G2789" t="s">
        <v>319</v>
      </c>
      <c r="H2789" s="502">
        <v>56090</v>
      </c>
      <c r="I2789" s="415">
        <v>7000</v>
      </c>
      <c r="J2789" s="415">
        <v>7000</v>
      </c>
      <c r="K2789" s="415">
        <v>7000</v>
      </c>
      <c r="L2789" s="415">
        <v>7000</v>
      </c>
      <c r="M2789" s="415">
        <v>7000</v>
      </c>
      <c r="N2789" s="415">
        <v>7000</v>
      </c>
      <c r="O2789" s="415">
        <v>0</v>
      </c>
      <c r="P2789" s="415">
        <v>0</v>
      </c>
      <c r="Q2789" s="481">
        <f t="shared" si="89"/>
        <v>0</v>
      </c>
    </row>
    <row r="2790" spans="1:17" x14ac:dyDescent="0.3">
      <c r="A2790" s="366" t="str">
        <f>IFERROR(VLOOKUP(RIGHT(E2790,3)+0,[1]SchLocTable!$A$2:$B$47,2,FALSE)," ")</f>
        <v xml:space="preserve"> </v>
      </c>
      <c r="B2790" s="366" t="str">
        <f>VLOOKUP(VALUE(D2790),$D$3:F$106,3,FALSE)</f>
        <v>Fringes</v>
      </c>
      <c r="C2790" t="s">
        <v>314</v>
      </c>
      <c r="D2790">
        <v>850</v>
      </c>
      <c r="E2790" t="s">
        <v>935</v>
      </c>
      <c r="F2790" t="s">
        <v>940</v>
      </c>
      <c r="G2790" t="s">
        <v>319</v>
      </c>
      <c r="H2790" s="502">
        <v>52163</v>
      </c>
      <c r="I2790" s="415">
        <v>600000</v>
      </c>
      <c r="J2790" s="415">
        <v>600000</v>
      </c>
      <c r="K2790" s="415">
        <v>725000</v>
      </c>
      <c r="L2790" s="415">
        <v>725000</v>
      </c>
      <c r="M2790" s="415">
        <v>971600</v>
      </c>
      <c r="N2790" s="415">
        <v>943300</v>
      </c>
      <c r="O2790" s="415">
        <v>943300</v>
      </c>
      <c r="P2790" s="415">
        <v>811400</v>
      </c>
      <c r="Q2790" s="481">
        <f t="shared" si="89"/>
        <v>0</v>
      </c>
    </row>
    <row r="2791" spans="1:17" x14ac:dyDescent="0.3">
      <c r="A2791" s="366" t="str">
        <f>IFERROR(VLOOKUP(RIGHT(E2791,3)+0,[1]SchLocTable!$A$2:$B$47,2,FALSE)," ")</f>
        <v xml:space="preserve"> </v>
      </c>
      <c r="B2791" s="366" t="str">
        <f>VLOOKUP(VALUE(D2791),$D$3:F$106,3,FALSE)</f>
        <v>Fringes</v>
      </c>
      <c r="C2791" t="s">
        <v>314</v>
      </c>
      <c r="D2791">
        <v>850</v>
      </c>
      <c r="E2791" t="s">
        <v>935</v>
      </c>
      <c r="F2791" t="s">
        <v>942</v>
      </c>
      <c r="G2791" t="s">
        <v>319</v>
      </c>
      <c r="H2791" s="502">
        <v>52260</v>
      </c>
      <c r="I2791" s="415">
        <v>95600</v>
      </c>
      <c r="J2791" s="415">
        <v>95600</v>
      </c>
      <c r="K2791" s="415">
        <v>88000</v>
      </c>
      <c r="L2791" s="415">
        <v>88000</v>
      </c>
      <c r="M2791" s="415">
        <v>88000</v>
      </c>
      <c r="N2791" s="415">
        <v>85000</v>
      </c>
      <c r="O2791" s="415">
        <v>85000</v>
      </c>
      <c r="P2791" s="415">
        <v>85000</v>
      </c>
      <c r="Q2791" s="481">
        <f t="shared" si="89"/>
        <v>0</v>
      </c>
    </row>
    <row r="2792" spans="1:17" x14ac:dyDescent="0.3">
      <c r="A2792" s="366" t="str">
        <f>IFERROR(VLOOKUP(RIGHT(E2792,3)+0,[1]SchLocTable!$A$2:$B$47,2,FALSE)," ")</f>
        <v xml:space="preserve"> </v>
      </c>
      <c r="B2792" s="366" t="str">
        <f>VLOOKUP(VALUE(D2792),$D$3:F$106,3,FALSE)</f>
        <v>Fringes</v>
      </c>
      <c r="C2792" t="s">
        <v>314</v>
      </c>
      <c r="D2792">
        <v>850</v>
      </c>
      <c r="E2792" t="s">
        <v>935</v>
      </c>
      <c r="F2792" t="s">
        <v>946</v>
      </c>
      <c r="G2792" t="s">
        <v>319</v>
      </c>
      <c r="H2792" s="502">
        <v>52886</v>
      </c>
      <c r="I2792" s="415">
        <v>14916000</v>
      </c>
      <c r="J2792" s="415">
        <v>12430000</v>
      </c>
      <c r="K2792" s="415">
        <v>11000000</v>
      </c>
      <c r="L2792" s="415">
        <v>9734470.7400000002</v>
      </c>
      <c r="M2792" s="415">
        <v>8000000</v>
      </c>
      <c r="N2792" s="415">
        <v>9800000</v>
      </c>
      <c r="O2792" s="415">
        <v>13370848.07</v>
      </c>
      <c r="P2792" s="415">
        <v>0</v>
      </c>
      <c r="Q2792" s="481">
        <f t="shared" si="89"/>
        <v>-2486000</v>
      </c>
    </row>
    <row r="2793" spans="1:17" x14ac:dyDescent="0.3">
      <c r="A2793" s="366" t="str">
        <f>IFERROR(VLOOKUP(RIGHT(E2793,3)+0,[1]SchLocTable!$A$2:$B$47,2,FALSE)," ")</f>
        <v xml:space="preserve"> </v>
      </c>
      <c r="B2793" s="366" t="str">
        <f>VLOOKUP(VALUE(D2793),$D$3:F$106,3,FALSE)</f>
        <v>Fringes</v>
      </c>
      <c r="C2793" t="s">
        <v>314</v>
      </c>
      <c r="D2793">
        <v>850</v>
      </c>
      <c r="E2793" t="s">
        <v>935</v>
      </c>
      <c r="F2793" t="s">
        <v>938</v>
      </c>
      <c r="G2793" t="s">
        <v>319</v>
      </c>
      <c r="H2793" s="502">
        <v>52138</v>
      </c>
      <c r="I2793" s="415">
        <v>7500</v>
      </c>
      <c r="J2793" s="415">
        <v>7500</v>
      </c>
      <c r="K2793" s="415">
        <v>6800</v>
      </c>
      <c r="L2793" s="415">
        <v>6800</v>
      </c>
      <c r="M2793" s="415">
        <v>6500</v>
      </c>
      <c r="N2793" s="415">
        <v>6000</v>
      </c>
      <c r="O2793" s="415">
        <v>6000</v>
      </c>
      <c r="P2793" s="415">
        <v>6000</v>
      </c>
      <c r="Q2793" s="481">
        <f t="shared" si="89"/>
        <v>0</v>
      </c>
    </row>
    <row r="2794" spans="1:17" x14ac:dyDescent="0.3">
      <c r="A2794" s="366" t="str">
        <f>IFERROR(VLOOKUP(RIGHT(E2794,3)+0,[1]SchLocTable!$A$2:$B$47,2,FALSE)," ")</f>
        <v xml:space="preserve"> </v>
      </c>
      <c r="B2794" s="366" t="str">
        <f>VLOOKUP(VALUE(D2794),$D$3:F$106,3,FALSE)</f>
        <v>Fringes</v>
      </c>
      <c r="C2794" t="s">
        <v>314</v>
      </c>
      <c r="D2794">
        <v>850</v>
      </c>
      <c r="E2794" t="s">
        <v>935</v>
      </c>
      <c r="F2794" t="s">
        <v>936</v>
      </c>
      <c r="G2794" t="s">
        <v>319</v>
      </c>
      <c r="H2794" s="502">
        <v>52024</v>
      </c>
      <c r="I2794" s="415">
        <v>42395</v>
      </c>
      <c r="J2794" s="415">
        <v>42395</v>
      </c>
      <c r="K2794" s="415">
        <v>41160</v>
      </c>
      <c r="L2794" s="415">
        <v>41160</v>
      </c>
      <c r="M2794" s="415">
        <v>41160</v>
      </c>
      <c r="N2794" s="415">
        <v>39200</v>
      </c>
      <c r="O2794" s="415">
        <v>37400</v>
      </c>
      <c r="P2794" s="415">
        <v>37400</v>
      </c>
      <c r="Q2794" s="481">
        <f t="shared" si="89"/>
        <v>0</v>
      </c>
    </row>
    <row r="2795" spans="1:17" x14ac:dyDescent="0.3">
      <c r="A2795" s="366" t="str">
        <f>IFERROR(VLOOKUP(RIGHT(E2795,3)+0,[1]SchLocTable!$A$2:$B$47,2,FALSE)," ")</f>
        <v xml:space="preserve"> </v>
      </c>
      <c r="B2795" s="366" t="str">
        <f>VLOOKUP(VALUE(D2795),$D$3:F$106,3,FALSE)</f>
        <v>Fringes</v>
      </c>
      <c r="C2795" t="s">
        <v>314</v>
      </c>
      <c r="D2795">
        <v>850</v>
      </c>
      <c r="E2795" t="s">
        <v>935</v>
      </c>
      <c r="F2795" t="s">
        <v>939</v>
      </c>
      <c r="G2795" t="s">
        <v>319</v>
      </c>
      <c r="H2795" s="502">
        <v>52153</v>
      </c>
      <c r="I2795" s="415">
        <v>510000</v>
      </c>
      <c r="J2795" s="415">
        <v>511655</v>
      </c>
      <c r="K2795" s="415">
        <v>500841.61</v>
      </c>
      <c r="L2795" s="415">
        <v>484194.6</v>
      </c>
      <c r="M2795" s="415">
        <v>483631.97</v>
      </c>
      <c r="N2795" s="415">
        <v>363732.05</v>
      </c>
      <c r="O2795" s="415">
        <v>307069.62</v>
      </c>
      <c r="P2795" s="415">
        <v>239205.88</v>
      </c>
      <c r="Q2795" s="481">
        <f t="shared" si="89"/>
        <v>1655</v>
      </c>
    </row>
    <row r="2796" spans="1:17" x14ac:dyDescent="0.3">
      <c r="A2796" s="366" t="str">
        <f>IFERROR(VLOOKUP(RIGHT(E2796,3)+0,[1]SchLocTable!$A$2:$B$47,2,FALSE)," ")</f>
        <v xml:space="preserve"> </v>
      </c>
      <c r="B2796" s="366" t="str">
        <f>VLOOKUP(VALUE(D2796),$D$3:F$106,3,FALSE)</f>
        <v>Fringes</v>
      </c>
      <c r="C2796" t="s">
        <v>314</v>
      </c>
      <c r="D2796">
        <v>850</v>
      </c>
      <c r="E2796" t="s">
        <v>935</v>
      </c>
      <c r="F2796" t="s">
        <v>949</v>
      </c>
      <c r="G2796" t="s">
        <v>319</v>
      </c>
      <c r="H2796" s="502">
        <v>56165</v>
      </c>
      <c r="I2796" s="415">
        <v>72604</v>
      </c>
      <c r="J2796" s="415">
        <v>72604</v>
      </c>
      <c r="K2796" s="415">
        <v>72604</v>
      </c>
      <c r="L2796" s="415">
        <v>72604</v>
      </c>
      <c r="M2796" s="415">
        <v>72604</v>
      </c>
      <c r="N2796" s="415">
        <v>72604</v>
      </c>
      <c r="O2796" s="415">
        <v>0</v>
      </c>
      <c r="P2796" s="415">
        <v>0</v>
      </c>
      <c r="Q2796" s="481">
        <f t="shared" si="89"/>
        <v>0</v>
      </c>
    </row>
    <row r="2797" spans="1:17" x14ac:dyDescent="0.3">
      <c r="A2797" s="366" t="str">
        <f>IFERROR(VLOOKUP(RIGHT(E2797,3)+0,[1]SchLocTable!$A$2:$B$47,2,FALSE)," ")</f>
        <v xml:space="preserve"> </v>
      </c>
      <c r="B2797" s="366" t="str">
        <f>VLOOKUP(VALUE(D2797),$D$3:F$106,3,FALSE)</f>
        <v>Fringes</v>
      </c>
      <c r="C2797" t="s">
        <v>314</v>
      </c>
      <c r="D2797">
        <v>850</v>
      </c>
      <c r="E2797" t="s">
        <v>935</v>
      </c>
      <c r="F2797" t="s">
        <v>947</v>
      </c>
      <c r="G2797" t="s">
        <v>319</v>
      </c>
      <c r="H2797" s="502">
        <v>52896</v>
      </c>
      <c r="I2797" s="415">
        <v>3390000</v>
      </c>
      <c r="J2797" s="415">
        <v>3390000</v>
      </c>
      <c r="K2797" s="415">
        <v>3000000</v>
      </c>
      <c r="L2797" s="415">
        <v>3000000</v>
      </c>
      <c r="M2797" s="415">
        <v>4224698.21</v>
      </c>
      <c r="N2797" s="415">
        <v>2800000</v>
      </c>
      <c r="O2797" s="415">
        <v>8527648.0700000003</v>
      </c>
      <c r="P2797" s="415">
        <v>3506500</v>
      </c>
      <c r="Q2797" s="481">
        <f t="shared" si="89"/>
        <v>0</v>
      </c>
    </row>
    <row r="2798" spans="1:17" x14ac:dyDescent="0.3">
      <c r="A2798" s="366" t="str">
        <f>IFERROR(VLOOKUP(RIGHT(E2798,3)+0,[1]SchLocTable!$A$2:$B$47,2,FALSE)," ")</f>
        <v xml:space="preserve"> </v>
      </c>
      <c r="B2798" s="366" t="str">
        <f>VLOOKUP(VALUE(D2798),$D$3:F$106,3,FALSE)</f>
        <v>Fringes</v>
      </c>
      <c r="C2798" t="s">
        <v>314</v>
      </c>
      <c r="D2798">
        <v>850</v>
      </c>
      <c r="E2798" t="s">
        <v>935</v>
      </c>
      <c r="F2798" t="s">
        <v>392</v>
      </c>
      <c r="G2798" t="s">
        <v>319</v>
      </c>
      <c r="H2798" s="502">
        <v>52504</v>
      </c>
      <c r="I2798" s="415">
        <v>1171600</v>
      </c>
      <c r="J2798" s="415">
        <v>1171600</v>
      </c>
      <c r="K2798" s="415">
        <v>178100</v>
      </c>
      <c r="L2798" s="415">
        <v>176310.39999999999</v>
      </c>
      <c r="M2798" s="415">
        <v>171600</v>
      </c>
      <c r="N2798" s="415">
        <v>172510</v>
      </c>
      <c r="O2798" s="415">
        <v>162445</v>
      </c>
      <c r="P2798" s="415">
        <v>174551.81</v>
      </c>
      <c r="Q2798" s="481">
        <f t="shared" si="89"/>
        <v>0</v>
      </c>
    </row>
    <row r="2799" spans="1:17" x14ac:dyDescent="0.3">
      <c r="A2799" s="366" t="str">
        <f>IFERROR(VLOOKUP(RIGHT(E2799,3)+0,[1]SchLocTable!$A$2:$B$47,2,FALSE)," ")</f>
        <v xml:space="preserve"> </v>
      </c>
      <c r="B2799" s="366" t="str">
        <f>VLOOKUP(VALUE(D2799),$D$3:F$106,3,FALSE)</f>
        <v>Fringes</v>
      </c>
      <c r="C2799" t="s">
        <v>314</v>
      </c>
      <c r="D2799">
        <v>850</v>
      </c>
      <c r="E2799" t="s">
        <v>935</v>
      </c>
      <c r="F2799" t="s">
        <v>941</v>
      </c>
      <c r="G2799" t="s">
        <v>319</v>
      </c>
      <c r="H2799" s="502">
        <v>52258</v>
      </c>
      <c r="I2799" s="415">
        <v>92500</v>
      </c>
      <c r="J2799" s="415">
        <v>92500</v>
      </c>
      <c r="K2799" s="415">
        <v>85000</v>
      </c>
      <c r="L2799" s="415">
        <v>85000</v>
      </c>
      <c r="M2799" s="415">
        <v>85000</v>
      </c>
      <c r="N2799" s="415">
        <v>82000</v>
      </c>
      <c r="O2799" s="415">
        <v>76300</v>
      </c>
      <c r="P2799" s="415">
        <v>58010</v>
      </c>
      <c r="Q2799" s="481">
        <f t="shared" si="89"/>
        <v>0</v>
      </c>
    </row>
    <row r="2800" spans="1:17" x14ac:dyDescent="0.3">
      <c r="A2800" s="366" t="str">
        <f>IFERROR(VLOOKUP(RIGHT(E2800,3)+0,[1]SchLocTable!$A$2:$B$47,2,FALSE)," ")</f>
        <v xml:space="preserve"> </v>
      </c>
      <c r="B2800" s="366" t="str">
        <f>VLOOKUP(VALUE(D2800),$D$3:F$106,3,FALSE)</f>
        <v>Fringes</v>
      </c>
      <c r="C2800" t="s">
        <v>314</v>
      </c>
      <c r="D2800">
        <v>850</v>
      </c>
      <c r="E2800" t="s">
        <v>935</v>
      </c>
      <c r="F2800" t="s">
        <v>533</v>
      </c>
      <c r="G2800" t="s">
        <v>319</v>
      </c>
      <c r="H2800" s="502">
        <v>52397</v>
      </c>
      <c r="I2800" s="415">
        <v>603282.32999999996</v>
      </c>
      <c r="J2800" s="415">
        <v>585711</v>
      </c>
      <c r="K2800" s="415">
        <v>222736</v>
      </c>
      <c r="L2800" s="415">
        <v>19953</v>
      </c>
      <c r="M2800" s="415">
        <v>16981</v>
      </c>
      <c r="N2800" s="415">
        <v>77175</v>
      </c>
      <c r="O2800" s="415">
        <v>269776.5</v>
      </c>
      <c r="P2800" s="415">
        <v>142995</v>
      </c>
      <c r="Q2800" s="481">
        <f t="shared" si="89"/>
        <v>-17571.329999999958</v>
      </c>
    </row>
    <row r="2801" spans="1:17" x14ac:dyDescent="0.3">
      <c r="A2801" s="366" t="str">
        <f>IFERROR(VLOOKUP(RIGHT(E2801,3)+0,[1]SchLocTable!$A$2:$B$47,2,FALSE)," ")</f>
        <v xml:space="preserve"> </v>
      </c>
      <c r="B2801" s="366" t="str">
        <f>VLOOKUP(VALUE(D2801),$D$3:F$106,3,FALSE)</f>
        <v>Fringes</v>
      </c>
      <c r="C2801" t="s">
        <v>314</v>
      </c>
      <c r="D2801">
        <v>850</v>
      </c>
      <c r="E2801" t="s">
        <v>935</v>
      </c>
      <c r="F2801" t="s">
        <v>937</v>
      </c>
      <c r="G2801" t="s">
        <v>319</v>
      </c>
      <c r="H2801" s="502">
        <v>52120</v>
      </c>
      <c r="I2801" s="415">
        <v>1800</v>
      </c>
      <c r="J2801" s="415">
        <v>1800</v>
      </c>
      <c r="K2801" s="415">
        <v>1600</v>
      </c>
      <c r="L2801" s="415">
        <v>1600</v>
      </c>
      <c r="M2801" s="415">
        <v>1600</v>
      </c>
      <c r="N2801" s="415">
        <v>1600</v>
      </c>
      <c r="O2801" s="415">
        <v>1500</v>
      </c>
      <c r="P2801" s="415">
        <v>1500</v>
      </c>
      <c r="Q2801" s="481">
        <f t="shared" si="89"/>
        <v>0</v>
      </c>
    </row>
    <row r="2802" spans="1:17" x14ac:dyDescent="0.3">
      <c r="A2802" s="366" t="str">
        <f>IFERROR(VLOOKUP(RIGHT(E2802,3)+0,[1]SchLocTable!$A$2:$B$47,2,FALSE)," ")</f>
        <v xml:space="preserve"> </v>
      </c>
      <c r="B2802" s="366" t="str">
        <f>VLOOKUP(VALUE(D2802),$D$3:F$106,3,FALSE)</f>
        <v>Fringes</v>
      </c>
      <c r="C2802" t="s">
        <v>314</v>
      </c>
      <c r="D2802">
        <v>850</v>
      </c>
      <c r="E2802" t="s">
        <v>935</v>
      </c>
      <c r="F2802" t="s">
        <v>943</v>
      </c>
      <c r="G2802" t="s">
        <v>319</v>
      </c>
      <c r="H2802" s="502">
        <v>52262</v>
      </c>
      <c r="I2802" s="415">
        <v>111610</v>
      </c>
      <c r="J2802" s="415">
        <v>111610</v>
      </c>
      <c r="K2802" s="415">
        <v>111610</v>
      </c>
      <c r="L2802" s="415">
        <v>111610</v>
      </c>
      <c r="M2802" s="415">
        <v>111610</v>
      </c>
      <c r="N2802" s="415">
        <v>111610</v>
      </c>
      <c r="O2802" s="415">
        <v>111610</v>
      </c>
      <c r="P2802" s="415">
        <v>111610</v>
      </c>
      <c r="Q2802" s="481">
        <f t="shared" si="89"/>
        <v>0</v>
      </c>
    </row>
    <row r="2803" spans="1:17" x14ac:dyDescent="0.3">
      <c r="A2803" s="366" t="str">
        <f>IFERROR(VLOOKUP(RIGHT(E2803,3)+0,[1]SchLocTable!$A$2:$B$47,2,FALSE)," ")</f>
        <v xml:space="preserve"> </v>
      </c>
      <c r="B2803" s="366" t="str">
        <f>VLOOKUP(VALUE(D2803),$D$3:F$106,3,FALSE)</f>
        <v>Fringes</v>
      </c>
      <c r="C2803" t="s">
        <v>314</v>
      </c>
      <c r="D2803">
        <v>850</v>
      </c>
      <c r="E2803" t="s">
        <v>935</v>
      </c>
      <c r="F2803" t="s">
        <v>944</v>
      </c>
      <c r="G2803" t="s">
        <v>319</v>
      </c>
      <c r="H2803" s="502">
        <v>52266</v>
      </c>
      <c r="I2803" s="415">
        <v>1515867</v>
      </c>
      <c r="J2803" s="415">
        <v>1515867</v>
      </c>
      <c r="K2803" s="415">
        <v>1471716</v>
      </c>
      <c r="L2803" s="415">
        <v>1471716</v>
      </c>
      <c r="M2803" s="415">
        <v>1471716</v>
      </c>
      <c r="N2803" s="415">
        <v>3738044.34</v>
      </c>
      <c r="O2803" s="415">
        <v>2362700</v>
      </c>
      <c r="P2803" s="415">
        <v>1134700</v>
      </c>
      <c r="Q2803" s="481">
        <f t="shared" si="89"/>
        <v>0</v>
      </c>
    </row>
    <row r="2804" spans="1:17" x14ac:dyDescent="0.3">
      <c r="A2804" s="366" t="str">
        <f>IFERROR(VLOOKUP(RIGHT(E2804,3)+0,[1]SchLocTable!$A$2:$B$47,2,FALSE)," ")</f>
        <v xml:space="preserve"> </v>
      </c>
      <c r="B2804" s="366" t="str">
        <f>VLOOKUP(VALUE(D2804),$D$3:F$106,3,FALSE)</f>
        <v>Fringes</v>
      </c>
      <c r="C2804" t="s">
        <v>314</v>
      </c>
      <c r="D2804">
        <v>850</v>
      </c>
      <c r="E2804" t="s">
        <v>935</v>
      </c>
      <c r="F2804" t="s">
        <v>945</v>
      </c>
      <c r="G2804" t="s">
        <v>319</v>
      </c>
      <c r="H2804" s="502">
        <v>52282</v>
      </c>
      <c r="I2804" s="415">
        <v>1882181</v>
      </c>
      <c r="J2804" s="415">
        <v>1882181</v>
      </c>
      <c r="K2804" s="415">
        <v>1827360</v>
      </c>
      <c r="L2804" s="415">
        <v>1827360</v>
      </c>
      <c r="M2804" s="415">
        <v>1827360</v>
      </c>
      <c r="N2804" s="415">
        <v>3462844.08</v>
      </c>
      <c r="O2804" s="415">
        <v>2715374.03</v>
      </c>
      <c r="P2804" s="415">
        <v>3946073.67</v>
      </c>
      <c r="Q2804" s="481">
        <f t="shared" si="89"/>
        <v>0</v>
      </c>
    </row>
    <row r="2805" spans="1:17" x14ac:dyDescent="0.3">
      <c r="A2805" s="366" t="str">
        <f>IFERROR(VLOOKUP(RIGHT(E2805,3)+0,[1]SchLocTable!$A$2:$B$47,2,FALSE)," ")</f>
        <v xml:space="preserve"> </v>
      </c>
      <c r="B2805" s="366" t="str">
        <f>VLOOKUP(VALUE(D2805),$D$3:F$106,3,FALSE)</f>
        <v>Directors &amp; Supervisors</v>
      </c>
      <c r="C2805" t="s">
        <v>314</v>
      </c>
      <c r="D2805">
        <v>851</v>
      </c>
      <c r="E2805" t="s">
        <v>950</v>
      </c>
      <c r="F2805" t="s">
        <v>316</v>
      </c>
      <c r="G2805">
        <v>1</v>
      </c>
      <c r="H2805" s="502">
        <v>51000</v>
      </c>
      <c r="I2805" s="415">
        <v>0</v>
      </c>
      <c r="J2805" s="415">
        <v>346616.95</v>
      </c>
      <c r="K2805" s="415">
        <v>374630.29</v>
      </c>
      <c r="L2805" s="415">
        <v>154184.13</v>
      </c>
      <c r="M2805" s="415">
        <v>35099.33</v>
      </c>
      <c r="N2805" s="415">
        <v>37839</v>
      </c>
      <c r="O2805" s="415">
        <v>67410.58</v>
      </c>
      <c r="P2805" s="415">
        <v>93487.79</v>
      </c>
      <c r="Q2805" s="481">
        <f t="shared" si="89"/>
        <v>346616.95</v>
      </c>
    </row>
    <row r="2806" spans="1:17" x14ac:dyDescent="0.3">
      <c r="A2806" s="366" t="str">
        <f>IFERROR(VLOOKUP(RIGHT(E2806,3)+0,[1]SchLocTable!$A$2:$B$47,2,FALSE)," ")</f>
        <v xml:space="preserve"> </v>
      </c>
      <c r="B2806" s="366" t="str">
        <f>VLOOKUP(VALUE(D2806),$D$3:F$106,3,FALSE)</f>
        <v>Directors &amp; Supervisors</v>
      </c>
      <c r="C2806" t="s">
        <v>314</v>
      </c>
      <c r="D2806">
        <v>851</v>
      </c>
      <c r="E2806" t="s">
        <v>950</v>
      </c>
      <c r="F2806" t="s">
        <v>321</v>
      </c>
      <c r="G2806" t="s">
        <v>319</v>
      </c>
      <c r="H2806" s="502">
        <v>52917</v>
      </c>
      <c r="I2806" s="415">
        <v>0</v>
      </c>
      <c r="J2806" s="415">
        <v>35868</v>
      </c>
      <c r="K2806" s="415">
        <v>31134.89</v>
      </c>
      <c r="L2806" s="415">
        <v>13631.83</v>
      </c>
      <c r="M2806" s="415">
        <v>4956.17</v>
      </c>
      <c r="N2806" s="415">
        <v>7154.72</v>
      </c>
      <c r="O2806" s="415">
        <v>4668.9399999999996</v>
      </c>
      <c r="P2806" s="415">
        <v>13185.92</v>
      </c>
      <c r="Q2806" s="481">
        <f t="shared" si="89"/>
        <v>35868</v>
      </c>
    </row>
    <row r="2807" spans="1:17" x14ac:dyDescent="0.3">
      <c r="A2807" s="366" t="str">
        <f>IFERROR(VLOOKUP(RIGHT(E2807,3)+0,[1]SchLocTable!$A$2:$B$47,2,FALSE)," ")</f>
        <v xml:space="preserve"> </v>
      </c>
      <c r="B2807" s="366" t="str">
        <f>VLOOKUP(VALUE(D2807),$D$3:F$106,3,FALSE)</f>
        <v>Directors &amp; Supervisors</v>
      </c>
      <c r="C2807" t="s">
        <v>314</v>
      </c>
      <c r="D2807">
        <v>851</v>
      </c>
      <c r="E2807" t="s">
        <v>950</v>
      </c>
      <c r="F2807" t="s">
        <v>318</v>
      </c>
      <c r="G2807" t="s">
        <v>319</v>
      </c>
      <c r="H2807" s="502">
        <v>51140</v>
      </c>
      <c r="I2807" s="415">
        <v>1500</v>
      </c>
      <c r="J2807" s="415">
        <v>0</v>
      </c>
      <c r="K2807" s="415">
        <v>3575</v>
      </c>
      <c r="L2807" s="415">
        <v>8150</v>
      </c>
      <c r="M2807" s="415">
        <v>1618.75</v>
      </c>
      <c r="N2807" s="415">
        <v>390</v>
      </c>
      <c r="O2807" s="415">
        <v>195</v>
      </c>
      <c r="P2807" s="415">
        <v>234</v>
      </c>
      <c r="Q2807" s="481">
        <f t="shared" si="89"/>
        <v>-1500</v>
      </c>
    </row>
    <row r="2808" spans="1:17" x14ac:dyDescent="0.3">
      <c r="A2808" s="366" t="str">
        <f>IFERROR(VLOOKUP(RIGHT(E2808,3)+0,[1]SchLocTable!$A$2:$B$47,2,FALSE)," ")</f>
        <v xml:space="preserve"> </v>
      </c>
      <c r="B2808" s="366" t="str">
        <f>VLOOKUP(VALUE(D2808),$D$3:F$106,3,FALSE)</f>
        <v>Directors &amp; Supervisors</v>
      </c>
      <c r="C2808" t="s">
        <v>314</v>
      </c>
      <c r="D2808">
        <v>851</v>
      </c>
      <c r="E2808" t="s">
        <v>950</v>
      </c>
      <c r="F2808" t="s">
        <v>320</v>
      </c>
      <c r="G2808" t="s">
        <v>319</v>
      </c>
      <c r="H2808" s="502">
        <v>52360</v>
      </c>
      <c r="I2808" s="415">
        <v>0</v>
      </c>
      <c r="J2808" s="415">
        <v>5087.46</v>
      </c>
      <c r="K2808" s="415">
        <v>5350.77</v>
      </c>
      <c r="L2808" s="415">
        <v>2202.69</v>
      </c>
      <c r="M2808" s="415">
        <v>360.46</v>
      </c>
      <c r="N2808" s="415">
        <v>403.35</v>
      </c>
      <c r="O2808" s="415">
        <v>1008.04</v>
      </c>
      <c r="P2808" s="415">
        <v>1200.93</v>
      </c>
      <c r="Q2808" s="481">
        <f t="shared" si="89"/>
        <v>5087.46</v>
      </c>
    </row>
    <row r="2809" spans="1:17" x14ac:dyDescent="0.3">
      <c r="A2809" s="366" t="str">
        <f>IFERROR(VLOOKUP(RIGHT(E2809,3)+0,[1]SchLocTable!$A$2:$B$47,2,FALSE)," ")</f>
        <v xml:space="preserve"> </v>
      </c>
      <c r="B2809" s="366" t="str">
        <f>VLOOKUP(VALUE(D2809),$D$3:F$106,3,FALSE)</f>
        <v>Directors &amp; Supervisors</v>
      </c>
      <c r="C2809" t="s">
        <v>314</v>
      </c>
      <c r="D2809">
        <v>851</v>
      </c>
      <c r="E2809" t="s">
        <v>950</v>
      </c>
      <c r="F2809" t="s">
        <v>392</v>
      </c>
      <c r="G2809" t="s">
        <v>319</v>
      </c>
      <c r="H2809" s="502">
        <v>52504</v>
      </c>
      <c r="I2809" s="415">
        <v>0</v>
      </c>
      <c r="J2809" s="415">
        <v>0</v>
      </c>
      <c r="K2809" s="415">
        <v>447.84</v>
      </c>
      <c r="L2809" s="415">
        <v>275.26</v>
      </c>
      <c r="M2809" s="415">
        <v>0</v>
      </c>
      <c r="N2809" s="415">
        <v>0</v>
      </c>
      <c r="O2809" s="415">
        <v>0</v>
      </c>
      <c r="P2809" s="415">
        <v>0</v>
      </c>
      <c r="Q2809" s="481">
        <f t="shared" si="89"/>
        <v>0</v>
      </c>
    </row>
    <row r="2810" spans="1:17" x14ac:dyDescent="0.3">
      <c r="A2810" s="366" t="str">
        <f>IFERROR(VLOOKUP(RIGHT(E2810,3)+0,[1]SchLocTable!$A$2:$B$47,2,FALSE)," ")</f>
        <v xml:space="preserve"> </v>
      </c>
      <c r="B2810" s="366" t="str">
        <f>VLOOKUP(VALUE(D2810),$D$3:F$106,3,FALSE)</f>
        <v>Directors &amp; Supervisors</v>
      </c>
      <c r="C2810" t="s">
        <v>314</v>
      </c>
      <c r="D2810">
        <v>851</v>
      </c>
      <c r="E2810" t="s">
        <v>950</v>
      </c>
      <c r="F2810" t="s">
        <v>560</v>
      </c>
      <c r="G2810" t="s">
        <v>319</v>
      </c>
      <c r="H2810" s="502">
        <v>51404</v>
      </c>
      <c r="I2810" s="415">
        <v>0</v>
      </c>
      <c r="J2810" s="415">
        <v>0</v>
      </c>
      <c r="K2810" s="415">
        <v>0</v>
      </c>
      <c r="L2810" s="415">
        <v>600</v>
      </c>
      <c r="M2810" s="415">
        <v>0</v>
      </c>
      <c r="N2810" s="415">
        <v>0</v>
      </c>
      <c r="O2810" s="415">
        <v>0</v>
      </c>
      <c r="P2810" s="415">
        <v>408</v>
      </c>
      <c r="Q2810" s="481">
        <f t="shared" si="89"/>
        <v>0</v>
      </c>
    </row>
    <row r="2811" spans="1:17" x14ac:dyDescent="0.3">
      <c r="A2811" s="366" t="str">
        <f>IFERROR(VLOOKUP(RIGHT(E2811,3)+0,[1]SchLocTable!$A$2:$B$47,2,FALSE)," ")</f>
        <v xml:space="preserve"> </v>
      </c>
      <c r="B2811" s="366" t="str">
        <f>VLOOKUP(VALUE(D2811),$D$3:F$106,3,FALSE)</f>
        <v>Directors &amp; Supervisors</v>
      </c>
      <c r="C2811" t="s">
        <v>314</v>
      </c>
      <c r="D2811">
        <v>851</v>
      </c>
      <c r="E2811" t="s">
        <v>950</v>
      </c>
      <c r="F2811" t="s">
        <v>356</v>
      </c>
      <c r="G2811" t="s">
        <v>319</v>
      </c>
      <c r="H2811" s="502">
        <v>51156</v>
      </c>
      <c r="I2811" s="415">
        <v>7311.3314</v>
      </c>
      <c r="J2811" s="415">
        <v>0</v>
      </c>
      <c r="K2811" s="415">
        <v>1774.6</v>
      </c>
      <c r="L2811" s="415">
        <v>0</v>
      </c>
      <c r="M2811" s="415">
        <v>0</v>
      </c>
      <c r="N2811" s="415">
        <v>0</v>
      </c>
      <c r="O2811" s="415">
        <v>0</v>
      </c>
      <c r="P2811" s="415">
        <v>0</v>
      </c>
      <c r="Q2811" s="481">
        <f t="shared" si="89"/>
        <v>-7311.3314</v>
      </c>
    </row>
    <row r="2812" spans="1:17" x14ac:dyDescent="0.3">
      <c r="A2812" s="366" t="str">
        <f>IFERROR(VLOOKUP(RIGHT(E2812,3)+0,[1]SchLocTable!$A$2:$B$47,2,FALSE)," ")</f>
        <v xml:space="preserve"> </v>
      </c>
      <c r="B2812" s="366" t="str">
        <f>VLOOKUP(VALUE(D2812),$D$3:F$106,3,FALSE)</f>
        <v>Clericals</v>
      </c>
      <c r="C2812" t="s">
        <v>314</v>
      </c>
      <c r="D2812">
        <v>852</v>
      </c>
      <c r="E2812" t="s">
        <v>951</v>
      </c>
      <c r="F2812" t="s">
        <v>316</v>
      </c>
      <c r="G2812" t="s">
        <v>319</v>
      </c>
      <c r="H2812" s="502">
        <v>51000</v>
      </c>
      <c r="I2812" s="415">
        <v>0</v>
      </c>
      <c r="J2812" s="415">
        <v>0</v>
      </c>
      <c r="K2812" s="415">
        <v>0</v>
      </c>
      <c r="L2812" s="415">
        <v>49981.24</v>
      </c>
      <c r="M2812" s="415">
        <v>58810.17</v>
      </c>
      <c r="N2812" s="415">
        <v>55832.77</v>
      </c>
      <c r="O2812" s="415">
        <v>61608.2</v>
      </c>
      <c r="P2812" s="415">
        <v>44656.51</v>
      </c>
      <c r="Q2812" s="481">
        <f t="shared" si="89"/>
        <v>0</v>
      </c>
    </row>
    <row r="2813" spans="1:17" x14ac:dyDescent="0.3">
      <c r="A2813" s="366" t="str">
        <f>IFERROR(VLOOKUP(RIGHT(E2813,3)+0,[1]SchLocTable!$A$2:$B$47,2,FALSE)," ")</f>
        <v xml:space="preserve"> </v>
      </c>
      <c r="B2813" s="366" t="str">
        <f>VLOOKUP(VALUE(D2813),$D$3:F$106,3,FALSE)</f>
        <v>Clericals</v>
      </c>
      <c r="C2813" t="s">
        <v>314</v>
      </c>
      <c r="D2813">
        <v>852</v>
      </c>
      <c r="E2813" t="s">
        <v>951</v>
      </c>
      <c r="F2813" t="s">
        <v>321</v>
      </c>
      <c r="G2813" t="s">
        <v>319</v>
      </c>
      <c r="H2813" s="502">
        <v>52917</v>
      </c>
      <c r="I2813" s="415">
        <v>0</v>
      </c>
      <c r="J2813" s="415">
        <v>0</v>
      </c>
      <c r="K2813" s="415">
        <v>0</v>
      </c>
      <c r="L2813" s="415">
        <v>18111.990000000002</v>
      </c>
      <c r="M2813" s="415">
        <v>25600.78</v>
      </c>
      <c r="N2813" s="415">
        <v>22292.52</v>
      </c>
      <c r="O2813" s="415">
        <v>22425.48</v>
      </c>
      <c r="P2813" s="415">
        <v>21299.4</v>
      </c>
      <c r="Q2813" s="481">
        <f t="shared" si="89"/>
        <v>0</v>
      </c>
    </row>
    <row r="2814" spans="1:17" x14ac:dyDescent="0.3">
      <c r="A2814" s="366" t="str">
        <f>IFERROR(VLOOKUP(RIGHT(E2814,3)+0,[1]SchLocTable!$A$2:$B$47,2,FALSE)," ")</f>
        <v xml:space="preserve"> </v>
      </c>
      <c r="B2814" s="366" t="str">
        <f>VLOOKUP(VALUE(D2814),$D$3:F$106,3,FALSE)</f>
        <v>Clericals</v>
      </c>
      <c r="C2814" t="s">
        <v>314</v>
      </c>
      <c r="D2814">
        <v>852</v>
      </c>
      <c r="E2814" t="s">
        <v>951</v>
      </c>
      <c r="F2814" t="s">
        <v>318</v>
      </c>
      <c r="G2814" t="s">
        <v>319</v>
      </c>
      <c r="H2814" s="502">
        <v>51140</v>
      </c>
      <c r="I2814" s="415">
        <v>0</v>
      </c>
      <c r="J2814" s="415">
        <v>0</v>
      </c>
      <c r="K2814" s="415">
        <v>0</v>
      </c>
      <c r="L2814" s="415">
        <v>4875</v>
      </c>
      <c r="M2814" s="415">
        <v>1800</v>
      </c>
      <c r="N2814" s="415">
        <v>1800</v>
      </c>
      <c r="O2814" s="415">
        <v>1800</v>
      </c>
      <c r="P2814" s="415">
        <v>1750</v>
      </c>
      <c r="Q2814" s="481">
        <f t="shared" si="89"/>
        <v>0</v>
      </c>
    </row>
    <row r="2815" spans="1:17" x14ac:dyDescent="0.3">
      <c r="A2815" s="366" t="str">
        <f>IFERROR(VLOOKUP(RIGHT(E2815,3)+0,[1]SchLocTable!$A$2:$B$47,2,FALSE)," ")</f>
        <v xml:space="preserve"> </v>
      </c>
      <c r="B2815" s="366" t="str">
        <f>VLOOKUP(VALUE(D2815),$D$3:F$106,3,FALSE)</f>
        <v>Clericals</v>
      </c>
      <c r="C2815" t="s">
        <v>314</v>
      </c>
      <c r="D2815">
        <v>852</v>
      </c>
      <c r="E2815" t="s">
        <v>951</v>
      </c>
      <c r="F2815" t="s">
        <v>320</v>
      </c>
      <c r="G2815" t="s">
        <v>319</v>
      </c>
      <c r="H2815" s="502">
        <v>52360</v>
      </c>
      <c r="I2815" s="415">
        <v>0</v>
      </c>
      <c r="J2815" s="415">
        <v>0</v>
      </c>
      <c r="K2815" s="415">
        <v>0</v>
      </c>
      <c r="L2815" s="415">
        <v>757.94</v>
      </c>
      <c r="M2815" s="415">
        <v>760</v>
      </c>
      <c r="N2815" s="415">
        <v>732.56</v>
      </c>
      <c r="O2815" s="415">
        <v>815.47</v>
      </c>
      <c r="P2815" s="415">
        <v>784.87</v>
      </c>
      <c r="Q2815" s="481">
        <f t="shared" ref="Q2815:Q2878" si="90">J2815-I2815</f>
        <v>0</v>
      </c>
    </row>
    <row r="2816" spans="1:17" x14ac:dyDescent="0.3">
      <c r="A2816" s="366" t="str">
        <f>IFERROR(VLOOKUP(RIGHT(E2816,3)+0,[1]SchLocTable!$A$2:$B$47,2,FALSE)," ")</f>
        <v xml:space="preserve"> </v>
      </c>
      <c r="B2816" s="366" t="str">
        <f>VLOOKUP(VALUE(D2816),$D$3:F$106,3,FALSE)</f>
        <v>Clericals</v>
      </c>
      <c r="C2816" t="s">
        <v>314</v>
      </c>
      <c r="D2816">
        <v>852</v>
      </c>
      <c r="E2816" t="s">
        <v>951</v>
      </c>
      <c r="F2816" t="s">
        <v>392</v>
      </c>
      <c r="G2816" t="s">
        <v>319</v>
      </c>
      <c r="H2816" s="502">
        <v>52504</v>
      </c>
      <c r="I2816" s="415">
        <v>0</v>
      </c>
      <c r="J2816" s="415">
        <v>0</v>
      </c>
      <c r="K2816" s="415">
        <v>0</v>
      </c>
      <c r="L2816" s="415">
        <v>10940.43</v>
      </c>
      <c r="M2816" s="415">
        <v>13065.41</v>
      </c>
      <c r="N2816" s="415">
        <v>11016.36</v>
      </c>
      <c r="O2816" s="415">
        <v>10442</v>
      </c>
      <c r="P2816" s="415">
        <v>8702.81</v>
      </c>
      <c r="Q2816" s="481">
        <f t="shared" si="90"/>
        <v>0</v>
      </c>
    </row>
    <row r="2817" spans="1:17" x14ac:dyDescent="0.3">
      <c r="A2817" s="366" t="str">
        <f>IFERROR(VLOOKUP(RIGHT(E2817,3)+0,[1]SchLocTable!$A$2:$B$47,2,FALSE)," ")</f>
        <v xml:space="preserve"> </v>
      </c>
      <c r="B2817" s="366" t="str">
        <f>VLOOKUP(VALUE(D2817),$D$3:F$106,3,FALSE)</f>
        <v>Clericals</v>
      </c>
      <c r="C2817" t="s">
        <v>314</v>
      </c>
      <c r="D2817">
        <v>852</v>
      </c>
      <c r="E2817" t="s">
        <v>951</v>
      </c>
      <c r="F2817" t="s">
        <v>419</v>
      </c>
      <c r="G2817" t="s">
        <v>319</v>
      </c>
      <c r="H2817" s="502">
        <v>51318</v>
      </c>
      <c r="I2817" s="415">
        <v>0</v>
      </c>
      <c r="J2817" s="415">
        <v>0</v>
      </c>
      <c r="K2817" s="415">
        <v>0</v>
      </c>
      <c r="L2817" s="415">
        <v>9.5</v>
      </c>
      <c r="M2817" s="415">
        <v>0</v>
      </c>
      <c r="N2817" s="415">
        <v>0</v>
      </c>
      <c r="O2817" s="415">
        <v>0</v>
      </c>
      <c r="P2817" s="415">
        <v>0</v>
      </c>
      <c r="Q2817" s="481">
        <f t="shared" si="90"/>
        <v>0</v>
      </c>
    </row>
    <row r="2818" spans="1:17" x14ac:dyDescent="0.3">
      <c r="A2818" s="366" t="str">
        <f>IFERROR(VLOOKUP(RIGHT(E2818,3)+0,[1]SchLocTable!$A$2:$B$47,2,FALSE)," ")</f>
        <v xml:space="preserve"> </v>
      </c>
      <c r="B2818" s="366" t="str">
        <f>VLOOKUP(VALUE(D2818),$D$3:F$106,3,FALSE)</f>
        <v>Clericals</v>
      </c>
      <c r="C2818" t="s">
        <v>314</v>
      </c>
      <c r="D2818">
        <v>852</v>
      </c>
      <c r="E2818" t="s">
        <v>951</v>
      </c>
      <c r="F2818" t="s">
        <v>418</v>
      </c>
      <c r="G2818" t="s">
        <v>319</v>
      </c>
      <c r="H2818" s="502">
        <v>51314</v>
      </c>
      <c r="I2818" s="415">
        <v>0</v>
      </c>
      <c r="J2818" s="415">
        <v>0</v>
      </c>
      <c r="K2818" s="415">
        <v>0</v>
      </c>
      <c r="L2818" s="415">
        <v>3209.65</v>
      </c>
      <c r="M2818" s="415">
        <v>0</v>
      </c>
      <c r="N2818" s="415">
        <v>0</v>
      </c>
      <c r="O2818" s="415">
        <v>0</v>
      </c>
      <c r="P2818" s="415">
        <v>0</v>
      </c>
      <c r="Q2818" s="481">
        <f t="shared" si="90"/>
        <v>0</v>
      </c>
    </row>
    <row r="2819" spans="1:17" x14ac:dyDescent="0.3">
      <c r="A2819" s="366" t="str">
        <f>IFERROR(VLOOKUP(RIGHT(E2819,3)+0,[1]SchLocTable!$A$2:$B$47,2,FALSE)," ")</f>
        <v xml:space="preserve"> </v>
      </c>
      <c r="B2819" s="366" t="str">
        <f>VLOOKUP(VALUE(D2819),$D$3:F$106,3,FALSE)</f>
        <v>Social Workers</v>
      </c>
      <c r="C2819" t="s">
        <v>314</v>
      </c>
      <c r="D2819">
        <v>853</v>
      </c>
      <c r="E2819" t="s">
        <v>952</v>
      </c>
      <c r="F2819" t="s">
        <v>316</v>
      </c>
      <c r="G2819">
        <v>12</v>
      </c>
      <c r="H2819" s="502">
        <v>51000</v>
      </c>
      <c r="I2819" s="415">
        <v>1194283.3071400002</v>
      </c>
      <c r="J2819" s="415">
        <v>871616.9</v>
      </c>
      <c r="K2819" s="415">
        <v>937886.59</v>
      </c>
      <c r="L2819" s="415">
        <v>558962.43000000005</v>
      </c>
      <c r="M2819" s="415">
        <v>592104</v>
      </c>
      <c r="N2819" s="415">
        <v>603443.26</v>
      </c>
      <c r="O2819" s="415">
        <v>619097.43999999994</v>
      </c>
      <c r="P2819" s="415">
        <v>692417.15</v>
      </c>
      <c r="Q2819" s="481">
        <f t="shared" si="90"/>
        <v>-322666.40714000014</v>
      </c>
    </row>
    <row r="2820" spans="1:17" x14ac:dyDescent="0.3">
      <c r="A2820" s="366" t="str">
        <f>IFERROR(VLOOKUP(RIGHT(E2820,3)+0,[1]SchLocTable!$A$2:$B$47,2,FALSE)," ")</f>
        <v xml:space="preserve"> </v>
      </c>
      <c r="B2820" s="366" t="str">
        <f>VLOOKUP(VALUE(D2820),$D$3:F$106,3,FALSE)</f>
        <v>Social Workers</v>
      </c>
      <c r="C2820" t="s">
        <v>314</v>
      </c>
      <c r="D2820">
        <v>853</v>
      </c>
      <c r="E2820" t="s">
        <v>952</v>
      </c>
      <c r="F2820" t="s">
        <v>334</v>
      </c>
      <c r="G2820" t="s">
        <v>319</v>
      </c>
      <c r="H2820" s="502">
        <v>51400</v>
      </c>
      <c r="I2820" s="415">
        <v>0</v>
      </c>
      <c r="J2820" s="415">
        <v>0</v>
      </c>
      <c r="K2820" s="415">
        <v>1012.42</v>
      </c>
      <c r="L2820" s="415">
        <v>0</v>
      </c>
      <c r="M2820" s="415">
        <v>0</v>
      </c>
      <c r="N2820" s="415">
        <v>0</v>
      </c>
      <c r="O2820" s="415">
        <v>0</v>
      </c>
      <c r="P2820" s="415">
        <v>0</v>
      </c>
      <c r="Q2820" s="481">
        <f t="shared" si="90"/>
        <v>0</v>
      </c>
    </row>
    <row r="2821" spans="1:17" x14ac:dyDescent="0.3">
      <c r="A2821" s="366" t="str">
        <f>IFERROR(VLOOKUP(RIGHT(E2821,3)+0,[1]SchLocTable!$A$2:$B$47,2,FALSE)," ")</f>
        <v xml:space="preserve"> </v>
      </c>
      <c r="B2821" s="366" t="str">
        <f>VLOOKUP(VALUE(D2821),$D$3:F$106,3,FALSE)</f>
        <v>Social Workers</v>
      </c>
      <c r="C2821" t="s">
        <v>314</v>
      </c>
      <c r="D2821">
        <v>853</v>
      </c>
      <c r="E2821" t="s">
        <v>952</v>
      </c>
      <c r="F2821" t="s">
        <v>321</v>
      </c>
      <c r="G2821" t="s">
        <v>319</v>
      </c>
      <c r="H2821" s="502">
        <v>52917</v>
      </c>
      <c r="I2821" s="415">
        <v>301765.28399999999</v>
      </c>
      <c r="J2821" s="415">
        <v>173458.71</v>
      </c>
      <c r="K2821" s="415">
        <v>205060.82</v>
      </c>
      <c r="L2821" s="415">
        <v>131237.29</v>
      </c>
      <c r="M2821" s="415">
        <v>122660.25</v>
      </c>
      <c r="N2821" s="415">
        <v>135909.21</v>
      </c>
      <c r="O2821" s="415">
        <v>127457.82</v>
      </c>
      <c r="P2821" s="415">
        <v>143921.4</v>
      </c>
      <c r="Q2821" s="481">
        <f t="shared" si="90"/>
        <v>-128306.57399999999</v>
      </c>
    </row>
    <row r="2822" spans="1:17" x14ac:dyDescent="0.3">
      <c r="A2822" s="366" t="str">
        <f>IFERROR(VLOOKUP(RIGHT(E2822,3)+0,[1]SchLocTable!$A$2:$B$47,2,FALSE)," ")</f>
        <v xml:space="preserve"> </v>
      </c>
      <c r="B2822" s="366" t="str">
        <f>VLOOKUP(VALUE(D2822),$D$3:F$106,3,FALSE)</f>
        <v>Social Workers</v>
      </c>
      <c r="C2822" t="s">
        <v>314</v>
      </c>
      <c r="D2822">
        <v>853</v>
      </c>
      <c r="E2822" t="s">
        <v>952</v>
      </c>
      <c r="F2822" t="s">
        <v>318</v>
      </c>
      <c r="G2822" t="s">
        <v>319</v>
      </c>
      <c r="H2822" s="502">
        <v>51140</v>
      </c>
      <c r="I2822" s="415">
        <v>2300</v>
      </c>
      <c r="J2822" s="415">
        <v>0</v>
      </c>
      <c r="K2822" s="415">
        <v>2200</v>
      </c>
      <c r="L2822" s="415">
        <v>4900</v>
      </c>
      <c r="M2822" s="415">
        <v>3400</v>
      </c>
      <c r="N2822" s="415">
        <v>3200</v>
      </c>
      <c r="O2822" s="415">
        <v>5000</v>
      </c>
      <c r="P2822" s="415">
        <v>2700</v>
      </c>
      <c r="Q2822" s="481">
        <f t="shared" si="90"/>
        <v>-2300</v>
      </c>
    </row>
    <row r="2823" spans="1:17" x14ac:dyDescent="0.3">
      <c r="A2823" s="366" t="str">
        <f>IFERROR(VLOOKUP(RIGHT(E2823,3)+0,[1]SchLocTable!$A$2:$B$47,2,FALSE)," ")</f>
        <v xml:space="preserve"> </v>
      </c>
      <c r="B2823" s="366" t="str">
        <f>VLOOKUP(VALUE(D2823),$D$3:F$106,3,FALSE)</f>
        <v>Social Workers</v>
      </c>
      <c r="C2823" t="s">
        <v>314</v>
      </c>
      <c r="D2823">
        <v>853</v>
      </c>
      <c r="E2823" t="s">
        <v>952</v>
      </c>
      <c r="F2823" t="s">
        <v>320</v>
      </c>
      <c r="G2823" t="s">
        <v>319</v>
      </c>
      <c r="H2823" s="502">
        <v>52360</v>
      </c>
      <c r="I2823" s="415">
        <v>17317.107953530001</v>
      </c>
      <c r="J2823" s="415">
        <v>12516.09</v>
      </c>
      <c r="K2823" s="415">
        <v>12770.21</v>
      </c>
      <c r="L2823" s="415">
        <v>7617.27</v>
      </c>
      <c r="M2823" s="415">
        <v>8136.63</v>
      </c>
      <c r="N2823" s="415">
        <v>8268.64</v>
      </c>
      <c r="O2823" s="415">
        <v>8739.07</v>
      </c>
      <c r="P2823" s="415">
        <v>9545.91</v>
      </c>
      <c r="Q2823" s="481">
        <f t="shared" si="90"/>
        <v>-4801.0179535300013</v>
      </c>
    </row>
    <row r="2824" spans="1:17" x14ac:dyDescent="0.3">
      <c r="A2824" s="366" t="str">
        <f>IFERROR(VLOOKUP(RIGHT(E2824,3)+0,[1]SchLocTable!$A$2:$B$47,2,FALSE)," ")</f>
        <v xml:space="preserve"> </v>
      </c>
      <c r="B2824" s="366" t="str">
        <f>VLOOKUP(VALUE(D2824),$D$3:F$106,3,FALSE)</f>
        <v>Social Workers</v>
      </c>
      <c r="C2824" t="s">
        <v>314</v>
      </c>
      <c r="D2824">
        <v>853</v>
      </c>
      <c r="E2824" t="s">
        <v>952</v>
      </c>
      <c r="F2824" t="s">
        <v>324</v>
      </c>
      <c r="G2824" t="s">
        <v>319</v>
      </c>
      <c r="H2824" s="502">
        <v>52385</v>
      </c>
      <c r="I2824" s="415">
        <v>0</v>
      </c>
      <c r="J2824" s="415">
        <v>0</v>
      </c>
      <c r="K2824" s="415">
        <v>0</v>
      </c>
      <c r="L2824" s="415">
        <v>511.5</v>
      </c>
      <c r="M2824" s="415">
        <v>1658.5</v>
      </c>
      <c r="N2824" s="415">
        <v>0</v>
      </c>
      <c r="O2824" s="415">
        <v>1238.76</v>
      </c>
      <c r="P2824" s="415">
        <v>1417.32</v>
      </c>
      <c r="Q2824" s="481">
        <f t="shared" si="90"/>
        <v>0</v>
      </c>
    </row>
    <row r="2825" spans="1:17" x14ac:dyDescent="0.3">
      <c r="A2825" s="366" t="str">
        <f>IFERROR(VLOOKUP(RIGHT(E2825,3)+0,[1]SchLocTable!$A$2:$B$47,2,FALSE)," ")</f>
        <v>Barnum</v>
      </c>
      <c r="B2825" s="366" t="str">
        <f>VLOOKUP(VALUE(D2825),$D$3:F$106,3,FALSE)</f>
        <v>Social Workers</v>
      </c>
      <c r="C2825" t="s">
        <v>314</v>
      </c>
      <c r="D2825">
        <v>853</v>
      </c>
      <c r="E2825" t="s">
        <v>953</v>
      </c>
      <c r="F2825" t="s">
        <v>316</v>
      </c>
      <c r="G2825">
        <v>1</v>
      </c>
      <c r="H2825" s="502">
        <v>51000</v>
      </c>
      <c r="I2825" s="415">
        <v>94365.149059999996</v>
      </c>
      <c r="J2825" s="415">
        <v>89786</v>
      </c>
      <c r="K2825" s="415">
        <v>83937.88</v>
      </c>
      <c r="L2825" s="415">
        <v>77032.02</v>
      </c>
      <c r="M2825" s="415">
        <v>72752.94</v>
      </c>
      <c r="N2825" s="415">
        <v>68473.08</v>
      </c>
      <c r="O2825" s="415">
        <v>64194</v>
      </c>
      <c r="P2825" s="415">
        <v>63183.12</v>
      </c>
      <c r="Q2825" s="481">
        <f t="shared" si="90"/>
        <v>-4579.1490599999961</v>
      </c>
    </row>
    <row r="2826" spans="1:17" x14ac:dyDescent="0.3">
      <c r="A2826" s="366" t="str">
        <f>IFERROR(VLOOKUP(RIGHT(E2826,3)+0,[1]SchLocTable!$A$2:$B$47,2,FALSE)," ")</f>
        <v>Barnum</v>
      </c>
      <c r="B2826" s="366" t="str">
        <f>VLOOKUP(VALUE(D2826),$D$3:F$106,3,FALSE)</f>
        <v>Social Workers</v>
      </c>
      <c r="C2826" t="s">
        <v>314</v>
      </c>
      <c r="D2826">
        <v>853</v>
      </c>
      <c r="E2826" t="s">
        <v>953</v>
      </c>
      <c r="F2826" t="s">
        <v>321</v>
      </c>
      <c r="G2826" t="s">
        <v>319</v>
      </c>
      <c r="H2826" s="502">
        <v>52917</v>
      </c>
      <c r="I2826" s="415">
        <v>46330.955999999998</v>
      </c>
      <c r="J2826" s="415">
        <v>38609.129999999997</v>
      </c>
      <c r="K2826" s="415">
        <v>35075.879999999997</v>
      </c>
      <c r="L2826" s="415">
        <v>34606.949999999997</v>
      </c>
      <c r="M2826" s="415">
        <v>32449.200000000001</v>
      </c>
      <c r="N2826" s="415">
        <v>30308.67</v>
      </c>
      <c r="O2826" s="415">
        <v>29077.5</v>
      </c>
      <c r="P2826" s="415">
        <v>27385.05</v>
      </c>
      <c r="Q2826" s="481">
        <f t="shared" si="90"/>
        <v>-7721.8260000000009</v>
      </c>
    </row>
    <row r="2827" spans="1:17" x14ac:dyDescent="0.3">
      <c r="A2827" s="366" t="str">
        <f>IFERROR(VLOOKUP(RIGHT(E2827,3)+0,[1]SchLocTable!$A$2:$B$47,2,FALSE)," ")</f>
        <v>Barnum</v>
      </c>
      <c r="B2827" s="366" t="str">
        <f>VLOOKUP(VALUE(D2827),$D$3:F$106,3,FALSE)</f>
        <v>Social Workers</v>
      </c>
      <c r="C2827" t="s">
        <v>314</v>
      </c>
      <c r="D2827">
        <v>853</v>
      </c>
      <c r="E2827" t="s">
        <v>953</v>
      </c>
      <c r="F2827" t="s">
        <v>320</v>
      </c>
      <c r="G2827" t="s">
        <v>319</v>
      </c>
      <c r="H2827" s="502">
        <v>52360</v>
      </c>
      <c r="I2827" s="415">
        <v>1368.2946613700001</v>
      </c>
      <c r="J2827" s="415">
        <v>1093</v>
      </c>
      <c r="K2827" s="415">
        <v>1067.3800000000001</v>
      </c>
      <c r="L2827" s="415">
        <v>973.65</v>
      </c>
      <c r="M2827" s="415">
        <v>919.84</v>
      </c>
      <c r="N2827" s="415">
        <v>878.15</v>
      </c>
      <c r="O2827" s="415">
        <v>820.39</v>
      </c>
      <c r="P2827" s="415">
        <v>813.62</v>
      </c>
      <c r="Q2827" s="481">
        <f t="shared" si="90"/>
        <v>-275.29466137000009</v>
      </c>
    </row>
    <row r="2828" spans="1:17" x14ac:dyDescent="0.3">
      <c r="A2828" s="366" t="str">
        <f>IFERROR(VLOOKUP(RIGHT(E2828,3)+0,[1]SchLocTable!$A$2:$B$47,2,FALSE)," ")</f>
        <v>Columbus</v>
      </c>
      <c r="B2828" s="366" t="str">
        <f>VLOOKUP(VALUE(D2828),$D$3:F$106,3,FALSE)</f>
        <v>Social Workers</v>
      </c>
      <c r="C2828" t="s">
        <v>314</v>
      </c>
      <c r="D2828">
        <v>853</v>
      </c>
      <c r="E2828" t="s">
        <v>954</v>
      </c>
      <c r="F2828" t="s">
        <v>316</v>
      </c>
      <c r="G2828" t="s">
        <v>319</v>
      </c>
      <c r="H2828" s="502">
        <v>51000</v>
      </c>
      <c r="I2828" s="415">
        <v>0</v>
      </c>
      <c r="J2828" s="415">
        <v>0</v>
      </c>
      <c r="K2828" s="415">
        <v>62983.8</v>
      </c>
      <c r="L2828" s="415">
        <v>53165.61</v>
      </c>
      <c r="M2828" s="415">
        <v>68473.08</v>
      </c>
      <c r="N2828" s="415">
        <v>55565.94</v>
      </c>
      <c r="O2828" s="415">
        <v>0</v>
      </c>
      <c r="P2828" s="415">
        <v>0</v>
      </c>
      <c r="Q2828" s="481">
        <f t="shared" si="90"/>
        <v>0</v>
      </c>
    </row>
    <row r="2829" spans="1:17" x14ac:dyDescent="0.3">
      <c r="A2829" s="366" t="str">
        <f>IFERROR(VLOOKUP(RIGHT(E2829,3)+0,[1]SchLocTable!$A$2:$B$47,2,FALSE)," ")</f>
        <v>Columbus</v>
      </c>
      <c r="B2829" s="366" t="str">
        <f>VLOOKUP(VALUE(D2829),$D$3:F$106,3,FALSE)</f>
        <v>Social Workers</v>
      </c>
      <c r="C2829" t="s">
        <v>314</v>
      </c>
      <c r="D2829">
        <v>853</v>
      </c>
      <c r="E2829" t="s">
        <v>954</v>
      </c>
      <c r="F2829" t="s">
        <v>321</v>
      </c>
      <c r="G2829" t="s">
        <v>319</v>
      </c>
      <c r="H2829" s="502">
        <v>52917</v>
      </c>
      <c r="I2829" s="415">
        <v>0</v>
      </c>
      <c r="J2829" s="415">
        <v>0</v>
      </c>
      <c r="K2829" s="415">
        <v>10152</v>
      </c>
      <c r="L2829" s="415">
        <v>25301.54</v>
      </c>
      <c r="M2829" s="415">
        <v>26327.279999999999</v>
      </c>
      <c r="N2829" s="415">
        <v>22122.080000000002</v>
      </c>
      <c r="O2829" s="415">
        <v>0</v>
      </c>
      <c r="P2829" s="415">
        <v>0</v>
      </c>
      <c r="Q2829" s="481">
        <f t="shared" si="90"/>
        <v>0</v>
      </c>
    </row>
    <row r="2830" spans="1:17" x14ac:dyDescent="0.3">
      <c r="A2830" s="366" t="str">
        <f>IFERROR(VLOOKUP(RIGHT(E2830,3)+0,[1]SchLocTable!$A$2:$B$47,2,FALSE)," ")</f>
        <v>Columbus</v>
      </c>
      <c r="B2830" s="366" t="str">
        <f>VLOOKUP(VALUE(D2830),$D$3:F$106,3,FALSE)</f>
        <v>Social Workers</v>
      </c>
      <c r="C2830" t="s">
        <v>314</v>
      </c>
      <c r="D2830">
        <v>853</v>
      </c>
      <c r="E2830" t="s">
        <v>954</v>
      </c>
      <c r="F2830" t="s">
        <v>320</v>
      </c>
      <c r="G2830" t="s">
        <v>319</v>
      </c>
      <c r="H2830" s="502">
        <v>52360</v>
      </c>
      <c r="I2830" s="415">
        <v>0</v>
      </c>
      <c r="J2830" s="415">
        <v>0</v>
      </c>
      <c r="K2830" s="415">
        <v>869.94</v>
      </c>
      <c r="L2830" s="415">
        <v>665.65</v>
      </c>
      <c r="M2830" s="415">
        <v>886.48</v>
      </c>
      <c r="N2830" s="415">
        <v>718.94</v>
      </c>
      <c r="O2830" s="415">
        <v>0</v>
      </c>
      <c r="P2830" s="415">
        <v>0</v>
      </c>
      <c r="Q2830" s="481">
        <f t="shared" si="90"/>
        <v>0</v>
      </c>
    </row>
    <row r="2831" spans="1:17" x14ac:dyDescent="0.3">
      <c r="A2831" s="366" t="str">
        <f>IFERROR(VLOOKUP(RIGHT(E2831,3)+0,[1]SchLocTable!$A$2:$B$47,2,FALSE)," ")</f>
        <v>Marin</v>
      </c>
      <c r="B2831" s="366" t="str">
        <f>VLOOKUP(VALUE(D2831),$D$3:F$106,3,FALSE)</f>
        <v>Social Workers</v>
      </c>
      <c r="C2831" t="s">
        <v>314</v>
      </c>
      <c r="D2831">
        <v>853</v>
      </c>
      <c r="E2831" t="s">
        <v>955</v>
      </c>
      <c r="F2831" t="s">
        <v>316</v>
      </c>
      <c r="G2831">
        <v>1</v>
      </c>
      <c r="H2831" s="502">
        <v>51000</v>
      </c>
      <c r="I2831" s="415">
        <v>88218.711880000003</v>
      </c>
      <c r="J2831" s="415">
        <v>0</v>
      </c>
      <c r="K2831" s="415">
        <v>26677.88</v>
      </c>
      <c r="L2831" s="415">
        <v>65590.5</v>
      </c>
      <c r="M2831" s="415">
        <v>151580</v>
      </c>
      <c r="N2831" s="415">
        <v>141226.01999999999</v>
      </c>
      <c r="O2831" s="415">
        <v>124936.13</v>
      </c>
      <c r="P2831" s="415">
        <v>130577.98</v>
      </c>
      <c r="Q2831" s="481">
        <f t="shared" si="90"/>
        <v>-88218.711880000003</v>
      </c>
    </row>
    <row r="2832" spans="1:17" x14ac:dyDescent="0.3">
      <c r="A2832" s="366" t="str">
        <f>IFERROR(VLOOKUP(RIGHT(E2832,3)+0,[1]SchLocTable!$A$2:$B$47,2,FALSE)," ")</f>
        <v>Marin</v>
      </c>
      <c r="B2832" s="366" t="str">
        <f>VLOOKUP(VALUE(D2832),$D$3:F$106,3,FALSE)</f>
        <v>Social Workers</v>
      </c>
      <c r="C2832" t="s">
        <v>314</v>
      </c>
      <c r="D2832">
        <v>853</v>
      </c>
      <c r="E2832" t="s">
        <v>955</v>
      </c>
      <c r="F2832" t="s">
        <v>321</v>
      </c>
      <c r="G2832" t="s">
        <v>319</v>
      </c>
      <c r="H2832" s="502">
        <v>52917</v>
      </c>
      <c r="I2832" s="415">
        <v>15555.96</v>
      </c>
      <c r="J2832" s="415">
        <v>0</v>
      </c>
      <c r="K2832" s="415">
        <v>6204</v>
      </c>
      <c r="L2832" s="415">
        <v>13613.04</v>
      </c>
      <c r="M2832" s="415">
        <v>33305.370000000003</v>
      </c>
      <c r="N2832" s="415">
        <v>31268.16</v>
      </c>
      <c r="O2832" s="415">
        <v>19396.48</v>
      </c>
      <c r="P2832" s="415">
        <v>10590.09</v>
      </c>
      <c r="Q2832" s="481">
        <f t="shared" si="90"/>
        <v>-15555.96</v>
      </c>
    </row>
    <row r="2833" spans="1:17" x14ac:dyDescent="0.3">
      <c r="A2833" s="366" t="str">
        <f>IFERROR(VLOOKUP(RIGHT(E2833,3)+0,[1]SchLocTable!$A$2:$B$47,2,FALSE)," ")</f>
        <v>Marin</v>
      </c>
      <c r="B2833" s="366" t="str">
        <f>VLOOKUP(VALUE(D2833),$D$3:F$106,3,FALSE)</f>
        <v>Social Workers</v>
      </c>
      <c r="C2833" t="s">
        <v>314</v>
      </c>
      <c r="D2833">
        <v>853</v>
      </c>
      <c r="E2833" t="s">
        <v>955</v>
      </c>
      <c r="F2833" t="s">
        <v>320</v>
      </c>
      <c r="G2833" t="s">
        <v>319</v>
      </c>
      <c r="H2833" s="502">
        <v>52360</v>
      </c>
      <c r="I2833" s="415">
        <v>1279.1713222600001</v>
      </c>
      <c r="J2833" s="415">
        <v>0</v>
      </c>
      <c r="K2833" s="415">
        <v>360.34</v>
      </c>
      <c r="L2833" s="415">
        <v>895.27</v>
      </c>
      <c r="M2833" s="415">
        <v>2039.57</v>
      </c>
      <c r="N2833" s="415">
        <v>1880.1</v>
      </c>
      <c r="O2833" s="415">
        <v>1738.97</v>
      </c>
      <c r="P2833" s="415">
        <v>1856.59</v>
      </c>
      <c r="Q2833" s="481">
        <f t="shared" si="90"/>
        <v>-1279.1713222600001</v>
      </c>
    </row>
    <row r="2834" spans="1:17" x14ac:dyDescent="0.3">
      <c r="A2834" s="366" t="str">
        <f>IFERROR(VLOOKUP(RIGHT(E2834,3)+0,[1]SchLocTable!$A$2:$B$47,2,FALSE)," ")</f>
        <v>Marin</v>
      </c>
      <c r="B2834" s="366" t="str">
        <f>VLOOKUP(VALUE(D2834),$D$3:F$106,3,FALSE)</f>
        <v>Social Workers</v>
      </c>
      <c r="C2834" t="s">
        <v>314</v>
      </c>
      <c r="D2834">
        <v>853</v>
      </c>
      <c r="E2834" t="s">
        <v>955</v>
      </c>
      <c r="F2834" t="s">
        <v>324</v>
      </c>
      <c r="G2834" t="s">
        <v>319</v>
      </c>
      <c r="H2834" s="502">
        <v>52385</v>
      </c>
      <c r="I2834" s="415">
        <v>0</v>
      </c>
      <c r="J2834" s="415">
        <v>0</v>
      </c>
      <c r="K2834" s="415">
        <v>0</v>
      </c>
      <c r="L2834" s="415">
        <v>135.29</v>
      </c>
      <c r="M2834" s="415">
        <v>0</v>
      </c>
      <c r="N2834" s="415">
        <v>0</v>
      </c>
      <c r="O2834" s="415">
        <v>0</v>
      </c>
      <c r="P2834" s="415">
        <v>0</v>
      </c>
      <c r="Q2834" s="481">
        <f t="shared" si="90"/>
        <v>0</v>
      </c>
    </row>
    <row r="2835" spans="1:17" x14ac:dyDescent="0.3">
      <c r="A2835" s="366" t="str">
        <f>IFERROR(VLOOKUP(RIGHT(E2835,3)+0,[1]SchLocTable!$A$2:$B$47,2,FALSE)," ")</f>
        <v>Hooker</v>
      </c>
      <c r="B2835" s="366" t="str">
        <f>VLOOKUP(VALUE(D2835),$D$3:F$106,3,FALSE)</f>
        <v>Social Workers</v>
      </c>
      <c r="C2835" t="s">
        <v>314</v>
      </c>
      <c r="D2835">
        <v>853</v>
      </c>
      <c r="E2835" t="s">
        <v>956</v>
      </c>
      <c r="F2835" t="s">
        <v>316</v>
      </c>
      <c r="G2835">
        <v>1</v>
      </c>
      <c r="H2835" s="502">
        <v>51000</v>
      </c>
      <c r="I2835" s="415">
        <v>110428.46490000001</v>
      </c>
      <c r="J2835" s="415">
        <v>105070</v>
      </c>
      <c r="K2835" s="415">
        <v>102757.98</v>
      </c>
      <c r="L2835" s="415">
        <v>100497.02</v>
      </c>
      <c r="M2835" s="415">
        <v>99011.9</v>
      </c>
      <c r="N2835" s="415">
        <v>97548.88</v>
      </c>
      <c r="O2835" s="415">
        <v>96106.92</v>
      </c>
      <c r="P2835" s="415">
        <v>94593.98</v>
      </c>
      <c r="Q2835" s="481">
        <f t="shared" si="90"/>
        <v>-5358.4649000000063</v>
      </c>
    </row>
    <row r="2836" spans="1:17" x14ac:dyDescent="0.3">
      <c r="A2836" s="366" t="str">
        <f>IFERROR(VLOOKUP(RIGHT(E2836,3)+0,[1]SchLocTable!$A$2:$B$47,2,FALSE)," ")</f>
        <v>Hooker</v>
      </c>
      <c r="B2836" s="366" t="str">
        <f>VLOOKUP(VALUE(D2836),$D$3:F$106,3,FALSE)</f>
        <v>Social Workers</v>
      </c>
      <c r="C2836" t="s">
        <v>314</v>
      </c>
      <c r="D2836">
        <v>853</v>
      </c>
      <c r="E2836" t="s">
        <v>956</v>
      </c>
      <c r="F2836" t="s">
        <v>321</v>
      </c>
      <c r="G2836" t="s">
        <v>319</v>
      </c>
      <c r="H2836" s="502">
        <v>52917</v>
      </c>
      <c r="I2836" s="415">
        <v>15644.663999999999</v>
      </c>
      <c r="J2836" s="415">
        <v>13037.22</v>
      </c>
      <c r="K2836" s="415">
        <v>11844</v>
      </c>
      <c r="L2836" s="415">
        <v>11684.82</v>
      </c>
      <c r="M2836" s="415">
        <v>10956.75</v>
      </c>
      <c r="N2836" s="415">
        <v>10232.879999999999</v>
      </c>
      <c r="O2836" s="415">
        <v>9817.68</v>
      </c>
      <c r="P2836" s="415">
        <v>9245.67</v>
      </c>
      <c r="Q2836" s="481">
        <f t="shared" si="90"/>
        <v>-2607.4439999999995</v>
      </c>
    </row>
    <row r="2837" spans="1:17" x14ac:dyDescent="0.3">
      <c r="A2837" s="366" t="str">
        <f>IFERROR(VLOOKUP(RIGHT(E2837,3)+0,[1]SchLocTable!$A$2:$B$47,2,FALSE)," ")</f>
        <v>Hooker</v>
      </c>
      <c r="B2837" s="366" t="str">
        <f>VLOOKUP(VALUE(D2837),$D$3:F$106,3,FALSE)</f>
        <v>Social Workers</v>
      </c>
      <c r="C2837" t="s">
        <v>314</v>
      </c>
      <c r="D2837">
        <v>853</v>
      </c>
      <c r="E2837" t="s">
        <v>956</v>
      </c>
      <c r="F2837" t="s">
        <v>318</v>
      </c>
      <c r="G2837" t="s">
        <v>319</v>
      </c>
      <c r="H2837" s="502">
        <v>51140</v>
      </c>
      <c r="I2837" s="415">
        <v>1100</v>
      </c>
      <c r="J2837" s="415">
        <v>0</v>
      </c>
      <c r="K2837" s="415">
        <v>1100</v>
      </c>
      <c r="L2837" s="415">
        <v>900</v>
      </c>
      <c r="M2837" s="415">
        <v>900</v>
      </c>
      <c r="N2837" s="415">
        <v>900</v>
      </c>
      <c r="O2837" s="415">
        <v>900</v>
      </c>
      <c r="P2837" s="415">
        <v>900</v>
      </c>
      <c r="Q2837" s="481">
        <f t="shared" si="90"/>
        <v>-1100</v>
      </c>
    </row>
    <row r="2838" spans="1:17" x14ac:dyDescent="0.3">
      <c r="A2838" s="366" t="str">
        <f>IFERROR(VLOOKUP(RIGHT(E2838,3)+0,[1]SchLocTable!$A$2:$B$47,2,FALSE)," ")</f>
        <v>Hooker</v>
      </c>
      <c r="B2838" s="366" t="str">
        <f>VLOOKUP(VALUE(D2838),$D$3:F$106,3,FALSE)</f>
        <v>Social Workers</v>
      </c>
      <c r="C2838" t="s">
        <v>314</v>
      </c>
      <c r="D2838">
        <v>853</v>
      </c>
      <c r="E2838" t="s">
        <v>956</v>
      </c>
      <c r="F2838" t="s">
        <v>320</v>
      </c>
      <c r="G2838" t="s">
        <v>319</v>
      </c>
      <c r="H2838" s="502">
        <v>52360</v>
      </c>
      <c r="I2838" s="415">
        <v>1601.2127410500002</v>
      </c>
      <c r="J2838" s="415">
        <v>1469</v>
      </c>
      <c r="K2838" s="415">
        <v>1455.38</v>
      </c>
      <c r="L2838" s="415">
        <v>1421.85</v>
      </c>
      <c r="M2838" s="415">
        <v>1404.57</v>
      </c>
      <c r="N2838" s="415">
        <v>1387.54</v>
      </c>
      <c r="O2838" s="415">
        <v>1369.31</v>
      </c>
      <c r="P2838" s="415">
        <v>1350.03</v>
      </c>
      <c r="Q2838" s="481">
        <f t="shared" si="90"/>
        <v>-132.2127410500002</v>
      </c>
    </row>
    <row r="2839" spans="1:17" x14ac:dyDescent="0.3">
      <c r="A2839" s="366" t="str">
        <f>IFERROR(VLOOKUP(RIGHT(E2839,3)+0,[1]SchLocTable!$A$2:$B$47,2,FALSE)," ")</f>
        <v>Batalla</v>
      </c>
      <c r="B2839" s="366" t="str">
        <f>VLOOKUP(VALUE(D2839),$D$3:F$106,3,FALSE)</f>
        <v>Social Workers</v>
      </c>
      <c r="C2839" t="s">
        <v>314</v>
      </c>
      <c r="D2839">
        <v>853</v>
      </c>
      <c r="E2839" t="s">
        <v>957</v>
      </c>
      <c r="F2839" t="s">
        <v>316</v>
      </c>
      <c r="G2839">
        <v>2</v>
      </c>
      <c r="H2839" s="502">
        <v>51000</v>
      </c>
      <c r="I2839" s="415">
        <v>183113.43881999998</v>
      </c>
      <c r="J2839" s="415">
        <v>174227.82</v>
      </c>
      <c r="K2839" s="415">
        <v>149728.84</v>
      </c>
      <c r="L2839" s="415">
        <v>98588.12</v>
      </c>
      <c r="M2839" s="415">
        <v>83106.92</v>
      </c>
      <c r="N2839" s="415">
        <v>77031.990000000005</v>
      </c>
      <c r="O2839" s="415">
        <v>72752.94</v>
      </c>
      <c r="P2839" s="415">
        <v>71607.899999999994</v>
      </c>
      <c r="Q2839" s="481">
        <f t="shared" si="90"/>
        <v>-8885.6188199999742</v>
      </c>
    </row>
    <row r="2840" spans="1:17" x14ac:dyDescent="0.3">
      <c r="A2840" s="366" t="str">
        <f>IFERROR(VLOOKUP(RIGHT(E2840,3)+0,[1]SchLocTable!$A$2:$B$47,2,FALSE)," ")</f>
        <v>Batalla</v>
      </c>
      <c r="B2840" s="366" t="str">
        <f>VLOOKUP(VALUE(D2840),$D$3:F$106,3,FALSE)</f>
        <v>Social Workers</v>
      </c>
      <c r="C2840" t="s">
        <v>314</v>
      </c>
      <c r="D2840">
        <v>853</v>
      </c>
      <c r="E2840" t="s">
        <v>957</v>
      </c>
      <c r="F2840" t="s">
        <v>321</v>
      </c>
      <c r="G2840" t="s">
        <v>319</v>
      </c>
      <c r="H2840" s="502">
        <v>52917</v>
      </c>
      <c r="I2840" s="415">
        <v>61886.915999999997</v>
      </c>
      <c r="J2840" s="415">
        <v>51572.43</v>
      </c>
      <c r="K2840" s="415">
        <v>45145.08</v>
      </c>
      <c r="L2840" s="415">
        <v>34772.47</v>
      </c>
      <c r="M2840" s="415">
        <v>32449.200000000001</v>
      </c>
      <c r="N2840" s="415">
        <v>30308.67</v>
      </c>
      <c r="O2840" s="415">
        <v>9817.68</v>
      </c>
      <c r="P2840" s="415">
        <v>9245.67</v>
      </c>
      <c r="Q2840" s="481">
        <f t="shared" si="90"/>
        <v>-10314.485999999997</v>
      </c>
    </row>
    <row r="2841" spans="1:17" x14ac:dyDescent="0.3">
      <c r="A2841" s="366" t="str">
        <f>IFERROR(VLOOKUP(RIGHT(E2841,3)+0,[1]SchLocTable!$A$2:$B$47,2,FALSE)," ")</f>
        <v>Batalla</v>
      </c>
      <c r="B2841" s="366" t="str">
        <f>VLOOKUP(VALUE(D2841),$D$3:F$106,3,FALSE)</f>
        <v>Social Workers</v>
      </c>
      <c r="C2841" t="s">
        <v>314</v>
      </c>
      <c r="D2841">
        <v>853</v>
      </c>
      <c r="E2841" t="s">
        <v>957</v>
      </c>
      <c r="F2841" t="s">
        <v>320</v>
      </c>
      <c r="G2841" t="s">
        <v>319</v>
      </c>
      <c r="H2841" s="502">
        <v>52360</v>
      </c>
      <c r="I2841" s="415">
        <v>2655.1448628899998</v>
      </c>
      <c r="J2841" s="415">
        <v>2493.89</v>
      </c>
      <c r="K2841" s="415">
        <v>1978.22</v>
      </c>
      <c r="L2841" s="415">
        <v>1285.79</v>
      </c>
      <c r="M2841" s="415">
        <v>1074.31</v>
      </c>
      <c r="N2841" s="415">
        <v>998.64</v>
      </c>
      <c r="O2841" s="415">
        <v>1017.62</v>
      </c>
      <c r="P2841" s="415">
        <v>1003.68</v>
      </c>
      <c r="Q2841" s="481">
        <f t="shared" si="90"/>
        <v>-161.25486288999991</v>
      </c>
    </row>
    <row r="2842" spans="1:17" x14ac:dyDescent="0.3">
      <c r="A2842" s="366" t="str">
        <f>IFERROR(VLOOKUP(RIGHT(E2842,3)+0,[1]SchLocTable!$A$2:$B$47,2,FALSE)," ")</f>
        <v>Zoo Science HS</v>
      </c>
      <c r="B2842" s="366" t="str">
        <f>VLOOKUP(VALUE(D2842),$D$3:F$106,3,FALSE)</f>
        <v>Social Workers</v>
      </c>
      <c r="C2842" t="s">
        <v>314</v>
      </c>
      <c r="D2842">
        <v>853</v>
      </c>
      <c r="E2842" t="s">
        <v>958</v>
      </c>
      <c r="F2842" t="s">
        <v>316</v>
      </c>
      <c r="G2842">
        <v>1</v>
      </c>
      <c r="H2842" s="502">
        <v>51000</v>
      </c>
      <c r="I2842" s="415">
        <v>110428.46490000001</v>
      </c>
      <c r="J2842" s="415">
        <v>105070</v>
      </c>
      <c r="K2842" s="415">
        <v>102757.98</v>
      </c>
      <c r="L2842" s="415">
        <v>96245.47</v>
      </c>
      <c r="M2842" s="415">
        <v>54622.1</v>
      </c>
      <c r="N2842" s="415">
        <v>51611.040000000001</v>
      </c>
      <c r="O2842" s="415">
        <v>45600.99</v>
      </c>
      <c r="P2842" s="415">
        <v>94593.98</v>
      </c>
      <c r="Q2842" s="481">
        <f t="shared" si="90"/>
        <v>-5358.4649000000063</v>
      </c>
    </row>
    <row r="2843" spans="1:17" x14ac:dyDescent="0.3">
      <c r="A2843" s="366" t="str">
        <f>IFERROR(VLOOKUP(RIGHT(E2843,3)+0,[1]SchLocTable!$A$2:$B$47,2,FALSE)," ")</f>
        <v>Zoo Science HS</v>
      </c>
      <c r="B2843" s="366" t="str">
        <f>VLOOKUP(VALUE(D2843),$D$3:F$106,3,FALSE)</f>
        <v>Social Workers</v>
      </c>
      <c r="C2843" t="s">
        <v>314</v>
      </c>
      <c r="D2843">
        <v>853</v>
      </c>
      <c r="E2843" t="s">
        <v>958</v>
      </c>
      <c r="F2843" t="s">
        <v>321</v>
      </c>
      <c r="G2843" t="s">
        <v>319</v>
      </c>
      <c r="H2843" s="502">
        <v>52917</v>
      </c>
      <c r="I2843" s="415">
        <v>46330.955999999998</v>
      </c>
      <c r="J2843" s="415">
        <v>38609.129999999997</v>
      </c>
      <c r="K2843" s="415">
        <v>35075.879999999997</v>
      </c>
      <c r="L2843" s="415">
        <v>33674.01</v>
      </c>
      <c r="M2843" s="415">
        <v>26335.47</v>
      </c>
      <c r="N2843" s="415">
        <v>24562.23</v>
      </c>
      <c r="O2843" s="415">
        <v>23332.03</v>
      </c>
      <c r="P2843" s="415">
        <v>0</v>
      </c>
      <c r="Q2843" s="481">
        <f t="shared" si="90"/>
        <v>-7721.8260000000009</v>
      </c>
    </row>
    <row r="2844" spans="1:17" x14ac:dyDescent="0.3">
      <c r="A2844" s="366" t="str">
        <f>IFERROR(VLOOKUP(RIGHT(E2844,3)+0,[1]SchLocTable!$A$2:$B$47,2,FALSE)," ")</f>
        <v>Zoo Science HS</v>
      </c>
      <c r="B2844" s="366" t="str">
        <f>VLOOKUP(VALUE(D2844),$D$3:F$106,3,FALSE)</f>
        <v>Social Workers</v>
      </c>
      <c r="C2844" t="s">
        <v>314</v>
      </c>
      <c r="D2844">
        <v>853</v>
      </c>
      <c r="E2844" t="s">
        <v>958</v>
      </c>
      <c r="F2844" t="s">
        <v>320</v>
      </c>
      <c r="G2844" t="s">
        <v>319</v>
      </c>
      <c r="H2844" s="502">
        <v>52360</v>
      </c>
      <c r="I2844" s="415">
        <v>1601.2127410500002</v>
      </c>
      <c r="J2844" s="415">
        <v>1314</v>
      </c>
      <c r="K2844" s="415">
        <v>1340.27</v>
      </c>
      <c r="L2844" s="415">
        <v>1256.07</v>
      </c>
      <c r="M2844" s="415">
        <v>685.62</v>
      </c>
      <c r="N2844" s="415">
        <v>652.17999999999995</v>
      </c>
      <c r="O2844" s="415">
        <v>615.54999999999995</v>
      </c>
      <c r="P2844" s="415">
        <v>1568.45</v>
      </c>
      <c r="Q2844" s="481">
        <f t="shared" si="90"/>
        <v>-287.2127410500002</v>
      </c>
    </row>
    <row r="2845" spans="1:17" x14ac:dyDescent="0.3">
      <c r="A2845" s="366" t="str">
        <f>IFERROR(VLOOKUP(RIGHT(E2845,3)+0,[1]SchLocTable!$A$2:$B$47,2,FALSE)," ")</f>
        <v>Classical Studies Academy</v>
      </c>
      <c r="B2845" s="366" t="str">
        <f>VLOOKUP(VALUE(D2845),$D$3:F$106,3,FALSE)</f>
        <v>Social Workers</v>
      </c>
      <c r="C2845" t="s">
        <v>314</v>
      </c>
      <c r="D2845">
        <v>853</v>
      </c>
      <c r="E2845" t="s">
        <v>959</v>
      </c>
      <c r="F2845" t="s">
        <v>316</v>
      </c>
      <c r="G2845">
        <v>1</v>
      </c>
      <c r="H2845" s="502">
        <v>51000</v>
      </c>
      <c r="I2845" s="415">
        <v>110428.46490000001</v>
      </c>
      <c r="J2845" s="415">
        <v>105070</v>
      </c>
      <c r="K2845" s="415">
        <v>102757.98</v>
      </c>
      <c r="L2845" s="415">
        <v>100497.02</v>
      </c>
      <c r="M2845" s="415">
        <v>83779.3</v>
      </c>
      <c r="N2845" s="415">
        <v>0</v>
      </c>
      <c r="O2845" s="415">
        <v>0</v>
      </c>
      <c r="P2845" s="415">
        <v>0</v>
      </c>
      <c r="Q2845" s="481">
        <f t="shared" si="90"/>
        <v>-5358.4649000000063</v>
      </c>
    </row>
    <row r="2846" spans="1:17" x14ac:dyDescent="0.3">
      <c r="A2846" s="366" t="str">
        <f>IFERROR(VLOOKUP(RIGHT(E2846,3)+0,[1]SchLocTable!$A$2:$B$47,2,FALSE)," ")</f>
        <v>Classical Studies Academy</v>
      </c>
      <c r="B2846" s="366" t="str">
        <f>VLOOKUP(VALUE(D2846),$D$3:F$106,3,FALSE)</f>
        <v>Social Workers</v>
      </c>
      <c r="C2846" t="s">
        <v>314</v>
      </c>
      <c r="D2846">
        <v>853</v>
      </c>
      <c r="E2846" t="s">
        <v>959</v>
      </c>
      <c r="F2846" t="s">
        <v>321</v>
      </c>
      <c r="G2846" t="s">
        <v>319</v>
      </c>
      <c r="H2846" s="502">
        <v>52917</v>
      </c>
      <c r="I2846" s="415">
        <v>46330.955999999998</v>
      </c>
      <c r="J2846" s="415">
        <v>38609.129999999997</v>
      </c>
      <c r="K2846" s="415">
        <v>35075.879999999997</v>
      </c>
      <c r="L2846" s="415">
        <v>34606.949999999997</v>
      </c>
      <c r="M2846" s="415">
        <v>26268.400000000001</v>
      </c>
      <c r="N2846" s="415">
        <v>0</v>
      </c>
      <c r="O2846" s="415">
        <v>0</v>
      </c>
      <c r="P2846" s="415">
        <v>0</v>
      </c>
      <c r="Q2846" s="481">
        <f t="shared" si="90"/>
        <v>-7721.8260000000009</v>
      </c>
    </row>
    <row r="2847" spans="1:17" x14ac:dyDescent="0.3">
      <c r="A2847" s="366" t="str">
        <f>IFERROR(VLOOKUP(RIGHT(E2847,3)+0,[1]SchLocTable!$A$2:$B$47,2,FALSE)," ")</f>
        <v>Classical Studies Academy</v>
      </c>
      <c r="B2847" s="366" t="str">
        <f>VLOOKUP(VALUE(D2847),$D$3:F$106,3,FALSE)</f>
        <v>Social Workers</v>
      </c>
      <c r="C2847" t="s">
        <v>314</v>
      </c>
      <c r="D2847">
        <v>853</v>
      </c>
      <c r="E2847" t="s">
        <v>959</v>
      </c>
      <c r="F2847" t="s">
        <v>318</v>
      </c>
      <c r="G2847" t="s">
        <v>319</v>
      </c>
      <c r="H2847" s="502">
        <v>51140</v>
      </c>
      <c r="I2847" s="415">
        <v>900</v>
      </c>
      <c r="J2847" s="415">
        <v>0</v>
      </c>
      <c r="K2847" s="415">
        <v>900</v>
      </c>
      <c r="L2847" s="415">
        <v>0</v>
      </c>
      <c r="M2847" s="415">
        <v>0</v>
      </c>
      <c r="N2847" s="415">
        <v>0</v>
      </c>
      <c r="O2847" s="415">
        <v>0</v>
      </c>
      <c r="P2847" s="415">
        <v>0</v>
      </c>
      <c r="Q2847" s="481">
        <f t="shared" si="90"/>
        <v>-900</v>
      </c>
    </row>
    <row r="2848" spans="1:17" x14ac:dyDescent="0.3">
      <c r="A2848" s="366" t="str">
        <f>IFERROR(VLOOKUP(RIGHT(E2848,3)+0,[1]SchLocTable!$A$2:$B$47,2,FALSE)," ")</f>
        <v>Classical Studies Academy</v>
      </c>
      <c r="B2848" s="366" t="str">
        <f>VLOOKUP(VALUE(D2848),$D$3:F$106,3,FALSE)</f>
        <v>Social Workers</v>
      </c>
      <c r="C2848" t="s">
        <v>314</v>
      </c>
      <c r="D2848">
        <v>853</v>
      </c>
      <c r="E2848" t="s">
        <v>959</v>
      </c>
      <c r="F2848" t="s">
        <v>320</v>
      </c>
      <c r="G2848" t="s">
        <v>319</v>
      </c>
      <c r="H2848" s="502">
        <v>52360</v>
      </c>
      <c r="I2848" s="415">
        <v>1601.2127410500002</v>
      </c>
      <c r="J2848" s="415">
        <v>1328</v>
      </c>
      <c r="K2848" s="415">
        <v>1353.34</v>
      </c>
      <c r="L2848" s="415">
        <v>1317.53</v>
      </c>
      <c r="M2848" s="415">
        <v>1108.95</v>
      </c>
      <c r="N2848" s="415">
        <v>0</v>
      </c>
      <c r="O2848" s="415">
        <v>0</v>
      </c>
      <c r="P2848" s="415">
        <v>0</v>
      </c>
      <c r="Q2848" s="481">
        <f t="shared" si="90"/>
        <v>-273.2127410500002</v>
      </c>
    </row>
    <row r="2849" spans="1:17" x14ac:dyDescent="0.3">
      <c r="A2849" s="366" t="str">
        <f>IFERROR(VLOOKUP(RIGHT(E2849,3)+0,[1]SchLocTable!$A$2:$B$47,2,FALSE)," ")</f>
        <v>Classical Studies Academy</v>
      </c>
      <c r="B2849" s="366" t="str">
        <f>VLOOKUP(VALUE(D2849),$D$3:F$106,3,FALSE)</f>
        <v>Social Workers</v>
      </c>
      <c r="C2849" t="s">
        <v>314</v>
      </c>
      <c r="D2849">
        <v>853</v>
      </c>
      <c r="E2849" t="s">
        <v>959</v>
      </c>
      <c r="F2849" t="s">
        <v>560</v>
      </c>
      <c r="G2849" t="s">
        <v>319</v>
      </c>
      <c r="H2849" s="502">
        <v>51404</v>
      </c>
      <c r="I2849" s="415">
        <v>0</v>
      </c>
      <c r="J2849" s="415">
        <v>0</v>
      </c>
      <c r="K2849" s="415">
        <v>0</v>
      </c>
      <c r="L2849" s="415">
        <v>250</v>
      </c>
      <c r="M2849" s="415">
        <v>0</v>
      </c>
      <c r="N2849" s="415">
        <v>0</v>
      </c>
      <c r="O2849" s="415">
        <v>0</v>
      </c>
      <c r="P2849" s="415">
        <v>0</v>
      </c>
      <c r="Q2849" s="481">
        <f t="shared" si="90"/>
        <v>0</v>
      </c>
    </row>
    <row r="2850" spans="1:17" x14ac:dyDescent="0.3">
      <c r="A2850" s="366" t="str">
        <f>IFERROR(VLOOKUP(RIGHT(E2850,3)+0,[1]SchLocTable!$A$2:$B$47,2,FALSE)," ")</f>
        <v>Tisdale</v>
      </c>
      <c r="B2850" s="366" t="str">
        <f>VLOOKUP(VALUE(D2850),$D$3:F$106,3,FALSE)</f>
        <v>Social Workers</v>
      </c>
      <c r="C2850" t="s">
        <v>314</v>
      </c>
      <c r="D2850">
        <v>853</v>
      </c>
      <c r="E2850" t="s">
        <v>960</v>
      </c>
      <c r="F2850" t="s">
        <v>316</v>
      </c>
      <c r="G2850" t="s">
        <v>319</v>
      </c>
      <c r="H2850" s="502">
        <v>51000</v>
      </c>
      <c r="I2850" s="415">
        <v>0</v>
      </c>
      <c r="J2850" s="415">
        <v>0</v>
      </c>
      <c r="K2850" s="415">
        <v>41865.769999999997</v>
      </c>
      <c r="L2850" s="415">
        <v>0</v>
      </c>
      <c r="M2850" s="415">
        <v>0</v>
      </c>
      <c r="N2850" s="415">
        <v>0</v>
      </c>
      <c r="O2850" s="415">
        <v>19080</v>
      </c>
      <c r="P2850" s="415">
        <v>20970</v>
      </c>
      <c r="Q2850" s="481">
        <f t="shared" si="90"/>
        <v>0</v>
      </c>
    </row>
    <row r="2851" spans="1:17" x14ac:dyDescent="0.3">
      <c r="A2851" s="366" t="str">
        <f>IFERROR(VLOOKUP(RIGHT(E2851,3)+0,[1]SchLocTable!$A$2:$B$47,2,FALSE)," ")</f>
        <v>Tisdale</v>
      </c>
      <c r="B2851" s="366" t="str">
        <f>VLOOKUP(VALUE(D2851),$D$3:F$106,3,FALSE)</f>
        <v>Social Workers</v>
      </c>
      <c r="C2851" t="s">
        <v>314</v>
      </c>
      <c r="D2851">
        <v>853</v>
      </c>
      <c r="E2851" t="s">
        <v>960</v>
      </c>
      <c r="F2851" t="s">
        <v>321</v>
      </c>
      <c r="G2851" t="s">
        <v>319</v>
      </c>
      <c r="H2851" s="502">
        <v>52917</v>
      </c>
      <c r="I2851" s="415">
        <v>0</v>
      </c>
      <c r="J2851" s="415">
        <v>0</v>
      </c>
      <c r="K2851" s="415">
        <v>24383.52</v>
      </c>
      <c r="L2851" s="415">
        <v>0</v>
      </c>
      <c r="M2851" s="415">
        <v>0</v>
      </c>
      <c r="N2851" s="415">
        <v>0</v>
      </c>
      <c r="O2851" s="415">
        <v>0</v>
      </c>
      <c r="P2851" s="415">
        <v>17040.400000000001</v>
      </c>
      <c r="Q2851" s="481">
        <f t="shared" si="90"/>
        <v>0</v>
      </c>
    </row>
    <row r="2852" spans="1:17" x14ac:dyDescent="0.3">
      <c r="A2852" s="366" t="str">
        <f>IFERROR(VLOOKUP(RIGHT(E2852,3)+0,[1]SchLocTable!$A$2:$B$47,2,FALSE)," ")</f>
        <v>Tisdale</v>
      </c>
      <c r="B2852" s="366" t="str">
        <f>VLOOKUP(VALUE(D2852),$D$3:F$106,3,FALSE)</f>
        <v>Social Workers</v>
      </c>
      <c r="C2852" t="s">
        <v>314</v>
      </c>
      <c r="D2852">
        <v>853</v>
      </c>
      <c r="E2852" t="s">
        <v>960</v>
      </c>
      <c r="F2852" t="s">
        <v>318</v>
      </c>
      <c r="G2852" t="s">
        <v>319</v>
      </c>
      <c r="H2852" s="502">
        <v>51140</v>
      </c>
      <c r="I2852" s="415">
        <v>0</v>
      </c>
      <c r="J2852" s="415">
        <v>0</v>
      </c>
      <c r="K2852" s="415">
        <v>900</v>
      </c>
      <c r="L2852" s="415">
        <v>0</v>
      </c>
      <c r="M2852" s="415">
        <v>0</v>
      </c>
      <c r="N2852" s="415">
        <v>0</v>
      </c>
      <c r="O2852" s="415">
        <v>0</v>
      </c>
      <c r="P2852" s="415">
        <v>0</v>
      </c>
      <c r="Q2852" s="481">
        <f t="shared" si="90"/>
        <v>0</v>
      </c>
    </row>
    <row r="2853" spans="1:17" x14ac:dyDescent="0.3">
      <c r="A2853" s="366" t="str">
        <f>IFERROR(VLOOKUP(RIGHT(E2853,3)+0,[1]SchLocTable!$A$2:$B$47,2,FALSE)," ")</f>
        <v>Tisdale</v>
      </c>
      <c r="B2853" s="366" t="str">
        <f>VLOOKUP(VALUE(D2853),$D$3:F$106,3,FALSE)</f>
        <v>Social Workers</v>
      </c>
      <c r="C2853" t="s">
        <v>314</v>
      </c>
      <c r="D2853">
        <v>853</v>
      </c>
      <c r="E2853" t="s">
        <v>960</v>
      </c>
      <c r="F2853" t="s">
        <v>320</v>
      </c>
      <c r="G2853" t="s">
        <v>319</v>
      </c>
      <c r="H2853" s="502">
        <v>52360</v>
      </c>
      <c r="I2853" s="415">
        <v>0</v>
      </c>
      <c r="J2853" s="415">
        <v>0</v>
      </c>
      <c r="K2853" s="415">
        <v>515.78</v>
      </c>
      <c r="L2853" s="415">
        <v>0</v>
      </c>
      <c r="M2853" s="415">
        <v>0</v>
      </c>
      <c r="N2853" s="415">
        <v>0</v>
      </c>
      <c r="O2853" s="415">
        <v>276.66000000000003</v>
      </c>
      <c r="P2853" s="415">
        <v>240.45</v>
      </c>
      <c r="Q2853" s="481">
        <f t="shared" si="90"/>
        <v>0</v>
      </c>
    </row>
    <row r="2854" spans="1:17" x14ac:dyDescent="0.3">
      <c r="A2854" s="366" t="str">
        <f>IFERROR(VLOOKUP(RIGHT(E2854,3)+0,[1]SchLocTable!$A$2:$B$47,2,FALSE)," ")</f>
        <v>Read</v>
      </c>
      <c r="B2854" s="366" t="str">
        <f>VLOOKUP(VALUE(D2854),$D$3:F$106,3,FALSE)</f>
        <v>Social Workers</v>
      </c>
      <c r="C2854" t="s">
        <v>314</v>
      </c>
      <c r="D2854">
        <v>853</v>
      </c>
      <c r="E2854" t="s">
        <v>961</v>
      </c>
      <c r="F2854" t="s">
        <v>316</v>
      </c>
      <c r="G2854">
        <v>1</v>
      </c>
      <c r="H2854" s="502">
        <v>51000</v>
      </c>
      <c r="I2854" s="415">
        <v>110428.46490000001</v>
      </c>
      <c r="J2854" s="415">
        <v>105070</v>
      </c>
      <c r="K2854" s="415">
        <v>102757.98</v>
      </c>
      <c r="L2854" s="415">
        <v>100497.02</v>
      </c>
      <c r="M2854" s="415">
        <v>99011.9</v>
      </c>
      <c r="N2854" s="415">
        <v>97548.88</v>
      </c>
      <c r="O2854" s="415">
        <v>96106.92</v>
      </c>
      <c r="P2854" s="415">
        <v>94593.98</v>
      </c>
      <c r="Q2854" s="481">
        <f t="shared" si="90"/>
        <v>-5358.4649000000063</v>
      </c>
    </row>
    <row r="2855" spans="1:17" x14ac:dyDescent="0.3">
      <c r="A2855" s="366" t="str">
        <f>IFERROR(VLOOKUP(RIGHT(E2855,3)+0,[1]SchLocTable!$A$2:$B$47,2,FALSE)," ")</f>
        <v>Read</v>
      </c>
      <c r="B2855" s="366" t="str">
        <f>VLOOKUP(VALUE(D2855),$D$3:F$106,3,FALSE)</f>
        <v>Social Workers</v>
      </c>
      <c r="C2855" t="s">
        <v>314</v>
      </c>
      <c r="D2855">
        <v>853</v>
      </c>
      <c r="E2855" t="s">
        <v>961</v>
      </c>
      <c r="F2855" t="s">
        <v>321</v>
      </c>
      <c r="G2855" t="s">
        <v>319</v>
      </c>
      <c r="H2855" s="502">
        <v>52917</v>
      </c>
      <c r="I2855" s="415">
        <v>37644.263999999996</v>
      </c>
      <c r="J2855" s="415">
        <v>31370.22</v>
      </c>
      <c r="K2855" s="415">
        <v>28478.1</v>
      </c>
      <c r="L2855" s="415">
        <v>28076.37</v>
      </c>
      <c r="M2855" s="415">
        <v>26335.47</v>
      </c>
      <c r="N2855" s="415">
        <v>24562.23</v>
      </c>
      <c r="O2855" s="415">
        <v>23581.07</v>
      </c>
      <c r="P2855" s="415">
        <v>22186.29</v>
      </c>
      <c r="Q2855" s="481">
        <f t="shared" si="90"/>
        <v>-6274.0439999999944</v>
      </c>
    </row>
    <row r="2856" spans="1:17" x14ac:dyDescent="0.3">
      <c r="A2856" s="366" t="str">
        <f>IFERROR(VLOOKUP(RIGHT(E2856,3)+0,[1]SchLocTable!$A$2:$B$47,2,FALSE)," ")</f>
        <v>Read</v>
      </c>
      <c r="B2856" s="366" t="str">
        <f>VLOOKUP(VALUE(D2856),$D$3:F$106,3,FALSE)</f>
        <v>Social Workers</v>
      </c>
      <c r="C2856" t="s">
        <v>314</v>
      </c>
      <c r="D2856">
        <v>853</v>
      </c>
      <c r="E2856" t="s">
        <v>961</v>
      </c>
      <c r="F2856" t="s">
        <v>318</v>
      </c>
      <c r="G2856" t="s">
        <v>319</v>
      </c>
      <c r="H2856" s="502">
        <v>51140</v>
      </c>
      <c r="I2856" s="415">
        <v>1200</v>
      </c>
      <c r="J2856" s="415">
        <v>0</v>
      </c>
      <c r="K2856" s="415">
        <v>1200</v>
      </c>
      <c r="L2856" s="415">
        <v>1200</v>
      </c>
      <c r="M2856" s="415">
        <v>1100</v>
      </c>
      <c r="N2856" s="415">
        <v>1100</v>
      </c>
      <c r="O2856" s="415">
        <v>1100</v>
      </c>
      <c r="P2856" s="415">
        <v>1100</v>
      </c>
      <c r="Q2856" s="481">
        <f t="shared" si="90"/>
        <v>-1200</v>
      </c>
    </row>
    <row r="2857" spans="1:17" x14ac:dyDescent="0.3">
      <c r="A2857" s="366" t="str">
        <f>IFERROR(VLOOKUP(RIGHT(E2857,3)+0,[1]SchLocTable!$A$2:$B$47,2,FALSE)," ")</f>
        <v>Read</v>
      </c>
      <c r="B2857" s="366" t="str">
        <f>VLOOKUP(VALUE(D2857),$D$3:F$106,3,FALSE)</f>
        <v>Social Workers</v>
      </c>
      <c r="C2857" t="s">
        <v>314</v>
      </c>
      <c r="D2857">
        <v>853</v>
      </c>
      <c r="E2857" t="s">
        <v>961</v>
      </c>
      <c r="F2857" t="s">
        <v>320</v>
      </c>
      <c r="G2857" t="s">
        <v>319</v>
      </c>
      <c r="H2857" s="502">
        <v>52360</v>
      </c>
      <c r="I2857" s="415">
        <v>1601.2127410500002</v>
      </c>
      <c r="J2857" s="415">
        <v>1371</v>
      </c>
      <c r="K2857" s="415">
        <v>1385.51</v>
      </c>
      <c r="L2857" s="415">
        <v>1358</v>
      </c>
      <c r="M2857" s="415">
        <v>1345.23</v>
      </c>
      <c r="N2857" s="415">
        <v>1334.21</v>
      </c>
      <c r="O2857" s="415">
        <v>1319.71</v>
      </c>
      <c r="P2857" s="415">
        <v>1304.06</v>
      </c>
      <c r="Q2857" s="481">
        <f t="shared" si="90"/>
        <v>-230.2127410500002</v>
      </c>
    </row>
    <row r="2858" spans="1:17" x14ac:dyDescent="0.3">
      <c r="A2858" s="366" t="str">
        <f>IFERROR(VLOOKUP(RIGHT(E2858,3)+0,[1]SchLocTable!$A$2:$B$47,2,FALSE)," ")</f>
        <v>Bridgeport Learning Center</v>
      </c>
      <c r="B2858" s="366" t="str">
        <f>VLOOKUP(VALUE(D2858),$D$3:F$106,3,FALSE)</f>
        <v>Social Workers</v>
      </c>
      <c r="C2858" t="s">
        <v>314</v>
      </c>
      <c r="D2858">
        <v>853</v>
      </c>
      <c r="E2858" t="s">
        <v>962</v>
      </c>
      <c r="F2858" t="s">
        <v>316</v>
      </c>
      <c r="G2858" t="s">
        <v>319</v>
      </c>
      <c r="H2858" s="502">
        <v>51000</v>
      </c>
      <c r="I2858" s="415">
        <v>0</v>
      </c>
      <c r="J2858" s="415">
        <v>0</v>
      </c>
      <c r="K2858" s="415">
        <v>0</v>
      </c>
      <c r="L2858" s="415">
        <v>35893.42</v>
      </c>
      <c r="M2858" s="415">
        <v>59914.05</v>
      </c>
      <c r="N2858" s="415">
        <v>56917.98</v>
      </c>
      <c r="O2858" s="415">
        <v>54622.1</v>
      </c>
      <c r="P2858" s="415">
        <v>0</v>
      </c>
      <c r="Q2858" s="481">
        <f t="shared" si="90"/>
        <v>0</v>
      </c>
    </row>
    <row r="2859" spans="1:17" x14ac:dyDescent="0.3">
      <c r="A2859" s="366" t="str">
        <f>IFERROR(VLOOKUP(RIGHT(E2859,3)+0,[1]SchLocTable!$A$2:$B$47,2,FALSE)," ")</f>
        <v>Bridgeport Learning Center</v>
      </c>
      <c r="B2859" s="366" t="str">
        <f>VLOOKUP(VALUE(D2859),$D$3:F$106,3,FALSE)</f>
        <v>Social Workers</v>
      </c>
      <c r="C2859" t="s">
        <v>314</v>
      </c>
      <c r="D2859">
        <v>853</v>
      </c>
      <c r="E2859" t="s">
        <v>962</v>
      </c>
      <c r="F2859" t="s">
        <v>321</v>
      </c>
      <c r="G2859" t="s">
        <v>319</v>
      </c>
      <c r="H2859" s="502">
        <v>52917</v>
      </c>
      <c r="I2859" s="415">
        <v>0</v>
      </c>
      <c r="J2859" s="415">
        <v>0</v>
      </c>
      <c r="K2859" s="415">
        <v>0</v>
      </c>
      <c r="L2859" s="415">
        <v>21319.87</v>
      </c>
      <c r="M2859" s="415">
        <v>32436.81</v>
      </c>
      <c r="N2859" s="415">
        <v>30141.51</v>
      </c>
      <c r="O2859" s="415">
        <v>29077.5</v>
      </c>
      <c r="P2859" s="415">
        <v>0</v>
      </c>
      <c r="Q2859" s="481">
        <f t="shared" si="90"/>
        <v>0</v>
      </c>
    </row>
    <row r="2860" spans="1:17" x14ac:dyDescent="0.3">
      <c r="A2860" s="366" t="str">
        <f>IFERROR(VLOOKUP(RIGHT(E2860,3)+0,[1]SchLocTable!$A$2:$B$47,2,FALSE)," ")</f>
        <v>Bridgeport Learning Center</v>
      </c>
      <c r="B2860" s="366" t="str">
        <f>VLOOKUP(VALUE(D2860),$D$3:F$106,3,FALSE)</f>
        <v>Social Workers</v>
      </c>
      <c r="C2860" t="s">
        <v>314</v>
      </c>
      <c r="D2860">
        <v>853</v>
      </c>
      <c r="E2860" t="s">
        <v>962</v>
      </c>
      <c r="F2860" t="s">
        <v>320</v>
      </c>
      <c r="G2860" t="s">
        <v>319</v>
      </c>
      <c r="H2860" s="502">
        <v>52360</v>
      </c>
      <c r="I2860" s="415">
        <v>0</v>
      </c>
      <c r="J2860" s="415">
        <v>0</v>
      </c>
      <c r="K2860" s="415">
        <v>0</v>
      </c>
      <c r="L2860" s="415">
        <v>432.01</v>
      </c>
      <c r="M2860" s="415">
        <v>738.05</v>
      </c>
      <c r="N2860" s="415">
        <v>707.4</v>
      </c>
      <c r="O2860" s="415">
        <v>681.59</v>
      </c>
      <c r="P2860" s="415">
        <v>0</v>
      </c>
      <c r="Q2860" s="481">
        <f t="shared" si="90"/>
        <v>0</v>
      </c>
    </row>
    <row r="2861" spans="1:17" x14ac:dyDescent="0.3">
      <c r="A2861" s="366" t="str">
        <f>IFERROR(VLOOKUP(RIGHT(E2861,3)+0,[1]SchLocTable!$A$2:$B$47,2,FALSE)," ")</f>
        <v>Waltersville</v>
      </c>
      <c r="B2861" s="366" t="str">
        <f>VLOOKUP(VALUE(D2861),$D$3:F$106,3,FALSE)</f>
        <v>Social Workers</v>
      </c>
      <c r="C2861" t="s">
        <v>314</v>
      </c>
      <c r="D2861">
        <v>853</v>
      </c>
      <c r="E2861" t="s">
        <v>963</v>
      </c>
      <c r="F2861" t="s">
        <v>316</v>
      </c>
      <c r="G2861">
        <v>1</v>
      </c>
      <c r="H2861" s="502">
        <v>51000</v>
      </c>
      <c r="I2861" s="415">
        <v>110428.46490000001</v>
      </c>
      <c r="J2861" s="415">
        <v>105070</v>
      </c>
      <c r="K2861" s="415">
        <v>99166.98</v>
      </c>
      <c r="L2861" s="415">
        <v>100497.02</v>
      </c>
      <c r="M2861" s="415">
        <v>99011.9</v>
      </c>
      <c r="N2861" s="415">
        <v>97548.88</v>
      </c>
      <c r="O2861" s="415">
        <v>96106.92</v>
      </c>
      <c r="P2861" s="415">
        <v>94593.98</v>
      </c>
      <c r="Q2861" s="481">
        <f t="shared" si="90"/>
        <v>-5358.4649000000063</v>
      </c>
    </row>
    <row r="2862" spans="1:17" x14ac:dyDescent="0.3">
      <c r="A2862" s="366" t="str">
        <f>IFERROR(VLOOKUP(RIGHT(E2862,3)+0,[1]SchLocTable!$A$2:$B$47,2,FALSE)," ")</f>
        <v>Waltersville</v>
      </c>
      <c r="B2862" s="366" t="str">
        <f>VLOOKUP(VALUE(D2862),$D$3:F$106,3,FALSE)</f>
        <v>Social Workers</v>
      </c>
      <c r="C2862" t="s">
        <v>314</v>
      </c>
      <c r="D2862">
        <v>853</v>
      </c>
      <c r="E2862" t="s">
        <v>963</v>
      </c>
      <c r="F2862" t="s">
        <v>321</v>
      </c>
      <c r="G2862" t="s">
        <v>319</v>
      </c>
      <c r="H2862" s="502">
        <v>52917</v>
      </c>
      <c r="I2862" s="415">
        <v>37644.263999999996</v>
      </c>
      <c r="J2862" s="415">
        <v>31370.22</v>
      </c>
      <c r="K2862" s="415">
        <v>28478.1</v>
      </c>
      <c r="L2862" s="415">
        <v>28076.37</v>
      </c>
      <c r="M2862" s="415">
        <v>29246.77</v>
      </c>
      <c r="N2862" s="415">
        <v>30308.67</v>
      </c>
      <c r="O2862" s="415">
        <v>29077.5</v>
      </c>
      <c r="P2862" s="415">
        <v>27385.05</v>
      </c>
      <c r="Q2862" s="481">
        <f t="shared" si="90"/>
        <v>-6274.0439999999944</v>
      </c>
    </row>
    <row r="2863" spans="1:17" x14ac:dyDescent="0.3">
      <c r="A2863" s="366" t="str">
        <f>IFERROR(VLOOKUP(RIGHT(E2863,3)+0,[1]SchLocTable!$A$2:$B$47,2,FALSE)," ")</f>
        <v>Waltersville</v>
      </c>
      <c r="B2863" s="366" t="str">
        <f>VLOOKUP(VALUE(D2863),$D$3:F$106,3,FALSE)</f>
        <v>Social Workers</v>
      </c>
      <c r="C2863" t="s">
        <v>314</v>
      </c>
      <c r="D2863">
        <v>853</v>
      </c>
      <c r="E2863" t="s">
        <v>963</v>
      </c>
      <c r="F2863" t="s">
        <v>318</v>
      </c>
      <c r="G2863" t="s">
        <v>319</v>
      </c>
      <c r="H2863" s="502">
        <v>51140</v>
      </c>
      <c r="I2863" s="415">
        <v>900</v>
      </c>
      <c r="J2863" s="415">
        <v>0</v>
      </c>
      <c r="K2863" s="415">
        <v>900</v>
      </c>
      <c r="L2863" s="415">
        <v>900</v>
      </c>
      <c r="M2863" s="415">
        <v>0</v>
      </c>
      <c r="N2863" s="415">
        <v>0</v>
      </c>
      <c r="O2863" s="415">
        <v>0</v>
      </c>
      <c r="P2863" s="415">
        <v>0</v>
      </c>
      <c r="Q2863" s="481">
        <f t="shared" si="90"/>
        <v>-900</v>
      </c>
    </row>
    <row r="2864" spans="1:17" x14ac:dyDescent="0.3">
      <c r="A2864" s="366" t="str">
        <f>IFERROR(VLOOKUP(RIGHT(E2864,3)+0,[1]SchLocTable!$A$2:$B$47,2,FALSE)," ")</f>
        <v>Waltersville</v>
      </c>
      <c r="B2864" s="366" t="str">
        <f>VLOOKUP(VALUE(D2864),$D$3:F$106,3,FALSE)</f>
        <v>Social Workers</v>
      </c>
      <c r="C2864" t="s">
        <v>314</v>
      </c>
      <c r="D2864">
        <v>853</v>
      </c>
      <c r="E2864" t="s">
        <v>963</v>
      </c>
      <c r="F2864" t="s">
        <v>320</v>
      </c>
      <c r="G2864" t="s">
        <v>319</v>
      </c>
      <c r="H2864" s="502">
        <v>52360</v>
      </c>
      <c r="I2864" s="415">
        <v>1601.2127410500002</v>
      </c>
      <c r="J2864" s="415">
        <v>1366</v>
      </c>
      <c r="K2864" s="415">
        <v>1329.09</v>
      </c>
      <c r="L2864" s="415">
        <v>1353.66</v>
      </c>
      <c r="M2864" s="415">
        <v>1317.68</v>
      </c>
      <c r="N2864" s="415">
        <v>1296.1199999999999</v>
      </c>
      <c r="O2864" s="415">
        <v>1283.1199999999999</v>
      </c>
      <c r="P2864" s="415">
        <v>1262.25</v>
      </c>
      <c r="Q2864" s="481">
        <f t="shared" si="90"/>
        <v>-235.2127410500002</v>
      </c>
    </row>
    <row r="2865" spans="1:17" x14ac:dyDescent="0.3">
      <c r="A2865" s="366" t="str">
        <f>IFERROR(VLOOKUP(RIGHT(E2865,3)+0,[1]SchLocTable!$A$2:$B$47,2,FALSE)," ")</f>
        <v>Johnson</v>
      </c>
      <c r="B2865" s="366" t="str">
        <f>VLOOKUP(VALUE(D2865),$D$3:F$106,3,FALSE)</f>
        <v>Social Workers</v>
      </c>
      <c r="C2865" t="s">
        <v>314</v>
      </c>
      <c r="D2865">
        <v>853</v>
      </c>
      <c r="E2865" t="s">
        <v>964</v>
      </c>
      <c r="F2865" t="s">
        <v>316</v>
      </c>
      <c r="G2865" t="s">
        <v>319</v>
      </c>
      <c r="H2865" s="502">
        <v>51000</v>
      </c>
      <c r="I2865" s="415">
        <v>0</v>
      </c>
      <c r="J2865" s="415">
        <v>0</v>
      </c>
      <c r="K2865" s="415">
        <v>0</v>
      </c>
      <c r="L2865" s="415">
        <v>0</v>
      </c>
      <c r="M2865" s="415">
        <v>54622.1</v>
      </c>
      <c r="N2865" s="415">
        <v>17964.169999999998</v>
      </c>
      <c r="O2865" s="415">
        <v>96106.92</v>
      </c>
      <c r="P2865" s="415">
        <v>94593.98</v>
      </c>
      <c r="Q2865" s="481">
        <f t="shared" si="90"/>
        <v>0</v>
      </c>
    </row>
    <row r="2866" spans="1:17" x14ac:dyDescent="0.3">
      <c r="A2866" s="366" t="str">
        <f>IFERROR(VLOOKUP(RIGHT(E2866,3)+0,[1]SchLocTable!$A$2:$B$47,2,FALSE)," ")</f>
        <v>Johnson</v>
      </c>
      <c r="B2866" s="366" t="str">
        <f>VLOOKUP(VALUE(D2866),$D$3:F$106,3,FALSE)</f>
        <v>Social Workers</v>
      </c>
      <c r="C2866" t="s">
        <v>314</v>
      </c>
      <c r="D2866">
        <v>853</v>
      </c>
      <c r="E2866" t="s">
        <v>964</v>
      </c>
      <c r="F2866" t="s">
        <v>321</v>
      </c>
      <c r="G2866" t="s">
        <v>319</v>
      </c>
      <c r="H2866" s="502">
        <v>52917</v>
      </c>
      <c r="I2866" s="415">
        <v>0</v>
      </c>
      <c r="J2866" s="415">
        <v>0</v>
      </c>
      <c r="K2866" s="415">
        <v>0</v>
      </c>
      <c r="L2866" s="415">
        <v>0</v>
      </c>
      <c r="M2866" s="415">
        <v>10956.75</v>
      </c>
      <c r="N2866" s="415">
        <v>1461.84</v>
      </c>
      <c r="O2866" s="415">
        <v>10241.67</v>
      </c>
      <c r="P2866" s="415">
        <v>9693.6</v>
      </c>
      <c r="Q2866" s="481">
        <f t="shared" si="90"/>
        <v>0</v>
      </c>
    </row>
    <row r="2867" spans="1:17" x14ac:dyDescent="0.3">
      <c r="A2867" s="366" t="str">
        <f>IFERROR(VLOOKUP(RIGHT(E2867,3)+0,[1]SchLocTable!$A$2:$B$47,2,FALSE)," ")</f>
        <v>Johnson</v>
      </c>
      <c r="B2867" s="366" t="str">
        <f>VLOOKUP(VALUE(D2867),$D$3:F$106,3,FALSE)</f>
        <v>Social Workers</v>
      </c>
      <c r="C2867" t="s">
        <v>314</v>
      </c>
      <c r="D2867">
        <v>853</v>
      </c>
      <c r="E2867" t="s">
        <v>964</v>
      </c>
      <c r="F2867" t="s">
        <v>320</v>
      </c>
      <c r="G2867" t="s">
        <v>319</v>
      </c>
      <c r="H2867" s="502">
        <v>52360</v>
      </c>
      <c r="I2867" s="415">
        <v>0</v>
      </c>
      <c r="J2867" s="415">
        <v>0</v>
      </c>
      <c r="K2867" s="415">
        <v>0</v>
      </c>
      <c r="L2867" s="415">
        <v>0</v>
      </c>
      <c r="M2867" s="415">
        <v>747.86</v>
      </c>
      <c r="N2867" s="415">
        <v>254.77</v>
      </c>
      <c r="O2867" s="415">
        <v>1371.97</v>
      </c>
      <c r="P2867" s="415">
        <v>1349.31</v>
      </c>
      <c r="Q2867" s="481">
        <f t="shared" si="90"/>
        <v>0</v>
      </c>
    </row>
    <row r="2868" spans="1:17" x14ac:dyDescent="0.3">
      <c r="A2868" s="366" t="str">
        <f>IFERROR(VLOOKUP(RIGHT(E2868,3)+0,[1]SchLocTable!$A$2:$B$47,2,FALSE)," ")</f>
        <v>Winthrop</v>
      </c>
      <c r="B2868" s="366" t="str">
        <f>VLOOKUP(VALUE(D2868),$D$3:F$106,3,FALSE)</f>
        <v>Social Workers</v>
      </c>
      <c r="C2868" t="s">
        <v>314</v>
      </c>
      <c r="D2868">
        <v>853</v>
      </c>
      <c r="E2868" t="s">
        <v>965</v>
      </c>
      <c r="F2868" t="s">
        <v>316</v>
      </c>
      <c r="G2868" t="s">
        <v>319</v>
      </c>
      <c r="H2868" s="502">
        <v>51000</v>
      </c>
      <c r="I2868" s="415">
        <v>0</v>
      </c>
      <c r="J2868" s="415">
        <v>0</v>
      </c>
      <c r="K2868" s="415">
        <v>0</v>
      </c>
      <c r="L2868" s="415">
        <v>58893.4</v>
      </c>
      <c r="M2868" s="415">
        <v>99011.9</v>
      </c>
      <c r="N2868" s="415">
        <v>0</v>
      </c>
      <c r="O2868" s="415">
        <v>0</v>
      </c>
      <c r="P2868" s="415">
        <v>0</v>
      </c>
      <c r="Q2868" s="481">
        <f t="shared" si="90"/>
        <v>0</v>
      </c>
    </row>
    <row r="2869" spans="1:17" x14ac:dyDescent="0.3">
      <c r="A2869" s="366" t="str">
        <f>IFERROR(VLOOKUP(RIGHT(E2869,3)+0,[1]SchLocTable!$A$2:$B$47,2,FALSE)," ")</f>
        <v>Winthrop</v>
      </c>
      <c r="B2869" s="366" t="str">
        <f>VLOOKUP(VALUE(D2869),$D$3:F$106,3,FALSE)</f>
        <v>Social Workers</v>
      </c>
      <c r="C2869" t="s">
        <v>314</v>
      </c>
      <c r="D2869">
        <v>853</v>
      </c>
      <c r="E2869" t="s">
        <v>965</v>
      </c>
      <c r="F2869" t="s">
        <v>321</v>
      </c>
      <c r="G2869" t="s">
        <v>319</v>
      </c>
      <c r="H2869" s="502">
        <v>52917</v>
      </c>
      <c r="I2869" s="415">
        <v>0</v>
      </c>
      <c r="J2869" s="415">
        <v>0</v>
      </c>
      <c r="K2869" s="415">
        <v>0</v>
      </c>
      <c r="L2869" s="415">
        <v>7530.51</v>
      </c>
      <c r="M2869" s="415">
        <v>11384.73</v>
      </c>
      <c r="N2869" s="415">
        <v>0</v>
      </c>
      <c r="O2869" s="415">
        <v>0</v>
      </c>
      <c r="P2869" s="415">
        <v>0</v>
      </c>
      <c r="Q2869" s="481">
        <f t="shared" si="90"/>
        <v>0</v>
      </c>
    </row>
    <row r="2870" spans="1:17" x14ac:dyDescent="0.3">
      <c r="A2870" s="366" t="str">
        <f>IFERROR(VLOOKUP(RIGHT(E2870,3)+0,[1]SchLocTable!$A$2:$B$47,2,FALSE)," ")</f>
        <v>Winthrop</v>
      </c>
      <c r="B2870" s="366" t="str">
        <f>VLOOKUP(VALUE(D2870),$D$3:F$106,3,FALSE)</f>
        <v>Social Workers</v>
      </c>
      <c r="C2870" t="s">
        <v>314</v>
      </c>
      <c r="D2870">
        <v>853</v>
      </c>
      <c r="E2870" t="s">
        <v>965</v>
      </c>
      <c r="F2870" t="s">
        <v>318</v>
      </c>
      <c r="G2870" t="s">
        <v>319</v>
      </c>
      <c r="H2870" s="502">
        <v>51140</v>
      </c>
      <c r="I2870" s="415">
        <v>0</v>
      </c>
      <c r="J2870" s="415">
        <v>0</v>
      </c>
      <c r="K2870" s="415">
        <v>0</v>
      </c>
      <c r="L2870" s="415">
        <v>1100</v>
      </c>
      <c r="M2870" s="415">
        <v>1100</v>
      </c>
      <c r="N2870" s="415">
        <v>0</v>
      </c>
      <c r="O2870" s="415">
        <v>0</v>
      </c>
      <c r="P2870" s="415">
        <v>0</v>
      </c>
      <c r="Q2870" s="481">
        <f t="shared" si="90"/>
        <v>0</v>
      </c>
    </row>
    <row r="2871" spans="1:17" x14ac:dyDescent="0.3">
      <c r="A2871" s="366" t="str">
        <f>IFERROR(VLOOKUP(RIGHT(E2871,3)+0,[1]SchLocTable!$A$2:$B$47,2,FALSE)," ")</f>
        <v>Winthrop</v>
      </c>
      <c r="B2871" s="366" t="str">
        <f>VLOOKUP(VALUE(D2871),$D$3:F$106,3,FALSE)</f>
        <v>Social Workers</v>
      </c>
      <c r="C2871" t="s">
        <v>314</v>
      </c>
      <c r="D2871">
        <v>853</v>
      </c>
      <c r="E2871" t="s">
        <v>965</v>
      </c>
      <c r="F2871" t="s">
        <v>320</v>
      </c>
      <c r="G2871" t="s">
        <v>319</v>
      </c>
      <c r="H2871" s="502">
        <v>52360</v>
      </c>
      <c r="I2871" s="415">
        <v>0</v>
      </c>
      <c r="J2871" s="415">
        <v>0</v>
      </c>
      <c r="K2871" s="415">
        <v>0</v>
      </c>
      <c r="L2871" s="415">
        <v>839.18</v>
      </c>
      <c r="M2871" s="415">
        <v>1409.36</v>
      </c>
      <c r="N2871" s="415">
        <v>0</v>
      </c>
      <c r="O2871" s="415">
        <v>0</v>
      </c>
      <c r="P2871" s="415">
        <v>0</v>
      </c>
      <c r="Q2871" s="481">
        <f t="shared" si="90"/>
        <v>0</v>
      </c>
    </row>
    <row r="2872" spans="1:17" x14ac:dyDescent="0.3">
      <c r="A2872" s="366" t="str">
        <f>IFERROR(VLOOKUP(RIGHT(E2872,3)+0,[1]SchLocTable!$A$2:$B$47,2,FALSE)," ")</f>
        <v>Cross</v>
      </c>
      <c r="B2872" s="366" t="str">
        <f>VLOOKUP(VALUE(D2872),$D$3:F$106,3,FALSE)</f>
        <v>Social Workers</v>
      </c>
      <c r="C2872" t="s">
        <v>314</v>
      </c>
      <c r="D2872">
        <v>853</v>
      </c>
      <c r="E2872" t="s">
        <v>966</v>
      </c>
      <c r="F2872" t="s">
        <v>316</v>
      </c>
      <c r="G2872" t="s">
        <v>319</v>
      </c>
      <c r="H2872" s="502">
        <v>51000</v>
      </c>
      <c r="I2872" s="415">
        <v>0</v>
      </c>
      <c r="J2872" s="415">
        <v>0</v>
      </c>
      <c r="K2872" s="415">
        <v>59278.32</v>
      </c>
      <c r="L2872" s="415">
        <v>0</v>
      </c>
      <c r="M2872" s="415">
        <v>15232.6</v>
      </c>
      <c r="N2872" s="415">
        <v>97548.88</v>
      </c>
      <c r="O2872" s="415">
        <v>96106.92</v>
      </c>
      <c r="P2872" s="415">
        <v>94593.98</v>
      </c>
      <c r="Q2872" s="481">
        <f t="shared" si="90"/>
        <v>0</v>
      </c>
    </row>
    <row r="2873" spans="1:17" x14ac:dyDescent="0.3">
      <c r="A2873" s="366" t="str">
        <f>IFERROR(VLOOKUP(RIGHT(E2873,3)+0,[1]SchLocTable!$A$2:$B$47,2,FALSE)," ")</f>
        <v>Cross</v>
      </c>
      <c r="B2873" s="366" t="str">
        <f>VLOOKUP(VALUE(D2873),$D$3:F$106,3,FALSE)</f>
        <v>Social Workers</v>
      </c>
      <c r="C2873" t="s">
        <v>314</v>
      </c>
      <c r="D2873">
        <v>853</v>
      </c>
      <c r="E2873" t="s">
        <v>966</v>
      </c>
      <c r="F2873" t="s">
        <v>321</v>
      </c>
      <c r="G2873" t="s">
        <v>319</v>
      </c>
      <c r="H2873" s="502">
        <v>52917</v>
      </c>
      <c r="I2873" s="415">
        <v>0</v>
      </c>
      <c r="J2873" s="415">
        <v>0</v>
      </c>
      <c r="K2873" s="415">
        <v>12781.4</v>
      </c>
      <c r="L2873" s="415">
        <v>0</v>
      </c>
      <c r="M2873" s="415">
        <v>6180.8</v>
      </c>
      <c r="N2873" s="415">
        <v>30308.67</v>
      </c>
      <c r="O2873" s="415">
        <v>29077.5</v>
      </c>
      <c r="P2873" s="415">
        <v>27385.05</v>
      </c>
      <c r="Q2873" s="481">
        <f t="shared" si="90"/>
        <v>0</v>
      </c>
    </row>
    <row r="2874" spans="1:17" x14ac:dyDescent="0.3">
      <c r="A2874" s="366" t="str">
        <f>IFERROR(VLOOKUP(RIGHT(E2874,3)+0,[1]SchLocTable!$A$2:$B$47,2,FALSE)," ")</f>
        <v>Cross</v>
      </c>
      <c r="B2874" s="366" t="str">
        <f>VLOOKUP(VALUE(D2874),$D$3:F$106,3,FALSE)</f>
        <v>Social Workers</v>
      </c>
      <c r="C2874" t="s">
        <v>314</v>
      </c>
      <c r="D2874">
        <v>853</v>
      </c>
      <c r="E2874" t="s">
        <v>966</v>
      </c>
      <c r="F2874" t="s">
        <v>320</v>
      </c>
      <c r="G2874" t="s">
        <v>319</v>
      </c>
      <c r="H2874" s="502">
        <v>52360</v>
      </c>
      <c r="I2874" s="415">
        <v>0</v>
      </c>
      <c r="J2874" s="415">
        <v>0</v>
      </c>
      <c r="K2874" s="415">
        <v>796.15</v>
      </c>
      <c r="L2874" s="415">
        <v>0</v>
      </c>
      <c r="M2874" s="415">
        <v>195.97</v>
      </c>
      <c r="N2874" s="415">
        <v>1296.1300000000001</v>
      </c>
      <c r="O2874" s="415">
        <v>1283.1099999999999</v>
      </c>
      <c r="P2874" s="415">
        <v>1260.17</v>
      </c>
      <c r="Q2874" s="481">
        <f t="shared" si="90"/>
        <v>0</v>
      </c>
    </row>
    <row r="2875" spans="1:17" x14ac:dyDescent="0.3">
      <c r="A2875" s="366" t="str">
        <f>IFERROR(VLOOKUP(RIGHT(E2875,3)+0,[1]SchLocTable!$A$2:$B$47,2,FALSE)," ")</f>
        <v>Blackham</v>
      </c>
      <c r="B2875" s="366" t="str">
        <f>VLOOKUP(VALUE(D2875),$D$3:F$106,3,FALSE)</f>
        <v>Social Workers</v>
      </c>
      <c r="C2875" t="s">
        <v>314</v>
      </c>
      <c r="D2875">
        <v>853</v>
      </c>
      <c r="E2875" t="s">
        <v>967</v>
      </c>
      <c r="F2875" t="s">
        <v>316</v>
      </c>
      <c r="G2875">
        <v>3</v>
      </c>
      <c r="H2875" s="502">
        <v>51000</v>
      </c>
      <c r="I2875" s="415">
        <v>266789.74972000002</v>
      </c>
      <c r="J2875" s="415">
        <v>189008</v>
      </c>
      <c r="K2875" s="415">
        <v>215471.16</v>
      </c>
      <c r="L2875" s="415">
        <v>173249.96</v>
      </c>
      <c r="M2875" s="415">
        <v>167484.98000000001</v>
      </c>
      <c r="N2875" s="415">
        <v>161743.06</v>
      </c>
      <c r="O2875" s="415">
        <v>96106.92</v>
      </c>
      <c r="P2875" s="415">
        <v>94594.08</v>
      </c>
      <c r="Q2875" s="481">
        <f t="shared" si="90"/>
        <v>-77781.749720000022</v>
      </c>
    </row>
    <row r="2876" spans="1:17" x14ac:dyDescent="0.3">
      <c r="A2876" s="366" t="str">
        <f>IFERROR(VLOOKUP(RIGHT(E2876,3)+0,[1]SchLocTable!$A$2:$B$47,2,FALSE)," ")</f>
        <v>Blackham</v>
      </c>
      <c r="B2876" s="366" t="str">
        <f>VLOOKUP(VALUE(D2876),$D$3:F$106,3,FALSE)</f>
        <v>Social Workers</v>
      </c>
      <c r="C2876" t="s">
        <v>314</v>
      </c>
      <c r="D2876">
        <v>853</v>
      </c>
      <c r="E2876" t="s">
        <v>967</v>
      </c>
      <c r="F2876" t="s">
        <v>321</v>
      </c>
      <c r="G2876" t="s">
        <v>319</v>
      </c>
      <c r="H2876" s="502">
        <v>52917</v>
      </c>
      <c r="I2876" s="415">
        <v>62489.447999999997</v>
      </c>
      <c r="J2876" s="415">
        <v>48133</v>
      </c>
      <c r="K2876" s="415">
        <v>41155.199999999997</v>
      </c>
      <c r="L2876" s="415">
        <v>34919.43</v>
      </c>
      <c r="M2876" s="415">
        <v>18963.509999999998</v>
      </c>
      <c r="N2876" s="415">
        <v>479.64</v>
      </c>
      <c r="O2876" s="415">
        <v>423.99</v>
      </c>
      <c r="P2876" s="415">
        <v>448.14</v>
      </c>
      <c r="Q2876" s="481">
        <f t="shared" si="90"/>
        <v>-14356.447999999997</v>
      </c>
    </row>
    <row r="2877" spans="1:17" x14ac:dyDescent="0.3">
      <c r="A2877" s="366" t="str">
        <f>IFERROR(VLOOKUP(RIGHT(E2877,3)+0,[1]SchLocTable!$A$2:$B$47,2,FALSE)," ")</f>
        <v>Blackham</v>
      </c>
      <c r="B2877" s="366" t="str">
        <f>VLOOKUP(VALUE(D2877),$D$3:F$106,3,FALSE)</f>
        <v>Social Workers</v>
      </c>
      <c r="C2877" t="s">
        <v>314</v>
      </c>
      <c r="D2877">
        <v>853</v>
      </c>
      <c r="E2877" t="s">
        <v>967</v>
      </c>
      <c r="F2877" t="s">
        <v>318</v>
      </c>
      <c r="G2877" t="s">
        <v>319</v>
      </c>
      <c r="H2877" s="502">
        <v>51140</v>
      </c>
      <c r="I2877" s="415">
        <v>1100</v>
      </c>
      <c r="J2877" s="415">
        <v>0</v>
      </c>
      <c r="K2877" s="415">
        <v>1100</v>
      </c>
      <c r="L2877" s="415">
        <v>1100</v>
      </c>
      <c r="M2877" s="415">
        <v>900</v>
      </c>
      <c r="N2877" s="415">
        <v>900</v>
      </c>
      <c r="O2877" s="415">
        <v>900</v>
      </c>
      <c r="P2877" s="415">
        <v>900</v>
      </c>
      <c r="Q2877" s="481">
        <f t="shared" si="90"/>
        <v>-1100</v>
      </c>
    </row>
    <row r="2878" spans="1:17" x14ac:dyDescent="0.3">
      <c r="A2878" s="366" t="str">
        <f>IFERROR(VLOOKUP(RIGHT(E2878,3)+0,[1]SchLocTable!$A$2:$B$47,2,FALSE)," ")</f>
        <v>Blackham</v>
      </c>
      <c r="B2878" s="366" t="str">
        <f>VLOOKUP(VALUE(D2878),$D$3:F$106,3,FALSE)</f>
        <v>Social Workers</v>
      </c>
      <c r="C2878" t="s">
        <v>314</v>
      </c>
      <c r="D2878">
        <v>853</v>
      </c>
      <c r="E2878" t="s">
        <v>967</v>
      </c>
      <c r="F2878" t="s">
        <v>320</v>
      </c>
      <c r="G2878" t="s">
        <v>319</v>
      </c>
      <c r="H2878" s="502">
        <v>52360</v>
      </c>
      <c r="I2878" s="415">
        <v>3868.4513709400003</v>
      </c>
      <c r="J2878" s="415">
        <v>2546</v>
      </c>
      <c r="K2878" s="415">
        <v>2965.32</v>
      </c>
      <c r="L2878" s="415">
        <v>2383.9699999999998</v>
      </c>
      <c r="M2878" s="415">
        <v>2365.81</v>
      </c>
      <c r="N2878" s="415">
        <v>2357.09</v>
      </c>
      <c r="O2878" s="415">
        <v>1405.52</v>
      </c>
      <c r="P2878" s="415">
        <v>1383.95</v>
      </c>
      <c r="Q2878" s="481">
        <f t="shared" si="90"/>
        <v>-1322.4513709400003</v>
      </c>
    </row>
    <row r="2879" spans="1:17" x14ac:dyDescent="0.3">
      <c r="A2879" s="366" t="str">
        <f>IFERROR(VLOOKUP(RIGHT(E2879,3)+0,[1]SchLocTable!$A$2:$B$47,2,FALSE)," ")</f>
        <v>Dunbar</v>
      </c>
      <c r="B2879" s="366" t="str">
        <f>VLOOKUP(VALUE(D2879),$D$3:F$106,3,FALSE)</f>
        <v>Social Workers</v>
      </c>
      <c r="C2879" t="s">
        <v>314</v>
      </c>
      <c r="D2879">
        <v>853</v>
      </c>
      <c r="E2879" t="s">
        <v>968</v>
      </c>
      <c r="F2879" t="s">
        <v>316</v>
      </c>
      <c r="G2879">
        <v>1</v>
      </c>
      <c r="H2879" s="502">
        <v>51000</v>
      </c>
      <c r="I2879" s="415">
        <v>67234.52996</v>
      </c>
      <c r="J2879" s="415">
        <v>0</v>
      </c>
      <c r="K2879" s="415">
        <v>9376.32</v>
      </c>
      <c r="L2879" s="415">
        <v>0</v>
      </c>
      <c r="M2879" s="415">
        <v>0</v>
      </c>
      <c r="N2879" s="415">
        <v>0</v>
      </c>
      <c r="O2879" s="415">
        <v>0</v>
      </c>
      <c r="P2879" s="415">
        <v>0</v>
      </c>
      <c r="Q2879" s="481">
        <f t="shared" ref="Q2879:Q2942" si="91">J2879-I2879</f>
        <v>-67234.52996</v>
      </c>
    </row>
    <row r="2880" spans="1:17" x14ac:dyDescent="0.3">
      <c r="A2880" s="366" t="str">
        <f>IFERROR(VLOOKUP(RIGHT(E2880,3)+0,[1]SchLocTable!$A$2:$B$47,2,FALSE)," ")</f>
        <v>Dunbar</v>
      </c>
      <c r="B2880" s="366" t="str">
        <f>VLOOKUP(VALUE(D2880),$D$3:F$106,3,FALSE)</f>
        <v>Social Workers</v>
      </c>
      <c r="C2880" t="s">
        <v>314</v>
      </c>
      <c r="D2880">
        <v>853</v>
      </c>
      <c r="E2880" t="s">
        <v>968</v>
      </c>
      <c r="F2880" t="s">
        <v>321</v>
      </c>
      <c r="G2880" t="s">
        <v>319</v>
      </c>
      <c r="H2880" s="502">
        <v>52917</v>
      </c>
      <c r="I2880" s="415">
        <v>37644.263999999996</v>
      </c>
      <c r="J2880" s="415">
        <v>0</v>
      </c>
      <c r="K2880" s="415">
        <v>121.14</v>
      </c>
      <c r="L2880" s="415">
        <v>0</v>
      </c>
      <c r="M2880" s="415">
        <v>0</v>
      </c>
      <c r="N2880" s="415">
        <v>0</v>
      </c>
      <c r="O2880" s="415">
        <v>0</v>
      </c>
      <c r="P2880" s="415">
        <v>0</v>
      </c>
      <c r="Q2880" s="481">
        <f t="shared" si="91"/>
        <v>-37644.263999999996</v>
      </c>
    </row>
    <row r="2881" spans="1:17" x14ac:dyDescent="0.3">
      <c r="A2881" s="366" t="str">
        <f>IFERROR(VLOOKUP(RIGHT(E2881,3)+0,[1]SchLocTable!$A$2:$B$47,2,FALSE)," ")</f>
        <v>Dunbar</v>
      </c>
      <c r="B2881" s="366" t="str">
        <f>VLOOKUP(VALUE(D2881),$D$3:F$106,3,FALSE)</f>
        <v>Social Workers</v>
      </c>
      <c r="C2881" t="s">
        <v>314</v>
      </c>
      <c r="D2881">
        <v>853</v>
      </c>
      <c r="E2881" t="s">
        <v>968</v>
      </c>
      <c r="F2881" t="s">
        <v>318</v>
      </c>
      <c r="G2881" t="s">
        <v>319</v>
      </c>
      <c r="H2881" s="502">
        <v>51140</v>
      </c>
      <c r="I2881" s="415">
        <v>900</v>
      </c>
      <c r="J2881" s="415">
        <v>0</v>
      </c>
      <c r="K2881" s="415">
        <v>0</v>
      </c>
      <c r="L2881" s="415">
        <v>900</v>
      </c>
      <c r="M2881" s="415">
        <v>0</v>
      </c>
      <c r="N2881" s="415">
        <v>0</v>
      </c>
      <c r="O2881" s="415">
        <v>0</v>
      </c>
      <c r="P2881" s="415">
        <v>0</v>
      </c>
      <c r="Q2881" s="481">
        <f t="shared" si="91"/>
        <v>-900</v>
      </c>
    </row>
    <row r="2882" spans="1:17" x14ac:dyDescent="0.3">
      <c r="A2882" s="366" t="str">
        <f>IFERROR(VLOOKUP(RIGHT(E2882,3)+0,[1]SchLocTable!$A$2:$B$47,2,FALSE)," ")</f>
        <v>Dunbar</v>
      </c>
      <c r="B2882" s="366" t="str">
        <f>VLOOKUP(VALUE(D2882),$D$3:F$106,3,FALSE)</f>
        <v>Social Workers</v>
      </c>
      <c r="C2882" t="s">
        <v>314</v>
      </c>
      <c r="D2882">
        <v>853</v>
      </c>
      <c r="E2882" t="s">
        <v>968</v>
      </c>
      <c r="F2882" t="s">
        <v>320</v>
      </c>
      <c r="G2882" t="s">
        <v>319</v>
      </c>
      <c r="H2882" s="502">
        <v>52360</v>
      </c>
      <c r="I2882" s="415">
        <v>974.90068442000006</v>
      </c>
      <c r="J2882" s="415">
        <v>0</v>
      </c>
      <c r="K2882" s="415">
        <v>135.55000000000001</v>
      </c>
      <c r="L2882" s="415">
        <v>12.63</v>
      </c>
      <c r="M2882" s="415">
        <v>0</v>
      </c>
      <c r="N2882" s="415">
        <v>0</v>
      </c>
      <c r="O2882" s="415">
        <v>0</v>
      </c>
      <c r="P2882" s="415">
        <v>0</v>
      </c>
      <c r="Q2882" s="481">
        <f t="shared" si="91"/>
        <v>-974.90068442000006</v>
      </c>
    </row>
    <row r="2883" spans="1:17" x14ac:dyDescent="0.3">
      <c r="A2883" s="366" t="str">
        <f>IFERROR(VLOOKUP(RIGHT(E2883,3)+0,[1]SchLocTable!$A$2:$B$47,2,FALSE)," ")</f>
        <v>Curiale</v>
      </c>
      <c r="B2883" s="366" t="str">
        <f>VLOOKUP(VALUE(D2883),$D$3:F$106,3,FALSE)</f>
        <v>Social Workers</v>
      </c>
      <c r="C2883" t="s">
        <v>314</v>
      </c>
      <c r="D2883">
        <v>853</v>
      </c>
      <c r="E2883" t="s">
        <v>969</v>
      </c>
      <c r="F2883" t="s">
        <v>316</v>
      </c>
      <c r="G2883">
        <v>1</v>
      </c>
      <c r="H2883" s="502">
        <v>51000</v>
      </c>
      <c r="I2883" s="415">
        <v>70412.890589999995</v>
      </c>
      <c r="J2883" s="415">
        <v>66996</v>
      </c>
      <c r="K2883" s="415">
        <v>63972.09</v>
      </c>
      <c r="L2883" s="415">
        <v>60343.08</v>
      </c>
      <c r="M2883" s="415">
        <v>57345.96</v>
      </c>
      <c r="N2883" s="415">
        <v>54992.91</v>
      </c>
      <c r="O2883" s="415">
        <v>0</v>
      </c>
      <c r="P2883" s="415">
        <v>0</v>
      </c>
      <c r="Q2883" s="481">
        <f t="shared" si="91"/>
        <v>-3416.8905899999954</v>
      </c>
    </row>
    <row r="2884" spans="1:17" x14ac:dyDescent="0.3">
      <c r="A2884" s="366" t="str">
        <f>IFERROR(VLOOKUP(RIGHT(E2884,3)+0,[1]SchLocTable!$A$2:$B$47,2,FALSE)," ")</f>
        <v>Curiale</v>
      </c>
      <c r="B2884" s="366" t="str">
        <f>VLOOKUP(VALUE(D2884),$D$3:F$106,3,FALSE)</f>
        <v>Social Workers</v>
      </c>
      <c r="C2884" t="s">
        <v>314</v>
      </c>
      <c r="D2884">
        <v>853</v>
      </c>
      <c r="E2884" t="s">
        <v>969</v>
      </c>
      <c r="F2884" t="s">
        <v>320</v>
      </c>
      <c r="G2884" t="s">
        <v>319</v>
      </c>
      <c r="H2884" s="502">
        <v>52360</v>
      </c>
      <c r="I2884" s="415">
        <v>1020.986913555</v>
      </c>
      <c r="J2884" s="415">
        <v>971</v>
      </c>
      <c r="K2884" s="415">
        <v>927.59</v>
      </c>
      <c r="L2884" s="415">
        <v>874.98</v>
      </c>
      <c r="M2884" s="415">
        <v>831.51</v>
      </c>
      <c r="N2884" s="415">
        <v>797.41</v>
      </c>
      <c r="O2884" s="415">
        <v>0</v>
      </c>
      <c r="P2884" s="415">
        <v>0</v>
      </c>
      <c r="Q2884" s="481">
        <f t="shared" si="91"/>
        <v>-49.986913555000001</v>
      </c>
    </row>
    <row r="2885" spans="1:17" x14ac:dyDescent="0.3">
      <c r="A2885" s="366" t="str">
        <f>IFERROR(VLOOKUP(RIGHT(E2885,3)+0,[1]SchLocTable!$A$2:$B$47,2,FALSE)," ")</f>
        <v>Skane</v>
      </c>
      <c r="B2885" s="366" t="str">
        <f>VLOOKUP(VALUE(D2885),$D$3:F$106,3,FALSE)</f>
        <v>Social Workers</v>
      </c>
      <c r="C2885" t="s">
        <v>314</v>
      </c>
      <c r="D2885">
        <v>853</v>
      </c>
      <c r="E2885" t="s">
        <v>970</v>
      </c>
      <c r="F2885" t="s">
        <v>316</v>
      </c>
      <c r="G2885">
        <v>2</v>
      </c>
      <c r="H2885" s="502">
        <v>51000</v>
      </c>
      <c r="I2885" s="415">
        <v>220856.92980000001</v>
      </c>
      <c r="J2885" s="415">
        <v>210140</v>
      </c>
      <c r="K2885" s="415">
        <v>205515.96</v>
      </c>
      <c r="L2885" s="415">
        <v>200453.73</v>
      </c>
      <c r="M2885" s="415">
        <v>194829.86</v>
      </c>
      <c r="N2885" s="415">
        <v>195097.76</v>
      </c>
      <c r="O2885" s="415">
        <v>192213.84</v>
      </c>
      <c r="P2885" s="415">
        <v>189188.06</v>
      </c>
      <c r="Q2885" s="481">
        <f t="shared" si="91"/>
        <v>-10716.929800000013</v>
      </c>
    </row>
    <row r="2886" spans="1:17" x14ac:dyDescent="0.3">
      <c r="A2886" s="366" t="str">
        <f>IFERROR(VLOOKUP(RIGHT(E2886,3)+0,[1]SchLocTable!$A$2:$B$47,2,FALSE)," ")</f>
        <v>Skane</v>
      </c>
      <c r="B2886" s="366" t="str">
        <f>VLOOKUP(VALUE(D2886),$D$3:F$106,3,FALSE)</f>
        <v>Social Workers</v>
      </c>
      <c r="C2886" t="s">
        <v>314</v>
      </c>
      <c r="D2886">
        <v>853</v>
      </c>
      <c r="E2886" t="s">
        <v>970</v>
      </c>
      <c r="F2886" t="s">
        <v>321</v>
      </c>
      <c r="G2886" t="s">
        <v>319</v>
      </c>
      <c r="H2886" s="502">
        <v>52917</v>
      </c>
      <c r="I2886" s="415">
        <v>83975.22</v>
      </c>
      <c r="J2886" s="415">
        <v>69979.350000000006</v>
      </c>
      <c r="K2886" s="415">
        <v>63553.98</v>
      </c>
      <c r="L2886" s="415">
        <v>62683.32</v>
      </c>
      <c r="M2886" s="415">
        <v>59075.8</v>
      </c>
      <c r="N2886" s="415">
        <v>60617.34</v>
      </c>
      <c r="O2886" s="415">
        <v>58155</v>
      </c>
      <c r="P2886" s="415">
        <v>54770.1</v>
      </c>
      <c r="Q2886" s="481">
        <f t="shared" si="91"/>
        <v>-13995.869999999995</v>
      </c>
    </row>
    <row r="2887" spans="1:17" x14ac:dyDescent="0.3">
      <c r="A2887" s="366" t="str">
        <f>IFERROR(VLOOKUP(RIGHT(E2887,3)+0,[1]SchLocTable!$A$2:$B$47,2,FALSE)," ")</f>
        <v>Skane</v>
      </c>
      <c r="B2887" s="366" t="str">
        <f>VLOOKUP(VALUE(D2887),$D$3:F$106,3,FALSE)</f>
        <v>Social Workers</v>
      </c>
      <c r="C2887" t="s">
        <v>314</v>
      </c>
      <c r="D2887">
        <v>853</v>
      </c>
      <c r="E2887" t="s">
        <v>970</v>
      </c>
      <c r="F2887" t="s">
        <v>318</v>
      </c>
      <c r="G2887" t="s">
        <v>319</v>
      </c>
      <c r="H2887" s="502">
        <v>51140</v>
      </c>
      <c r="I2887" s="415">
        <v>2200</v>
      </c>
      <c r="J2887" s="415">
        <v>0</v>
      </c>
      <c r="K2887" s="415">
        <v>2200</v>
      </c>
      <c r="L2887" s="415">
        <v>2100</v>
      </c>
      <c r="M2887" s="415">
        <v>2100</v>
      </c>
      <c r="N2887" s="415">
        <v>1200</v>
      </c>
      <c r="O2887" s="415">
        <v>1200</v>
      </c>
      <c r="P2887" s="415">
        <v>1200</v>
      </c>
      <c r="Q2887" s="481">
        <f t="shared" si="91"/>
        <v>-2200</v>
      </c>
    </row>
    <row r="2888" spans="1:17" x14ac:dyDescent="0.3">
      <c r="A2888" s="366" t="str">
        <f>IFERROR(VLOOKUP(RIGHT(E2888,3)+0,[1]SchLocTable!$A$2:$B$47,2,FALSE)," ")</f>
        <v>Skane</v>
      </c>
      <c r="B2888" s="366" t="str">
        <f>VLOOKUP(VALUE(D2888),$D$3:F$106,3,FALSE)</f>
        <v>Social Workers</v>
      </c>
      <c r="C2888" t="s">
        <v>314</v>
      </c>
      <c r="D2888">
        <v>853</v>
      </c>
      <c r="E2888" t="s">
        <v>970</v>
      </c>
      <c r="F2888" t="s">
        <v>320</v>
      </c>
      <c r="G2888" t="s">
        <v>319</v>
      </c>
      <c r="H2888" s="502">
        <v>52360</v>
      </c>
      <c r="I2888" s="415">
        <v>3202.4254821000004</v>
      </c>
      <c r="J2888" s="415">
        <v>2700</v>
      </c>
      <c r="K2888" s="415">
        <v>2738.84</v>
      </c>
      <c r="L2888" s="415">
        <v>2659.71</v>
      </c>
      <c r="M2888" s="415">
        <v>2599.79</v>
      </c>
      <c r="N2888" s="415">
        <v>2609.64</v>
      </c>
      <c r="O2888" s="415">
        <v>2583.65</v>
      </c>
      <c r="P2888" s="415">
        <v>2555.5500000000002</v>
      </c>
      <c r="Q2888" s="481">
        <f t="shared" si="91"/>
        <v>-502.42548210000041</v>
      </c>
    </row>
    <row r="2889" spans="1:17" x14ac:dyDescent="0.3">
      <c r="A2889" s="366" t="str">
        <f>IFERROR(VLOOKUP(RIGHT(E2889,3)+0,[1]SchLocTable!$A$2:$B$47,2,FALSE)," ")</f>
        <v>Bassick HS</v>
      </c>
      <c r="B2889" s="366" t="str">
        <f>VLOOKUP(VALUE(D2889),$D$3:F$106,3,FALSE)</f>
        <v>Social Workers</v>
      </c>
      <c r="C2889" t="s">
        <v>314</v>
      </c>
      <c r="D2889">
        <v>853</v>
      </c>
      <c r="E2889" t="s">
        <v>971</v>
      </c>
      <c r="F2889" t="s">
        <v>316</v>
      </c>
      <c r="G2889">
        <v>2</v>
      </c>
      <c r="H2889" s="502">
        <v>51000</v>
      </c>
      <c r="I2889" s="415">
        <v>220856.92980000001</v>
      </c>
      <c r="J2889" s="415">
        <v>210140</v>
      </c>
      <c r="K2889" s="415">
        <v>249712.76</v>
      </c>
      <c r="L2889" s="415">
        <v>301491.06</v>
      </c>
      <c r="M2889" s="415">
        <v>297035.7</v>
      </c>
      <c r="N2889" s="415">
        <v>292646.75</v>
      </c>
      <c r="O2889" s="415">
        <v>288320.76</v>
      </c>
      <c r="P2889" s="415">
        <v>283781.94</v>
      </c>
      <c r="Q2889" s="481">
        <f t="shared" si="91"/>
        <v>-10716.929800000013</v>
      </c>
    </row>
    <row r="2890" spans="1:17" x14ac:dyDescent="0.3">
      <c r="A2890" s="366" t="str">
        <f>IFERROR(VLOOKUP(RIGHT(E2890,3)+0,[1]SchLocTable!$A$2:$B$47,2,FALSE)," ")</f>
        <v>Bassick HS</v>
      </c>
      <c r="B2890" s="366" t="str">
        <f>VLOOKUP(VALUE(D2890),$D$3:F$106,3,FALSE)</f>
        <v>Social Workers</v>
      </c>
      <c r="C2890" t="s">
        <v>314</v>
      </c>
      <c r="D2890">
        <v>853</v>
      </c>
      <c r="E2890" t="s">
        <v>971</v>
      </c>
      <c r="F2890" t="s">
        <v>321</v>
      </c>
      <c r="G2890" t="s">
        <v>319</v>
      </c>
      <c r="H2890" s="502">
        <v>52917</v>
      </c>
      <c r="I2890" s="415">
        <v>46330.955999999998</v>
      </c>
      <c r="J2890" s="415">
        <v>38609.129999999997</v>
      </c>
      <c r="K2890" s="415">
        <v>47594.96</v>
      </c>
      <c r="L2890" s="415">
        <v>69213.899999999994</v>
      </c>
      <c r="M2890" s="415">
        <v>64898.400000000001</v>
      </c>
      <c r="N2890" s="415">
        <v>60617.34</v>
      </c>
      <c r="O2890" s="415">
        <v>58155</v>
      </c>
      <c r="P2890" s="415">
        <v>54770.1</v>
      </c>
      <c r="Q2890" s="481">
        <f t="shared" si="91"/>
        <v>-7721.8260000000009</v>
      </c>
    </row>
    <row r="2891" spans="1:17" x14ac:dyDescent="0.3">
      <c r="A2891" s="366" t="str">
        <f>IFERROR(VLOOKUP(RIGHT(E2891,3)+0,[1]SchLocTable!$A$2:$B$47,2,FALSE)," ")</f>
        <v>Bassick HS</v>
      </c>
      <c r="B2891" s="366" t="str">
        <f>VLOOKUP(VALUE(D2891),$D$3:F$106,3,FALSE)</f>
        <v>Social Workers</v>
      </c>
      <c r="C2891" t="s">
        <v>314</v>
      </c>
      <c r="D2891">
        <v>853</v>
      </c>
      <c r="E2891" t="s">
        <v>971</v>
      </c>
      <c r="F2891" t="s">
        <v>318</v>
      </c>
      <c r="G2891" t="s">
        <v>319</v>
      </c>
      <c r="H2891" s="502">
        <v>51140</v>
      </c>
      <c r="I2891" s="415">
        <v>2500</v>
      </c>
      <c r="J2891" s="415">
        <v>0</v>
      </c>
      <c r="K2891" s="415">
        <v>4700</v>
      </c>
      <c r="L2891" s="415">
        <v>3500</v>
      </c>
      <c r="M2891" s="415">
        <v>3500</v>
      </c>
      <c r="N2891" s="415">
        <v>3500</v>
      </c>
      <c r="O2891" s="415">
        <v>3500</v>
      </c>
      <c r="P2891" s="415">
        <v>3100</v>
      </c>
      <c r="Q2891" s="481">
        <f t="shared" si="91"/>
        <v>-2500</v>
      </c>
    </row>
    <row r="2892" spans="1:17" x14ac:dyDescent="0.3">
      <c r="A2892" s="366" t="str">
        <f>IFERROR(VLOOKUP(RIGHT(E2892,3)+0,[1]SchLocTable!$A$2:$B$47,2,FALSE)," ")</f>
        <v>Bassick HS</v>
      </c>
      <c r="B2892" s="366" t="str">
        <f>VLOOKUP(VALUE(D2892),$D$3:F$106,3,FALSE)</f>
        <v>Social Workers</v>
      </c>
      <c r="C2892" t="s">
        <v>314</v>
      </c>
      <c r="D2892">
        <v>853</v>
      </c>
      <c r="E2892" t="s">
        <v>971</v>
      </c>
      <c r="F2892" t="s">
        <v>320</v>
      </c>
      <c r="G2892" t="s">
        <v>319</v>
      </c>
      <c r="H2892" s="502">
        <v>52360</v>
      </c>
      <c r="I2892" s="415">
        <v>3202.4254821000004</v>
      </c>
      <c r="J2892" s="415">
        <v>2874</v>
      </c>
      <c r="K2892" s="415">
        <v>3650.63</v>
      </c>
      <c r="L2892" s="415">
        <v>4135.76</v>
      </c>
      <c r="M2892" s="415">
        <v>4096.3</v>
      </c>
      <c r="N2892" s="415">
        <v>4057.45</v>
      </c>
      <c r="O2892" s="415">
        <v>4010.56</v>
      </c>
      <c r="P2892" s="415">
        <v>3954.71</v>
      </c>
      <c r="Q2892" s="481">
        <f t="shared" si="91"/>
        <v>-328.42548210000041</v>
      </c>
    </row>
    <row r="2893" spans="1:17" x14ac:dyDescent="0.3">
      <c r="A2893" s="366" t="str">
        <f>IFERROR(VLOOKUP(RIGHT(E2893,3)+0,[1]SchLocTable!$A$2:$B$47,2,FALSE)," ")</f>
        <v>Bassick HS</v>
      </c>
      <c r="B2893" s="366" t="str">
        <f>VLOOKUP(VALUE(D2893),$D$3:F$106,3,FALSE)</f>
        <v>Social Workers</v>
      </c>
      <c r="C2893" t="s">
        <v>314</v>
      </c>
      <c r="D2893">
        <v>853</v>
      </c>
      <c r="E2893" t="s">
        <v>971</v>
      </c>
      <c r="F2893" t="s">
        <v>329</v>
      </c>
      <c r="G2893" t="s">
        <v>319</v>
      </c>
      <c r="H2893" s="502">
        <v>51154</v>
      </c>
      <c r="I2893" s="415">
        <v>0</v>
      </c>
      <c r="J2893" s="415">
        <v>0</v>
      </c>
      <c r="K2893" s="415">
        <v>11375</v>
      </c>
      <c r="L2893" s="415">
        <v>0</v>
      </c>
      <c r="M2893" s="415">
        <v>0</v>
      </c>
      <c r="N2893" s="415">
        <v>0</v>
      </c>
      <c r="O2893" s="415">
        <v>0</v>
      </c>
      <c r="P2893" s="415">
        <v>0</v>
      </c>
      <c r="Q2893" s="481">
        <f t="shared" si="91"/>
        <v>0</v>
      </c>
    </row>
    <row r="2894" spans="1:17" x14ac:dyDescent="0.3">
      <c r="A2894" s="366" t="str">
        <f>IFERROR(VLOOKUP(RIGHT(E2894,3)+0,[1]SchLocTable!$A$2:$B$47,2,FALSE)," ")</f>
        <v>Central HS</v>
      </c>
      <c r="B2894" s="366" t="str">
        <f>VLOOKUP(VALUE(D2894),$D$3:F$106,3,FALSE)</f>
        <v>Social Workers</v>
      </c>
      <c r="C2894" t="s">
        <v>314</v>
      </c>
      <c r="D2894">
        <v>853</v>
      </c>
      <c r="E2894" t="s">
        <v>972</v>
      </c>
      <c r="F2894" t="s">
        <v>316</v>
      </c>
      <c r="G2894">
        <v>3</v>
      </c>
      <c r="H2894" s="502">
        <v>51000</v>
      </c>
      <c r="I2894" s="415">
        <v>331285.3947</v>
      </c>
      <c r="J2894" s="415">
        <v>315210</v>
      </c>
      <c r="K2894" s="415">
        <v>308273.94</v>
      </c>
      <c r="L2894" s="415">
        <v>301491.06</v>
      </c>
      <c r="M2894" s="415">
        <v>297035.7</v>
      </c>
      <c r="N2894" s="415">
        <v>292646.64</v>
      </c>
      <c r="O2894" s="415">
        <v>288320.76</v>
      </c>
      <c r="P2894" s="415">
        <v>283781.94</v>
      </c>
      <c r="Q2894" s="481">
        <f t="shared" si="91"/>
        <v>-16075.394700000004</v>
      </c>
    </row>
    <row r="2895" spans="1:17" x14ac:dyDescent="0.3">
      <c r="A2895" s="366" t="str">
        <f>IFERROR(VLOOKUP(RIGHT(E2895,3)+0,[1]SchLocTable!$A$2:$B$47,2,FALSE)," ")</f>
        <v>Central HS</v>
      </c>
      <c r="B2895" s="366" t="str">
        <f>VLOOKUP(VALUE(D2895),$D$3:F$106,3,FALSE)</f>
        <v>Social Workers</v>
      </c>
      <c r="C2895" t="s">
        <v>314</v>
      </c>
      <c r="D2895">
        <v>853</v>
      </c>
      <c r="E2895" t="s">
        <v>972</v>
      </c>
      <c r="F2895" t="s">
        <v>321</v>
      </c>
      <c r="G2895" t="s">
        <v>319</v>
      </c>
      <c r="H2895" s="502">
        <v>52917</v>
      </c>
      <c r="I2895" s="415">
        <v>31289.327999999998</v>
      </c>
      <c r="J2895" s="415">
        <v>26074.44</v>
      </c>
      <c r="K2895" s="415">
        <v>23688</v>
      </c>
      <c r="L2895" s="415">
        <v>23369.64</v>
      </c>
      <c r="M2895" s="415">
        <v>21913.5</v>
      </c>
      <c r="N2895" s="415">
        <v>20465.759999999998</v>
      </c>
      <c r="O2895" s="415">
        <v>19635.36</v>
      </c>
      <c r="P2895" s="415">
        <v>18491.34</v>
      </c>
      <c r="Q2895" s="481">
        <f t="shared" si="91"/>
        <v>-5214.887999999999</v>
      </c>
    </row>
    <row r="2896" spans="1:17" x14ac:dyDescent="0.3">
      <c r="A2896" s="366" t="str">
        <f>IFERROR(VLOOKUP(RIGHT(E2896,3)+0,[1]SchLocTable!$A$2:$B$47,2,FALSE)," ")</f>
        <v>Central HS</v>
      </c>
      <c r="B2896" s="366" t="str">
        <f>VLOOKUP(VALUE(D2896),$D$3:F$106,3,FALSE)</f>
        <v>Social Workers</v>
      </c>
      <c r="C2896" t="s">
        <v>314</v>
      </c>
      <c r="D2896">
        <v>853</v>
      </c>
      <c r="E2896" t="s">
        <v>972</v>
      </c>
      <c r="F2896" t="s">
        <v>318</v>
      </c>
      <c r="G2896" t="s">
        <v>319</v>
      </c>
      <c r="H2896" s="502">
        <v>51140</v>
      </c>
      <c r="I2896" s="415">
        <v>3600</v>
      </c>
      <c r="J2896" s="415">
        <v>0</v>
      </c>
      <c r="K2896" s="415">
        <v>3600</v>
      </c>
      <c r="L2896" s="415">
        <v>3400</v>
      </c>
      <c r="M2896" s="415">
        <v>3400</v>
      </c>
      <c r="N2896" s="415">
        <v>3200</v>
      </c>
      <c r="O2896" s="415">
        <v>3200</v>
      </c>
      <c r="P2896" s="415">
        <v>3200</v>
      </c>
      <c r="Q2896" s="481">
        <f t="shared" si="91"/>
        <v>-3600</v>
      </c>
    </row>
    <row r="2897" spans="1:17" x14ac:dyDescent="0.3">
      <c r="A2897" s="366" t="str">
        <f>IFERROR(VLOOKUP(RIGHT(E2897,3)+0,[1]SchLocTable!$A$2:$B$47,2,FALSE)," ")</f>
        <v>Central HS</v>
      </c>
      <c r="B2897" s="366" t="str">
        <f>VLOOKUP(VALUE(D2897),$D$3:F$106,3,FALSE)</f>
        <v>Social Workers</v>
      </c>
      <c r="C2897" t="s">
        <v>314</v>
      </c>
      <c r="D2897">
        <v>853</v>
      </c>
      <c r="E2897" t="s">
        <v>972</v>
      </c>
      <c r="F2897" t="s">
        <v>320</v>
      </c>
      <c r="G2897" t="s">
        <v>319</v>
      </c>
      <c r="H2897" s="502">
        <v>52360</v>
      </c>
      <c r="I2897" s="415">
        <v>4803.6382231500011</v>
      </c>
      <c r="J2897" s="415">
        <v>4482</v>
      </c>
      <c r="K2897" s="415">
        <v>4421.07</v>
      </c>
      <c r="L2897" s="415">
        <v>4324.12</v>
      </c>
      <c r="M2897" s="415">
        <v>4268.01</v>
      </c>
      <c r="N2897" s="415">
        <v>4209.8500000000004</v>
      </c>
      <c r="O2897" s="415">
        <v>4152.47</v>
      </c>
      <c r="P2897" s="415">
        <v>4091.96</v>
      </c>
      <c r="Q2897" s="481">
        <f t="shared" si="91"/>
        <v>-321.63822315000107</v>
      </c>
    </row>
    <row r="2898" spans="1:17" x14ac:dyDescent="0.3">
      <c r="A2898" s="366" t="str">
        <f>IFERROR(VLOOKUP(RIGHT(E2898,3)+0,[1]SchLocTable!$A$2:$B$47,2,FALSE)," ")</f>
        <v>Harding HS</v>
      </c>
      <c r="B2898" s="366" t="str">
        <f>VLOOKUP(VALUE(D2898),$D$3:F$106,3,FALSE)</f>
        <v>Social Workers</v>
      </c>
      <c r="C2898" t="s">
        <v>314</v>
      </c>
      <c r="D2898">
        <v>853</v>
      </c>
      <c r="E2898" t="s">
        <v>973</v>
      </c>
      <c r="F2898" t="s">
        <v>316</v>
      </c>
      <c r="G2898" t="s">
        <v>319</v>
      </c>
      <c r="H2898" s="502">
        <v>51000</v>
      </c>
      <c r="I2898" s="415">
        <v>0</v>
      </c>
      <c r="J2898" s="415">
        <v>0</v>
      </c>
      <c r="K2898" s="415">
        <v>23713.38</v>
      </c>
      <c r="L2898" s="415">
        <v>100497.02</v>
      </c>
      <c r="M2898" s="415">
        <v>106628.2</v>
      </c>
      <c r="N2898" s="415">
        <v>151493.76000000001</v>
      </c>
      <c r="O2898" s="415">
        <v>192213.84</v>
      </c>
      <c r="P2898" s="415">
        <v>189187.96</v>
      </c>
      <c r="Q2898" s="481">
        <f t="shared" si="91"/>
        <v>0</v>
      </c>
    </row>
    <row r="2899" spans="1:17" x14ac:dyDescent="0.3">
      <c r="A2899" s="366" t="str">
        <f>IFERROR(VLOOKUP(RIGHT(E2899,3)+0,[1]SchLocTable!$A$2:$B$47,2,FALSE)," ")</f>
        <v>Harding HS</v>
      </c>
      <c r="B2899" s="366" t="str">
        <f>VLOOKUP(VALUE(D2899),$D$3:F$106,3,FALSE)</f>
        <v>Social Workers</v>
      </c>
      <c r="C2899" t="s">
        <v>314</v>
      </c>
      <c r="D2899">
        <v>853</v>
      </c>
      <c r="E2899" t="s">
        <v>973</v>
      </c>
      <c r="F2899" t="s">
        <v>321</v>
      </c>
      <c r="G2899" t="s">
        <v>319</v>
      </c>
      <c r="H2899" s="502">
        <v>52917</v>
      </c>
      <c r="I2899" s="415">
        <v>0</v>
      </c>
      <c r="J2899" s="415">
        <v>0</v>
      </c>
      <c r="K2899" s="415">
        <v>10021.68</v>
      </c>
      <c r="L2899" s="415">
        <v>34606.949999999997</v>
      </c>
      <c r="M2899" s="415">
        <v>4374.76</v>
      </c>
      <c r="N2899" s="415">
        <v>16593.46</v>
      </c>
      <c r="O2899" s="415">
        <v>30349.47</v>
      </c>
      <c r="P2899" s="415">
        <v>28729.47</v>
      </c>
      <c r="Q2899" s="481">
        <f t="shared" si="91"/>
        <v>0</v>
      </c>
    </row>
    <row r="2900" spans="1:17" x14ac:dyDescent="0.3">
      <c r="A2900" s="366" t="str">
        <f>IFERROR(VLOOKUP(RIGHT(E2900,3)+0,[1]SchLocTable!$A$2:$B$47,2,FALSE)," ")</f>
        <v>Harding HS</v>
      </c>
      <c r="B2900" s="366" t="str">
        <f>VLOOKUP(VALUE(D2900),$D$3:F$106,3,FALSE)</f>
        <v>Social Workers</v>
      </c>
      <c r="C2900" t="s">
        <v>314</v>
      </c>
      <c r="D2900">
        <v>853</v>
      </c>
      <c r="E2900" t="s">
        <v>973</v>
      </c>
      <c r="F2900" t="s">
        <v>318</v>
      </c>
      <c r="G2900" t="s">
        <v>319</v>
      </c>
      <c r="H2900" s="502">
        <v>51140</v>
      </c>
      <c r="I2900" s="415">
        <v>0</v>
      </c>
      <c r="J2900" s="415">
        <v>0</v>
      </c>
      <c r="K2900" s="415">
        <v>0</v>
      </c>
      <c r="L2900" s="415">
        <v>1200</v>
      </c>
      <c r="M2900" s="415">
        <v>1100</v>
      </c>
      <c r="N2900" s="415">
        <v>1100</v>
      </c>
      <c r="O2900" s="415">
        <v>1100</v>
      </c>
      <c r="P2900" s="415">
        <v>1100</v>
      </c>
      <c r="Q2900" s="481">
        <f t="shared" si="91"/>
        <v>0</v>
      </c>
    </row>
    <row r="2901" spans="1:17" x14ac:dyDescent="0.3">
      <c r="A2901" s="366" t="str">
        <f>IFERROR(VLOOKUP(RIGHT(E2901,3)+0,[1]SchLocTable!$A$2:$B$47,2,FALSE)," ")</f>
        <v>Harding HS</v>
      </c>
      <c r="B2901" s="366" t="str">
        <f>VLOOKUP(VALUE(D2901),$D$3:F$106,3,FALSE)</f>
        <v>Social Workers</v>
      </c>
      <c r="C2901" t="s">
        <v>314</v>
      </c>
      <c r="D2901">
        <v>853</v>
      </c>
      <c r="E2901" t="s">
        <v>973</v>
      </c>
      <c r="F2901" t="s">
        <v>320</v>
      </c>
      <c r="G2901" t="s">
        <v>319</v>
      </c>
      <c r="H2901" s="502">
        <v>52360</v>
      </c>
      <c r="I2901" s="415">
        <v>0</v>
      </c>
      <c r="J2901" s="415">
        <v>0</v>
      </c>
      <c r="K2901" s="415">
        <v>301.07</v>
      </c>
      <c r="L2901" s="415">
        <v>1331.3</v>
      </c>
      <c r="M2901" s="415">
        <v>1546.33</v>
      </c>
      <c r="N2901" s="415">
        <v>2088.83</v>
      </c>
      <c r="O2901" s="415">
        <v>2689.36</v>
      </c>
      <c r="P2901" s="415">
        <v>2654.48</v>
      </c>
      <c r="Q2901" s="481">
        <f t="shared" si="91"/>
        <v>0</v>
      </c>
    </row>
    <row r="2902" spans="1:17" x14ac:dyDescent="0.3">
      <c r="A2902" s="366" t="str">
        <f>IFERROR(VLOOKUP(RIGHT(E2902,3)+0,[1]SchLocTable!$A$2:$B$47,2,FALSE)," ")</f>
        <v xml:space="preserve"> </v>
      </c>
      <c r="B2902" s="366" t="str">
        <f>VLOOKUP(VALUE(D2902),$D$3:F$106,3,FALSE)</f>
        <v>Psychologists</v>
      </c>
      <c r="C2902" t="s">
        <v>314</v>
      </c>
      <c r="D2902">
        <v>854</v>
      </c>
      <c r="E2902" t="s">
        <v>974</v>
      </c>
      <c r="F2902" t="s">
        <v>975</v>
      </c>
      <c r="G2902" t="s">
        <v>319</v>
      </c>
      <c r="H2902" s="502">
        <v>56075</v>
      </c>
      <c r="I2902" s="415">
        <v>64511.814900000005</v>
      </c>
      <c r="J2902" s="415">
        <v>62632.83</v>
      </c>
      <c r="K2902" s="415">
        <v>0</v>
      </c>
      <c r="L2902" s="415">
        <v>0</v>
      </c>
      <c r="M2902" s="415">
        <v>11368.13</v>
      </c>
      <c r="N2902" s="415">
        <v>54821.41</v>
      </c>
      <c r="O2902" s="415">
        <v>44356.03</v>
      </c>
      <c r="P2902" s="415">
        <v>74048.92</v>
      </c>
      <c r="Q2902" s="481">
        <f t="shared" si="91"/>
        <v>-1878.9849000000031</v>
      </c>
    </row>
    <row r="2903" spans="1:17" x14ac:dyDescent="0.3">
      <c r="A2903" s="366" t="str">
        <f>IFERROR(VLOOKUP(RIGHT(E2903,3)+0,[1]SchLocTable!$A$2:$B$47,2,FALSE)," ")</f>
        <v xml:space="preserve"> </v>
      </c>
      <c r="B2903" s="366" t="str">
        <f>VLOOKUP(VALUE(D2903),$D$3:F$106,3,FALSE)</f>
        <v>Psychologists</v>
      </c>
      <c r="C2903" t="s">
        <v>314</v>
      </c>
      <c r="D2903">
        <v>854</v>
      </c>
      <c r="E2903" t="s">
        <v>974</v>
      </c>
      <c r="F2903" t="s">
        <v>316</v>
      </c>
      <c r="G2903">
        <v>13.399999999999999</v>
      </c>
      <c r="H2903" s="502">
        <v>51000</v>
      </c>
      <c r="I2903" s="415">
        <v>1204474.8112599999</v>
      </c>
      <c r="J2903" s="415">
        <v>1015555</v>
      </c>
      <c r="K2903" s="415">
        <v>1131042.46</v>
      </c>
      <c r="L2903" s="415">
        <v>1018826.85</v>
      </c>
      <c r="M2903" s="415">
        <v>809421.22</v>
      </c>
      <c r="N2903" s="415">
        <v>835251.6</v>
      </c>
      <c r="O2903" s="415">
        <v>878745.85</v>
      </c>
      <c r="P2903" s="415">
        <v>1151741.04</v>
      </c>
      <c r="Q2903" s="481">
        <f t="shared" si="91"/>
        <v>-188919.81125999987</v>
      </c>
    </row>
    <row r="2904" spans="1:17" x14ac:dyDescent="0.3">
      <c r="A2904" s="366" t="str">
        <f>IFERROR(VLOOKUP(RIGHT(E2904,3)+0,[1]SchLocTable!$A$2:$B$47,2,FALSE)," ")</f>
        <v xml:space="preserve"> </v>
      </c>
      <c r="B2904" s="366" t="str">
        <f>VLOOKUP(VALUE(D2904),$D$3:F$106,3,FALSE)</f>
        <v>Psychologists</v>
      </c>
      <c r="C2904" t="s">
        <v>314</v>
      </c>
      <c r="D2904">
        <v>854</v>
      </c>
      <c r="E2904" t="s">
        <v>974</v>
      </c>
      <c r="F2904" t="s">
        <v>334</v>
      </c>
      <c r="G2904" t="s">
        <v>319</v>
      </c>
      <c r="H2904" s="502">
        <v>51400</v>
      </c>
      <c r="I2904" s="415">
        <v>0</v>
      </c>
      <c r="J2904" s="415">
        <v>704.38</v>
      </c>
      <c r="K2904" s="415">
        <v>36081.33</v>
      </c>
      <c r="L2904" s="415">
        <v>37102.639999999999</v>
      </c>
      <c r="M2904" s="415">
        <v>29254.28</v>
      </c>
      <c r="N2904" s="415">
        <v>30490.04</v>
      </c>
      <c r="O2904" s="415">
        <v>31164.21</v>
      </c>
      <c r="P2904" s="415">
        <v>21332.81</v>
      </c>
      <c r="Q2904" s="481">
        <f t="shared" si="91"/>
        <v>704.38</v>
      </c>
    </row>
    <row r="2905" spans="1:17" x14ac:dyDescent="0.3">
      <c r="A2905" s="366" t="str">
        <f>IFERROR(VLOOKUP(RIGHT(E2905,3)+0,[1]SchLocTable!$A$2:$B$47,2,FALSE)," ")</f>
        <v xml:space="preserve"> </v>
      </c>
      <c r="B2905" s="366" t="str">
        <f>VLOOKUP(VALUE(D2905),$D$3:F$106,3,FALSE)</f>
        <v>Psychologists</v>
      </c>
      <c r="C2905" t="s">
        <v>314</v>
      </c>
      <c r="D2905">
        <v>854</v>
      </c>
      <c r="E2905" t="s">
        <v>974</v>
      </c>
      <c r="F2905" t="s">
        <v>321</v>
      </c>
      <c r="G2905" t="s">
        <v>319</v>
      </c>
      <c r="H2905" s="502">
        <v>52917</v>
      </c>
      <c r="I2905" s="415">
        <v>268687.18799999997</v>
      </c>
      <c r="J2905" s="415">
        <v>236943.21</v>
      </c>
      <c r="K2905" s="415">
        <v>202329.62</v>
      </c>
      <c r="L2905" s="415">
        <v>180049.72</v>
      </c>
      <c r="M2905" s="415">
        <v>162852.49</v>
      </c>
      <c r="N2905" s="415">
        <v>150951.99</v>
      </c>
      <c r="O2905" s="415">
        <v>142802.51</v>
      </c>
      <c r="P2905" s="415">
        <v>176149.79</v>
      </c>
      <c r="Q2905" s="481">
        <f t="shared" si="91"/>
        <v>-31743.977999999974</v>
      </c>
    </row>
    <row r="2906" spans="1:17" x14ac:dyDescent="0.3">
      <c r="A2906" s="366" t="str">
        <f>IFERROR(VLOOKUP(RIGHT(E2906,3)+0,[1]SchLocTable!$A$2:$B$47,2,FALSE)," ")</f>
        <v xml:space="preserve"> </v>
      </c>
      <c r="B2906" s="366" t="str">
        <f>VLOOKUP(VALUE(D2906),$D$3:F$106,3,FALSE)</f>
        <v>Psychologists</v>
      </c>
      <c r="C2906" t="s">
        <v>314</v>
      </c>
      <c r="D2906">
        <v>854</v>
      </c>
      <c r="E2906" t="s">
        <v>974</v>
      </c>
      <c r="F2906" t="s">
        <v>318</v>
      </c>
      <c r="G2906" t="s">
        <v>319</v>
      </c>
      <c r="H2906" s="502">
        <v>51140</v>
      </c>
      <c r="I2906" s="415">
        <v>3320</v>
      </c>
      <c r="J2906" s="415">
        <v>0</v>
      </c>
      <c r="K2906" s="415">
        <v>4420</v>
      </c>
      <c r="L2906" s="415">
        <v>4420</v>
      </c>
      <c r="M2906" s="415">
        <v>4220</v>
      </c>
      <c r="N2906" s="415">
        <v>5120</v>
      </c>
      <c r="O2906" s="415">
        <v>4400</v>
      </c>
      <c r="P2906" s="415">
        <v>5700</v>
      </c>
      <c r="Q2906" s="481">
        <f t="shared" si="91"/>
        <v>-3320</v>
      </c>
    </row>
    <row r="2907" spans="1:17" x14ac:dyDescent="0.3">
      <c r="A2907" s="366" t="str">
        <f>IFERROR(VLOOKUP(RIGHT(E2907,3)+0,[1]SchLocTable!$A$2:$B$47,2,FALSE)," ")</f>
        <v xml:space="preserve"> </v>
      </c>
      <c r="B2907" s="366" t="str">
        <f>VLOOKUP(VALUE(D2907),$D$3:F$106,3,FALSE)</f>
        <v>Psychologists</v>
      </c>
      <c r="C2907" t="s">
        <v>314</v>
      </c>
      <c r="D2907">
        <v>854</v>
      </c>
      <c r="E2907" t="s">
        <v>974</v>
      </c>
      <c r="F2907" t="s">
        <v>320</v>
      </c>
      <c r="G2907" t="s">
        <v>319</v>
      </c>
      <c r="H2907" s="502">
        <v>52360</v>
      </c>
      <c r="I2907" s="415">
        <v>17602.954633269997</v>
      </c>
      <c r="J2907" s="415">
        <v>13539</v>
      </c>
      <c r="K2907" s="415">
        <v>16138.25</v>
      </c>
      <c r="L2907" s="415">
        <v>14649.03</v>
      </c>
      <c r="M2907" s="415">
        <v>11559.36</v>
      </c>
      <c r="N2907" s="415">
        <v>12052.1</v>
      </c>
      <c r="O2907" s="415">
        <v>12734.48</v>
      </c>
      <c r="P2907" s="415">
        <v>15076.27</v>
      </c>
      <c r="Q2907" s="481">
        <f t="shared" si="91"/>
        <v>-4063.9546332699974</v>
      </c>
    </row>
    <row r="2908" spans="1:17" x14ac:dyDescent="0.3">
      <c r="A2908" s="366" t="str">
        <f>IFERROR(VLOOKUP(RIGHT(E2908,3)+0,[1]SchLocTable!$A$2:$B$47,2,FALSE)," ")</f>
        <v xml:space="preserve"> </v>
      </c>
      <c r="B2908" s="366" t="str">
        <f>VLOOKUP(VALUE(D2908),$D$3:F$106,3,FALSE)</f>
        <v>Psychologists</v>
      </c>
      <c r="C2908" t="s">
        <v>314</v>
      </c>
      <c r="D2908">
        <v>854</v>
      </c>
      <c r="E2908" t="s">
        <v>974</v>
      </c>
      <c r="F2908" t="s">
        <v>560</v>
      </c>
      <c r="G2908" t="s">
        <v>319</v>
      </c>
      <c r="H2908" s="502">
        <v>51404</v>
      </c>
      <c r="I2908" s="415">
        <v>9522.06</v>
      </c>
      <c r="J2908" s="415">
        <v>0</v>
      </c>
      <c r="K2908" s="415">
        <v>1035</v>
      </c>
      <c r="L2908" s="415">
        <v>675</v>
      </c>
      <c r="M2908" s="415">
        <v>900</v>
      </c>
      <c r="N2908" s="415">
        <v>1025</v>
      </c>
      <c r="O2908" s="415">
        <v>1000</v>
      </c>
      <c r="P2908" s="415">
        <v>0</v>
      </c>
      <c r="Q2908" s="481">
        <f t="shared" si="91"/>
        <v>-9522.06</v>
      </c>
    </row>
    <row r="2909" spans="1:17" x14ac:dyDescent="0.3">
      <c r="A2909" s="366" t="str">
        <f>IFERROR(VLOOKUP(RIGHT(E2909,3)+0,[1]SchLocTable!$A$2:$B$47,2,FALSE)," ")</f>
        <v>Barnum</v>
      </c>
      <c r="B2909" s="366" t="str">
        <f>VLOOKUP(VALUE(D2909),$D$3:F$106,3,FALSE)</f>
        <v>Psychologists</v>
      </c>
      <c r="C2909" t="s">
        <v>314</v>
      </c>
      <c r="D2909">
        <v>854</v>
      </c>
      <c r="E2909" t="s">
        <v>976</v>
      </c>
      <c r="F2909" t="s">
        <v>316</v>
      </c>
      <c r="G2909">
        <v>1</v>
      </c>
      <c r="H2909" s="502">
        <v>51000</v>
      </c>
      <c r="I2909" s="415">
        <v>110428.49642999998</v>
      </c>
      <c r="J2909" s="415">
        <v>105070</v>
      </c>
      <c r="K2909" s="415">
        <v>102758.04</v>
      </c>
      <c r="L2909" s="415">
        <v>100496.97</v>
      </c>
      <c r="M2909" s="415">
        <v>99012.06</v>
      </c>
      <c r="N2909" s="415">
        <v>97548.99</v>
      </c>
      <c r="O2909" s="415">
        <v>96106.92</v>
      </c>
      <c r="P2909" s="415">
        <v>0</v>
      </c>
      <c r="Q2909" s="481">
        <f t="shared" si="91"/>
        <v>-5358.4964299999847</v>
      </c>
    </row>
    <row r="2910" spans="1:17" x14ac:dyDescent="0.3">
      <c r="A2910" s="366" t="str">
        <f>IFERROR(VLOOKUP(RIGHT(E2910,3)+0,[1]SchLocTable!$A$2:$B$47,2,FALSE)," ")</f>
        <v>Barnum</v>
      </c>
      <c r="B2910" s="366" t="str">
        <f>VLOOKUP(VALUE(D2910),$D$3:F$106,3,FALSE)</f>
        <v>Psychologists</v>
      </c>
      <c r="C2910" t="s">
        <v>314</v>
      </c>
      <c r="D2910">
        <v>854</v>
      </c>
      <c r="E2910" t="s">
        <v>976</v>
      </c>
      <c r="F2910" t="s">
        <v>334</v>
      </c>
      <c r="G2910" t="s">
        <v>319</v>
      </c>
      <c r="H2910" s="502">
        <v>51400</v>
      </c>
      <c r="I2910" s="415">
        <v>0</v>
      </c>
      <c r="J2910" s="415">
        <v>0</v>
      </c>
      <c r="K2910" s="415">
        <v>6305</v>
      </c>
      <c r="L2910" s="415">
        <v>6165</v>
      </c>
      <c r="M2910" s="415">
        <v>6030</v>
      </c>
      <c r="N2910" s="415">
        <v>5940.7</v>
      </c>
      <c r="O2910" s="415">
        <v>11621.35</v>
      </c>
      <c r="P2910" s="415">
        <v>0</v>
      </c>
      <c r="Q2910" s="481">
        <f t="shared" si="91"/>
        <v>0</v>
      </c>
    </row>
    <row r="2911" spans="1:17" x14ac:dyDescent="0.3">
      <c r="A2911" s="366" t="str">
        <f>IFERROR(VLOOKUP(RIGHT(E2911,3)+0,[1]SchLocTable!$A$2:$B$47,2,FALSE)," ")</f>
        <v>Barnum</v>
      </c>
      <c r="B2911" s="366" t="str">
        <f>VLOOKUP(VALUE(D2911),$D$3:F$106,3,FALSE)</f>
        <v>Psychologists</v>
      </c>
      <c r="C2911" t="s">
        <v>314</v>
      </c>
      <c r="D2911">
        <v>854</v>
      </c>
      <c r="E2911" t="s">
        <v>976</v>
      </c>
      <c r="F2911" t="s">
        <v>321</v>
      </c>
      <c r="G2911" t="s">
        <v>319</v>
      </c>
      <c r="H2911" s="502">
        <v>52917</v>
      </c>
      <c r="I2911" s="415">
        <v>15644.663999999999</v>
      </c>
      <c r="J2911" s="415">
        <v>12979</v>
      </c>
      <c r="K2911" s="415">
        <v>11844</v>
      </c>
      <c r="L2911" s="415">
        <v>11684.82</v>
      </c>
      <c r="M2911" s="415">
        <v>10956.75</v>
      </c>
      <c r="N2911" s="415">
        <v>10232.879999999999</v>
      </c>
      <c r="O2911" s="415">
        <v>9817.68</v>
      </c>
      <c r="P2911" s="415">
        <v>0</v>
      </c>
      <c r="Q2911" s="481">
        <f t="shared" si="91"/>
        <v>-2665.6639999999989</v>
      </c>
    </row>
    <row r="2912" spans="1:17" x14ac:dyDescent="0.3">
      <c r="A2912" s="366" t="str">
        <f>IFERROR(VLOOKUP(RIGHT(E2912,3)+0,[1]SchLocTable!$A$2:$B$47,2,FALSE)," ")</f>
        <v>Barnum</v>
      </c>
      <c r="B2912" s="366" t="str">
        <f>VLOOKUP(VALUE(D2912),$D$3:F$106,3,FALSE)</f>
        <v>Psychologists</v>
      </c>
      <c r="C2912" t="s">
        <v>314</v>
      </c>
      <c r="D2912">
        <v>854</v>
      </c>
      <c r="E2912" t="s">
        <v>976</v>
      </c>
      <c r="F2912" t="s">
        <v>318</v>
      </c>
      <c r="G2912" t="s">
        <v>319</v>
      </c>
      <c r="H2912" s="502">
        <v>51140</v>
      </c>
      <c r="I2912" s="415">
        <v>1300</v>
      </c>
      <c r="J2912" s="415">
        <v>0</v>
      </c>
      <c r="K2912" s="415">
        <v>1300</v>
      </c>
      <c r="L2912" s="415">
        <v>1300</v>
      </c>
      <c r="M2912" s="415">
        <v>1300</v>
      </c>
      <c r="N2912" s="415">
        <v>1300</v>
      </c>
      <c r="O2912" s="415">
        <v>1300</v>
      </c>
      <c r="P2912" s="415">
        <v>0</v>
      </c>
      <c r="Q2912" s="481">
        <f t="shared" si="91"/>
        <v>-1300</v>
      </c>
    </row>
    <row r="2913" spans="1:17" x14ac:dyDescent="0.3">
      <c r="A2913" s="366" t="str">
        <f>IFERROR(VLOOKUP(RIGHT(E2913,3)+0,[1]SchLocTable!$A$2:$B$47,2,FALSE)," ")</f>
        <v>Barnum</v>
      </c>
      <c r="B2913" s="366" t="str">
        <f>VLOOKUP(VALUE(D2913),$D$3:F$106,3,FALSE)</f>
        <v>Psychologists</v>
      </c>
      <c r="C2913" t="s">
        <v>314</v>
      </c>
      <c r="D2913">
        <v>854</v>
      </c>
      <c r="E2913" t="s">
        <v>976</v>
      </c>
      <c r="F2913" t="s">
        <v>560</v>
      </c>
      <c r="G2913" t="s">
        <v>319</v>
      </c>
      <c r="H2913" s="502">
        <v>51404</v>
      </c>
      <c r="I2913" s="415">
        <v>1324.26</v>
      </c>
      <c r="J2913" s="415">
        <v>0</v>
      </c>
      <c r="K2913" s="415">
        <v>135</v>
      </c>
      <c r="L2913" s="415">
        <v>150</v>
      </c>
      <c r="M2913" s="415">
        <v>150</v>
      </c>
      <c r="N2913" s="415">
        <v>150</v>
      </c>
      <c r="O2913" s="415">
        <v>0</v>
      </c>
      <c r="P2913" s="415">
        <v>0</v>
      </c>
      <c r="Q2913" s="481">
        <f t="shared" si="91"/>
        <v>-1324.26</v>
      </c>
    </row>
    <row r="2914" spans="1:17" x14ac:dyDescent="0.3">
      <c r="A2914" s="366" t="str">
        <f>IFERROR(VLOOKUP(RIGHT(E2914,3)+0,[1]SchLocTable!$A$2:$B$47,2,FALSE)," ")</f>
        <v>Marin</v>
      </c>
      <c r="B2914" s="366" t="str">
        <f>VLOOKUP(VALUE(D2914),$D$3:F$106,3,FALSE)</f>
        <v>Psychologists</v>
      </c>
      <c r="C2914" t="s">
        <v>314</v>
      </c>
      <c r="D2914">
        <v>854</v>
      </c>
      <c r="E2914" t="s">
        <v>977</v>
      </c>
      <c r="F2914" t="s">
        <v>316</v>
      </c>
      <c r="G2914">
        <v>1</v>
      </c>
      <c r="H2914" s="502">
        <v>51000</v>
      </c>
      <c r="I2914" s="415">
        <v>110428.46490000001</v>
      </c>
      <c r="J2914" s="415">
        <v>105070</v>
      </c>
      <c r="K2914" s="415">
        <v>94155.1</v>
      </c>
      <c r="L2914" s="415">
        <v>88897.12</v>
      </c>
      <c r="M2914" s="415">
        <v>0</v>
      </c>
      <c r="N2914" s="415">
        <v>0</v>
      </c>
      <c r="O2914" s="415">
        <v>0</v>
      </c>
      <c r="P2914" s="415">
        <v>0</v>
      </c>
      <c r="Q2914" s="481">
        <f t="shared" si="91"/>
        <v>-5358.4649000000063</v>
      </c>
    </row>
    <row r="2915" spans="1:17" x14ac:dyDescent="0.3">
      <c r="A2915" s="366" t="str">
        <f>IFERROR(VLOOKUP(RIGHT(E2915,3)+0,[1]SchLocTable!$A$2:$B$47,2,FALSE)," ")</f>
        <v>Marin</v>
      </c>
      <c r="B2915" s="366" t="str">
        <f>VLOOKUP(VALUE(D2915),$D$3:F$106,3,FALSE)</f>
        <v>Psychologists</v>
      </c>
      <c r="C2915" t="s">
        <v>314</v>
      </c>
      <c r="D2915">
        <v>854</v>
      </c>
      <c r="E2915" t="s">
        <v>977</v>
      </c>
      <c r="F2915" t="s">
        <v>334</v>
      </c>
      <c r="G2915" t="s">
        <v>319</v>
      </c>
      <c r="H2915" s="502">
        <v>51400</v>
      </c>
      <c r="I2915" s="415">
        <v>0</v>
      </c>
      <c r="J2915" s="415">
        <v>0</v>
      </c>
      <c r="K2915" s="415">
        <v>3543.47</v>
      </c>
      <c r="L2915" s="415">
        <v>2505.9499999999998</v>
      </c>
      <c r="M2915" s="415">
        <v>0</v>
      </c>
      <c r="N2915" s="415">
        <v>0</v>
      </c>
      <c r="O2915" s="415">
        <v>0</v>
      </c>
      <c r="P2915" s="415">
        <v>0</v>
      </c>
      <c r="Q2915" s="481">
        <f t="shared" si="91"/>
        <v>0</v>
      </c>
    </row>
    <row r="2916" spans="1:17" x14ac:dyDescent="0.3">
      <c r="A2916" s="366" t="str">
        <f>IFERROR(VLOOKUP(RIGHT(E2916,3)+0,[1]SchLocTable!$A$2:$B$47,2,FALSE)," ")</f>
        <v>Marin</v>
      </c>
      <c r="B2916" s="366" t="str">
        <f>VLOOKUP(VALUE(D2916),$D$3:F$106,3,FALSE)</f>
        <v>Psychologists</v>
      </c>
      <c r="C2916" t="s">
        <v>314</v>
      </c>
      <c r="D2916">
        <v>854</v>
      </c>
      <c r="E2916" t="s">
        <v>977</v>
      </c>
      <c r="F2916" t="s">
        <v>321</v>
      </c>
      <c r="G2916" t="s">
        <v>319</v>
      </c>
      <c r="H2916" s="502">
        <v>52917</v>
      </c>
      <c r="I2916" s="415">
        <v>15644.663999999999</v>
      </c>
      <c r="J2916" s="415">
        <v>13037.22</v>
      </c>
      <c r="K2916" s="415">
        <v>11844</v>
      </c>
      <c r="L2916" s="415">
        <v>11684.82</v>
      </c>
      <c r="M2916" s="415">
        <v>0</v>
      </c>
      <c r="N2916" s="415">
        <v>0</v>
      </c>
      <c r="O2916" s="415">
        <v>0</v>
      </c>
      <c r="P2916" s="415">
        <v>0</v>
      </c>
      <c r="Q2916" s="481">
        <f t="shared" si="91"/>
        <v>-2607.4439999999995</v>
      </c>
    </row>
    <row r="2917" spans="1:17" x14ac:dyDescent="0.3">
      <c r="A2917" s="366" t="str">
        <f>IFERROR(VLOOKUP(RIGHT(E2917,3)+0,[1]SchLocTable!$A$2:$B$47,2,FALSE)," ")</f>
        <v>Marin</v>
      </c>
      <c r="B2917" s="366" t="str">
        <f>VLOOKUP(VALUE(D2917),$D$3:F$106,3,FALSE)</f>
        <v>Psychologists</v>
      </c>
      <c r="C2917" t="s">
        <v>314</v>
      </c>
      <c r="D2917">
        <v>854</v>
      </c>
      <c r="E2917" t="s">
        <v>977</v>
      </c>
      <c r="F2917" t="s">
        <v>320</v>
      </c>
      <c r="G2917" t="s">
        <v>319</v>
      </c>
      <c r="H2917" s="502">
        <v>52360</v>
      </c>
      <c r="I2917" s="415">
        <v>1601.2127410500002</v>
      </c>
      <c r="J2917" s="415">
        <v>1453</v>
      </c>
      <c r="K2917" s="415">
        <v>1366.07</v>
      </c>
      <c r="L2917" s="415">
        <v>1276.94</v>
      </c>
      <c r="M2917" s="415">
        <v>0</v>
      </c>
      <c r="N2917" s="415">
        <v>0</v>
      </c>
      <c r="O2917" s="415">
        <v>0</v>
      </c>
      <c r="P2917" s="415">
        <v>0</v>
      </c>
      <c r="Q2917" s="481">
        <f t="shared" si="91"/>
        <v>-148.2127410500002</v>
      </c>
    </row>
    <row r="2918" spans="1:17" x14ac:dyDescent="0.3">
      <c r="A2918" s="366" t="str">
        <f>IFERROR(VLOOKUP(RIGHT(E2918,3)+0,[1]SchLocTable!$A$2:$B$47,2,FALSE)," ")</f>
        <v>Madison</v>
      </c>
      <c r="B2918" s="366" t="str">
        <f>VLOOKUP(VALUE(D2918),$D$3:F$106,3,FALSE)</f>
        <v>Psychologists</v>
      </c>
      <c r="C2918" t="s">
        <v>314</v>
      </c>
      <c r="D2918">
        <v>854</v>
      </c>
      <c r="E2918" t="s">
        <v>978</v>
      </c>
      <c r="F2918" t="s">
        <v>316</v>
      </c>
      <c r="G2918" t="s">
        <v>319</v>
      </c>
      <c r="H2918" s="502">
        <v>51000</v>
      </c>
      <c r="I2918" s="415">
        <v>0</v>
      </c>
      <c r="J2918" s="415">
        <v>0</v>
      </c>
      <c r="K2918" s="415">
        <v>0</v>
      </c>
      <c r="L2918" s="415">
        <v>2100.85</v>
      </c>
      <c r="M2918" s="415">
        <v>59407.11</v>
      </c>
      <c r="N2918" s="415">
        <v>11328.34</v>
      </c>
      <c r="O2918" s="415">
        <v>0</v>
      </c>
      <c r="P2918" s="415">
        <v>0</v>
      </c>
      <c r="Q2918" s="481">
        <f t="shared" si="91"/>
        <v>0</v>
      </c>
    </row>
    <row r="2919" spans="1:17" x14ac:dyDescent="0.3">
      <c r="A2919" s="366" t="str">
        <f>IFERROR(VLOOKUP(RIGHT(E2919,3)+0,[1]SchLocTable!$A$2:$B$47,2,FALSE)," ")</f>
        <v>Madison</v>
      </c>
      <c r="B2919" s="366" t="str">
        <f>VLOOKUP(VALUE(D2919),$D$3:F$106,3,FALSE)</f>
        <v>Psychologists</v>
      </c>
      <c r="C2919" t="s">
        <v>314</v>
      </c>
      <c r="D2919">
        <v>854</v>
      </c>
      <c r="E2919" t="s">
        <v>978</v>
      </c>
      <c r="F2919" t="s">
        <v>334</v>
      </c>
      <c r="G2919" t="s">
        <v>319</v>
      </c>
      <c r="H2919" s="502">
        <v>51400</v>
      </c>
      <c r="I2919" s="415">
        <v>0</v>
      </c>
      <c r="J2919" s="415">
        <v>0</v>
      </c>
      <c r="K2919" s="415">
        <v>0</v>
      </c>
      <c r="L2919" s="415">
        <v>0</v>
      </c>
      <c r="M2919" s="415">
        <v>0</v>
      </c>
      <c r="N2919" s="415">
        <v>638.78</v>
      </c>
      <c r="O2919" s="415">
        <v>0</v>
      </c>
      <c r="P2919" s="415">
        <v>0</v>
      </c>
      <c r="Q2919" s="481">
        <f t="shared" si="91"/>
        <v>0</v>
      </c>
    </row>
    <row r="2920" spans="1:17" x14ac:dyDescent="0.3">
      <c r="A2920" s="366" t="str">
        <f>IFERROR(VLOOKUP(RIGHT(E2920,3)+0,[1]SchLocTable!$A$2:$B$47,2,FALSE)," ")</f>
        <v>Madison</v>
      </c>
      <c r="B2920" s="366" t="str">
        <f>VLOOKUP(VALUE(D2920),$D$3:F$106,3,FALSE)</f>
        <v>Psychologists</v>
      </c>
      <c r="C2920" t="s">
        <v>314</v>
      </c>
      <c r="D2920">
        <v>854</v>
      </c>
      <c r="E2920" t="s">
        <v>978</v>
      </c>
      <c r="F2920" t="s">
        <v>321</v>
      </c>
      <c r="G2920" t="s">
        <v>319</v>
      </c>
      <c r="H2920" s="502">
        <v>52917</v>
      </c>
      <c r="I2920" s="415">
        <v>0</v>
      </c>
      <c r="J2920" s="415">
        <v>0</v>
      </c>
      <c r="K2920" s="415">
        <v>0</v>
      </c>
      <c r="L2920" s="415">
        <v>0</v>
      </c>
      <c r="M2920" s="415">
        <v>32449.200000000001</v>
      </c>
      <c r="N2920" s="415">
        <v>4329.8100000000004</v>
      </c>
      <c r="O2920" s="415">
        <v>0</v>
      </c>
      <c r="P2920" s="415">
        <v>0</v>
      </c>
      <c r="Q2920" s="481">
        <f t="shared" si="91"/>
        <v>0</v>
      </c>
    </row>
    <row r="2921" spans="1:17" x14ac:dyDescent="0.3">
      <c r="A2921" s="366" t="str">
        <f>IFERROR(VLOOKUP(RIGHT(E2921,3)+0,[1]SchLocTable!$A$2:$B$47,2,FALSE)," ")</f>
        <v>Madison</v>
      </c>
      <c r="B2921" s="366" t="str">
        <f>VLOOKUP(VALUE(D2921),$D$3:F$106,3,FALSE)</f>
        <v>Psychologists</v>
      </c>
      <c r="C2921" t="s">
        <v>314</v>
      </c>
      <c r="D2921">
        <v>854</v>
      </c>
      <c r="E2921" t="s">
        <v>978</v>
      </c>
      <c r="F2921" t="s">
        <v>320</v>
      </c>
      <c r="G2921" t="s">
        <v>319</v>
      </c>
      <c r="H2921" s="502">
        <v>52360</v>
      </c>
      <c r="I2921" s="415">
        <v>0</v>
      </c>
      <c r="J2921" s="415">
        <v>0</v>
      </c>
      <c r="K2921" s="415">
        <v>0</v>
      </c>
      <c r="L2921" s="415">
        <v>30.46</v>
      </c>
      <c r="M2921" s="415">
        <v>730.66</v>
      </c>
      <c r="N2921" s="415">
        <v>156.62</v>
      </c>
      <c r="O2921" s="415">
        <v>0</v>
      </c>
      <c r="P2921" s="415">
        <v>0</v>
      </c>
      <c r="Q2921" s="481">
        <f t="shared" si="91"/>
        <v>0</v>
      </c>
    </row>
    <row r="2922" spans="1:17" x14ac:dyDescent="0.3">
      <c r="A2922" s="366" t="str">
        <f>IFERROR(VLOOKUP(RIGHT(E2922,3)+0,[1]SchLocTable!$A$2:$B$47,2,FALSE)," ")</f>
        <v>Tisdale</v>
      </c>
      <c r="B2922" s="366" t="str">
        <f>VLOOKUP(VALUE(D2922),$D$3:F$106,3,FALSE)</f>
        <v>Psychologists</v>
      </c>
      <c r="C2922" t="s">
        <v>314</v>
      </c>
      <c r="D2922">
        <v>854</v>
      </c>
      <c r="E2922" t="s">
        <v>979</v>
      </c>
      <c r="F2922" t="s">
        <v>316</v>
      </c>
      <c r="G2922">
        <v>1</v>
      </c>
      <c r="H2922" s="502">
        <v>51000</v>
      </c>
      <c r="I2922" s="415">
        <v>110428.49642999998</v>
      </c>
      <c r="J2922" s="415">
        <v>105070</v>
      </c>
      <c r="K2922" s="415">
        <v>102758.04</v>
      </c>
      <c r="L2922" s="415">
        <v>100496.97</v>
      </c>
      <c r="M2922" s="415">
        <v>99012.06</v>
      </c>
      <c r="N2922" s="415">
        <v>97548.99</v>
      </c>
      <c r="O2922" s="415">
        <v>96106.92</v>
      </c>
      <c r="P2922" s="415">
        <v>94594.08</v>
      </c>
      <c r="Q2922" s="481">
        <f t="shared" si="91"/>
        <v>-5358.4964299999847</v>
      </c>
    </row>
    <row r="2923" spans="1:17" x14ac:dyDescent="0.3">
      <c r="A2923" s="366" t="str">
        <f>IFERROR(VLOOKUP(RIGHT(E2923,3)+0,[1]SchLocTable!$A$2:$B$47,2,FALSE)," ")</f>
        <v>Tisdale</v>
      </c>
      <c r="B2923" s="366" t="str">
        <f>VLOOKUP(VALUE(D2923),$D$3:F$106,3,FALSE)</f>
        <v>Psychologists</v>
      </c>
      <c r="C2923" t="s">
        <v>314</v>
      </c>
      <c r="D2923">
        <v>854</v>
      </c>
      <c r="E2923" t="s">
        <v>979</v>
      </c>
      <c r="F2923" t="s">
        <v>334</v>
      </c>
      <c r="G2923" t="s">
        <v>319</v>
      </c>
      <c r="H2923" s="502">
        <v>51400</v>
      </c>
      <c r="I2923" s="415">
        <v>0</v>
      </c>
      <c r="J2923" s="415">
        <v>0</v>
      </c>
      <c r="K2923" s="415">
        <v>6276.46</v>
      </c>
      <c r="L2923" s="415">
        <v>13374.14</v>
      </c>
      <c r="M2923" s="415">
        <v>13034.98</v>
      </c>
      <c r="N2923" s="415">
        <v>1170.5899999999999</v>
      </c>
      <c r="O2923" s="415">
        <v>5765.56</v>
      </c>
      <c r="P2923" s="415">
        <v>0</v>
      </c>
      <c r="Q2923" s="481">
        <f t="shared" si="91"/>
        <v>0</v>
      </c>
    </row>
    <row r="2924" spans="1:17" x14ac:dyDescent="0.3">
      <c r="A2924" s="366" t="str">
        <f>IFERROR(VLOOKUP(RIGHT(E2924,3)+0,[1]SchLocTable!$A$2:$B$47,2,FALSE)," ")</f>
        <v>Tisdale</v>
      </c>
      <c r="B2924" s="366" t="str">
        <f>VLOOKUP(VALUE(D2924),$D$3:F$106,3,FALSE)</f>
        <v>Psychologists</v>
      </c>
      <c r="C2924" t="s">
        <v>314</v>
      </c>
      <c r="D2924">
        <v>854</v>
      </c>
      <c r="E2924" t="s">
        <v>979</v>
      </c>
      <c r="F2924" t="s">
        <v>321</v>
      </c>
      <c r="G2924" t="s">
        <v>319</v>
      </c>
      <c r="H2924" s="502">
        <v>52917</v>
      </c>
      <c r="I2924" s="415">
        <v>15644.663999999999</v>
      </c>
      <c r="J2924" s="415">
        <v>12979</v>
      </c>
      <c r="K2924" s="415">
        <v>11844</v>
      </c>
      <c r="L2924" s="415">
        <v>11684.82</v>
      </c>
      <c r="M2924" s="415">
        <v>10956.75</v>
      </c>
      <c r="N2924" s="415">
        <v>10232.879999999999</v>
      </c>
      <c r="O2924" s="415">
        <v>9817.68</v>
      </c>
      <c r="P2924" s="415">
        <v>9245.67</v>
      </c>
      <c r="Q2924" s="481">
        <f t="shared" si="91"/>
        <v>-2665.6639999999989</v>
      </c>
    </row>
    <row r="2925" spans="1:17" x14ac:dyDescent="0.3">
      <c r="A2925" s="366" t="str">
        <f>IFERROR(VLOOKUP(RIGHT(E2925,3)+0,[1]SchLocTable!$A$2:$B$47,2,FALSE)," ")</f>
        <v>Tisdale</v>
      </c>
      <c r="B2925" s="366" t="str">
        <f>VLOOKUP(VALUE(D2925),$D$3:F$106,3,FALSE)</f>
        <v>Psychologists</v>
      </c>
      <c r="C2925" t="s">
        <v>314</v>
      </c>
      <c r="D2925">
        <v>854</v>
      </c>
      <c r="E2925" t="s">
        <v>979</v>
      </c>
      <c r="F2925" t="s">
        <v>318</v>
      </c>
      <c r="G2925" t="s">
        <v>319</v>
      </c>
      <c r="H2925" s="502">
        <v>51140</v>
      </c>
      <c r="I2925" s="415">
        <v>1100</v>
      </c>
      <c r="J2925" s="415">
        <v>0</v>
      </c>
      <c r="K2925" s="415">
        <v>1100</v>
      </c>
      <c r="L2925" s="415">
        <v>1100</v>
      </c>
      <c r="M2925" s="415">
        <v>1100</v>
      </c>
      <c r="N2925" s="415">
        <v>900</v>
      </c>
      <c r="O2925" s="415">
        <v>900</v>
      </c>
      <c r="P2925" s="415">
        <v>900</v>
      </c>
      <c r="Q2925" s="481">
        <f t="shared" si="91"/>
        <v>-1100</v>
      </c>
    </row>
    <row r="2926" spans="1:17" x14ac:dyDescent="0.3">
      <c r="A2926" s="366" t="str">
        <f>IFERROR(VLOOKUP(RIGHT(E2926,3)+0,[1]SchLocTable!$A$2:$B$47,2,FALSE)," ")</f>
        <v>Tisdale</v>
      </c>
      <c r="B2926" s="366" t="str">
        <f>VLOOKUP(VALUE(D2926),$D$3:F$106,3,FALSE)</f>
        <v>Psychologists</v>
      </c>
      <c r="C2926" t="s">
        <v>314</v>
      </c>
      <c r="D2926">
        <v>854</v>
      </c>
      <c r="E2926" t="s">
        <v>979</v>
      </c>
      <c r="F2926" t="s">
        <v>320</v>
      </c>
      <c r="G2926" t="s">
        <v>319</v>
      </c>
      <c r="H2926" s="502">
        <v>52360</v>
      </c>
      <c r="I2926" s="415">
        <v>1633.216148235</v>
      </c>
      <c r="J2926" s="415">
        <v>1482</v>
      </c>
      <c r="K2926" s="415">
        <v>1549.65</v>
      </c>
      <c r="L2926" s="415">
        <v>1622.31</v>
      </c>
      <c r="M2926" s="415">
        <v>1600.1</v>
      </c>
      <c r="N2926" s="415">
        <v>1408.15</v>
      </c>
      <c r="O2926" s="415">
        <v>1456.53</v>
      </c>
      <c r="P2926" s="415">
        <v>1350.03</v>
      </c>
      <c r="Q2926" s="481">
        <f t="shared" si="91"/>
        <v>-151.21614823499999</v>
      </c>
    </row>
    <row r="2927" spans="1:17" x14ac:dyDescent="0.3">
      <c r="A2927" s="366" t="str">
        <f>IFERROR(VLOOKUP(RIGHT(E2927,3)+0,[1]SchLocTable!$A$2:$B$47,2,FALSE)," ")</f>
        <v>Tisdale</v>
      </c>
      <c r="B2927" s="366" t="str">
        <f>VLOOKUP(VALUE(D2927),$D$3:F$106,3,FALSE)</f>
        <v>Psychologists</v>
      </c>
      <c r="C2927" t="s">
        <v>314</v>
      </c>
      <c r="D2927">
        <v>854</v>
      </c>
      <c r="E2927" t="s">
        <v>979</v>
      </c>
      <c r="F2927" t="s">
        <v>560</v>
      </c>
      <c r="G2927" t="s">
        <v>319</v>
      </c>
      <c r="H2927" s="502">
        <v>51404</v>
      </c>
      <c r="I2927" s="415">
        <v>2207.1</v>
      </c>
      <c r="J2927" s="415">
        <v>0</v>
      </c>
      <c r="K2927" s="415">
        <v>225</v>
      </c>
      <c r="L2927" s="415">
        <v>250</v>
      </c>
      <c r="M2927" s="415">
        <v>250</v>
      </c>
      <c r="N2927" s="415">
        <v>250</v>
      </c>
      <c r="O2927" s="415">
        <v>250</v>
      </c>
      <c r="P2927" s="415">
        <v>0</v>
      </c>
      <c r="Q2927" s="481">
        <f t="shared" si="91"/>
        <v>-2207.1</v>
      </c>
    </row>
    <row r="2928" spans="1:17" x14ac:dyDescent="0.3">
      <c r="A2928" s="366" t="str">
        <f>IFERROR(VLOOKUP(RIGHT(E2928,3)+0,[1]SchLocTable!$A$2:$B$47,2,FALSE)," ")</f>
        <v>Read</v>
      </c>
      <c r="B2928" s="366" t="str">
        <f>VLOOKUP(VALUE(D2928),$D$3:F$106,3,FALSE)</f>
        <v>Psychologists</v>
      </c>
      <c r="C2928" t="s">
        <v>314</v>
      </c>
      <c r="D2928">
        <v>854</v>
      </c>
      <c r="E2928" t="s">
        <v>980</v>
      </c>
      <c r="F2928" t="s">
        <v>316</v>
      </c>
      <c r="G2928">
        <v>1</v>
      </c>
      <c r="H2928" s="502">
        <v>51000</v>
      </c>
      <c r="I2928" s="415">
        <v>98957.010099999985</v>
      </c>
      <c r="J2928" s="415">
        <v>94155</v>
      </c>
      <c r="K2928" s="415">
        <v>89786.06</v>
      </c>
      <c r="L2928" s="415">
        <v>101810.61</v>
      </c>
      <c r="M2928" s="415">
        <v>77032.02</v>
      </c>
      <c r="N2928" s="415">
        <v>72752.94</v>
      </c>
      <c r="O2928" s="415">
        <v>68473.08</v>
      </c>
      <c r="P2928" s="415">
        <v>67395.12</v>
      </c>
      <c r="Q2928" s="481">
        <f t="shared" si="91"/>
        <v>-4802.010099999985</v>
      </c>
    </row>
    <row r="2929" spans="1:17" x14ac:dyDescent="0.3">
      <c r="A2929" s="366" t="str">
        <f>IFERROR(VLOOKUP(RIGHT(E2929,3)+0,[1]SchLocTable!$A$2:$B$47,2,FALSE)," ")</f>
        <v>Read</v>
      </c>
      <c r="B2929" s="366" t="str">
        <f>VLOOKUP(VALUE(D2929),$D$3:F$106,3,FALSE)</f>
        <v>Psychologists</v>
      </c>
      <c r="C2929" t="s">
        <v>314</v>
      </c>
      <c r="D2929">
        <v>854</v>
      </c>
      <c r="E2929" t="s">
        <v>980</v>
      </c>
      <c r="F2929" t="s">
        <v>334</v>
      </c>
      <c r="G2929" t="s">
        <v>319</v>
      </c>
      <c r="H2929" s="502">
        <v>51400</v>
      </c>
      <c r="I2929" s="415">
        <v>0</v>
      </c>
      <c r="J2929" s="415">
        <v>-1077.43</v>
      </c>
      <c r="K2929" s="415">
        <v>6464.58</v>
      </c>
      <c r="L2929" s="415">
        <v>4986.3999999999996</v>
      </c>
      <c r="M2929" s="415">
        <v>1848.76</v>
      </c>
      <c r="N2929" s="415">
        <v>2619.08</v>
      </c>
      <c r="O2929" s="415">
        <v>1643.36</v>
      </c>
      <c r="P2929" s="415">
        <v>2426.2199999999998</v>
      </c>
      <c r="Q2929" s="481">
        <f t="shared" si="91"/>
        <v>-1077.43</v>
      </c>
    </row>
    <row r="2930" spans="1:17" x14ac:dyDescent="0.3">
      <c r="A2930" s="366" t="str">
        <f>IFERROR(VLOOKUP(RIGHT(E2930,3)+0,[1]SchLocTable!$A$2:$B$47,2,FALSE)," ")</f>
        <v>Read</v>
      </c>
      <c r="B2930" s="366" t="str">
        <f>VLOOKUP(VALUE(D2930),$D$3:F$106,3,FALSE)</f>
        <v>Psychologists</v>
      </c>
      <c r="C2930" t="s">
        <v>314</v>
      </c>
      <c r="D2930">
        <v>854</v>
      </c>
      <c r="E2930" t="s">
        <v>980</v>
      </c>
      <c r="F2930" t="s">
        <v>321</v>
      </c>
      <c r="G2930" t="s">
        <v>319</v>
      </c>
      <c r="H2930" s="502">
        <v>52917</v>
      </c>
      <c r="I2930" s="415">
        <v>46330.955999999998</v>
      </c>
      <c r="J2930" s="415">
        <v>38609.129999999997</v>
      </c>
      <c r="K2930" s="415">
        <v>35075.879999999997</v>
      </c>
      <c r="L2930" s="415">
        <v>39614.730000000003</v>
      </c>
      <c r="M2930" s="415">
        <v>32449.200000000001</v>
      </c>
      <c r="N2930" s="415">
        <v>30308.67</v>
      </c>
      <c r="O2930" s="415">
        <v>29077.5</v>
      </c>
      <c r="P2930" s="415">
        <v>0</v>
      </c>
      <c r="Q2930" s="481">
        <f t="shared" si="91"/>
        <v>-7721.8260000000009</v>
      </c>
    </row>
    <row r="2931" spans="1:17" x14ac:dyDescent="0.3">
      <c r="A2931" s="366" t="str">
        <f>IFERROR(VLOOKUP(RIGHT(E2931,3)+0,[1]SchLocTable!$A$2:$B$47,2,FALSE)," ")</f>
        <v>Read</v>
      </c>
      <c r="B2931" s="366" t="str">
        <f>VLOOKUP(VALUE(D2931),$D$3:F$106,3,FALSE)</f>
        <v>Psychologists</v>
      </c>
      <c r="C2931" t="s">
        <v>314</v>
      </c>
      <c r="D2931">
        <v>854</v>
      </c>
      <c r="E2931" t="s">
        <v>980</v>
      </c>
      <c r="F2931" t="s">
        <v>320</v>
      </c>
      <c r="G2931" t="s">
        <v>319</v>
      </c>
      <c r="H2931" s="502">
        <v>52360</v>
      </c>
      <c r="I2931" s="415">
        <v>1434.87664645</v>
      </c>
      <c r="J2931" s="415">
        <v>1156</v>
      </c>
      <c r="K2931" s="415">
        <v>1230.29</v>
      </c>
      <c r="L2931" s="415">
        <v>1387.46</v>
      </c>
      <c r="M2931" s="415">
        <v>1013.04</v>
      </c>
      <c r="N2931" s="415">
        <v>974.56</v>
      </c>
      <c r="O2931" s="415">
        <v>906.27</v>
      </c>
      <c r="P2931" s="415">
        <v>1012.41</v>
      </c>
      <c r="Q2931" s="481">
        <f t="shared" si="91"/>
        <v>-278.87664644999995</v>
      </c>
    </row>
    <row r="2932" spans="1:17" x14ac:dyDescent="0.3">
      <c r="A2932" s="366" t="str">
        <f>IFERROR(VLOOKUP(RIGHT(E2932,3)+0,[1]SchLocTable!$A$2:$B$47,2,FALSE)," ")</f>
        <v>Roosevelt</v>
      </c>
      <c r="B2932" s="366" t="str">
        <f>VLOOKUP(VALUE(D2932),$D$3:F$106,3,FALSE)</f>
        <v>Psychologists</v>
      </c>
      <c r="C2932" t="s">
        <v>314</v>
      </c>
      <c r="D2932">
        <v>854</v>
      </c>
      <c r="E2932" t="s">
        <v>981</v>
      </c>
      <c r="F2932" t="s">
        <v>334</v>
      </c>
      <c r="G2932" t="s">
        <v>319</v>
      </c>
      <c r="H2932" s="502">
        <v>51400</v>
      </c>
      <c r="I2932" s="415">
        <v>0</v>
      </c>
      <c r="J2932" s="415">
        <v>0</v>
      </c>
      <c r="K2932" s="415">
        <v>0</v>
      </c>
      <c r="L2932" s="415">
        <v>0</v>
      </c>
      <c r="M2932" s="415">
        <v>0</v>
      </c>
      <c r="N2932" s="415">
        <v>1224.04</v>
      </c>
      <c r="O2932" s="415">
        <v>881.01</v>
      </c>
      <c r="P2932" s="415">
        <v>0</v>
      </c>
      <c r="Q2932" s="481">
        <f t="shared" si="91"/>
        <v>0</v>
      </c>
    </row>
    <row r="2933" spans="1:17" x14ac:dyDescent="0.3">
      <c r="A2933" s="366" t="str">
        <f>IFERROR(VLOOKUP(RIGHT(E2933,3)+0,[1]SchLocTable!$A$2:$B$47,2,FALSE)," ")</f>
        <v>Bridgeport Learning Center</v>
      </c>
      <c r="B2933" s="366" t="str">
        <f>VLOOKUP(VALUE(D2933),$D$3:F$106,3,FALSE)</f>
        <v>Psychologists</v>
      </c>
      <c r="C2933" t="s">
        <v>314</v>
      </c>
      <c r="D2933">
        <v>854</v>
      </c>
      <c r="E2933" t="s">
        <v>982</v>
      </c>
      <c r="F2933" t="s">
        <v>316</v>
      </c>
      <c r="G2933">
        <v>1</v>
      </c>
      <c r="H2933" s="502">
        <v>51000</v>
      </c>
      <c r="I2933" s="415">
        <v>110428.46490000001</v>
      </c>
      <c r="J2933" s="415">
        <v>105070</v>
      </c>
      <c r="K2933" s="415">
        <v>102757.98</v>
      </c>
      <c r="L2933" s="415">
        <v>100497.02</v>
      </c>
      <c r="M2933" s="415">
        <v>99011.9</v>
      </c>
      <c r="N2933" s="415">
        <v>97548.99</v>
      </c>
      <c r="O2933" s="415">
        <v>96106.92</v>
      </c>
      <c r="P2933" s="415">
        <v>94593.98</v>
      </c>
      <c r="Q2933" s="481">
        <f t="shared" si="91"/>
        <v>-5358.4649000000063</v>
      </c>
    </row>
    <row r="2934" spans="1:17" x14ac:dyDescent="0.3">
      <c r="A2934" s="366" t="str">
        <f>IFERROR(VLOOKUP(RIGHT(E2934,3)+0,[1]SchLocTable!$A$2:$B$47,2,FALSE)," ")</f>
        <v>Bridgeport Learning Center</v>
      </c>
      <c r="B2934" s="366" t="str">
        <f>VLOOKUP(VALUE(D2934),$D$3:F$106,3,FALSE)</f>
        <v>Psychologists</v>
      </c>
      <c r="C2934" t="s">
        <v>314</v>
      </c>
      <c r="D2934">
        <v>854</v>
      </c>
      <c r="E2934" t="s">
        <v>982</v>
      </c>
      <c r="F2934" t="s">
        <v>334</v>
      </c>
      <c r="G2934" t="s">
        <v>319</v>
      </c>
      <c r="H2934" s="502">
        <v>51400</v>
      </c>
      <c r="I2934" s="415">
        <v>0</v>
      </c>
      <c r="J2934" s="415">
        <v>0</v>
      </c>
      <c r="K2934" s="415">
        <v>9948.02</v>
      </c>
      <c r="L2934" s="415">
        <v>6029.8</v>
      </c>
      <c r="M2934" s="415">
        <v>5940.7</v>
      </c>
      <c r="N2934" s="415">
        <v>5852.95</v>
      </c>
      <c r="O2934" s="415">
        <v>5766.4</v>
      </c>
      <c r="P2934" s="415">
        <v>5675.65</v>
      </c>
      <c r="Q2934" s="481">
        <f t="shared" si="91"/>
        <v>0</v>
      </c>
    </row>
    <row r="2935" spans="1:17" x14ac:dyDescent="0.3">
      <c r="A2935" s="366" t="str">
        <f>IFERROR(VLOOKUP(RIGHT(E2935,3)+0,[1]SchLocTable!$A$2:$B$47,2,FALSE)," ")</f>
        <v>Bridgeport Learning Center</v>
      </c>
      <c r="B2935" s="366" t="str">
        <f>VLOOKUP(VALUE(D2935),$D$3:F$106,3,FALSE)</f>
        <v>Psychologists</v>
      </c>
      <c r="C2935" t="s">
        <v>314</v>
      </c>
      <c r="D2935">
        <v>854</v>
      </c>
      <c r="E2935" t="s">
        <v>982</v>
      </c>
      <c r="F2935" t="s">
        <v>321</v>
      </c>
      <c r="G2935" t="s">
        <v>319</v>
      </c>
      <c r="H2935" s="502">
        <v>52917</v>
      </c>
      <c r="I2935" s="415">
        <v>46330.955999999998</v>
      </c>
      <c r="J2935" s="415">
        <v>38609.129999999997</v>
      </c>
      <c r="K2935" s="415">
        <v>35075.879999999997</v>
      </c>
      <c r="L2935" s="415">
        <v>34606.949999999997</v>
      </c>
      <c r="M2935" s="415">
        <v>32449.200000000001</v>
      </c>
      <c r="N2935" s="415">
        <v>30308.67</v>
      </c>
      <c r="O2935" s="415">
        <v>29077.5</v>
      </c>
      <c r="P2935" s="415">
        <v>27385.05</v>
      </c>
      <c r="Q2935" s="481">
        <f t="shared" si="91"/>
        <v>-7721.8260000000009</v>
      </c>
    </row>
    <row r="2936" spans="1:17" x14ac:dyDescent="0.3">
      <c r="A2936" s="366" t="str">
        <f>IFERROR(VLOOKUP(RIGHT(E2936,3)+0,[1]SchLocTable!$A$2:$B$47,2,FALSE)," ")</f>
        <v>Bridgeport Learning Center</v>
      </c>
      <c r="B2936" s="366" t="str">
        <f>VLOOKUP(VALUE(D2936),$D$3:F$106,3,FALSE)</f>
        <v>Psychologists</v>
      </c>
      <c r="C2936" t="s">
        <v>314</v>
      </c>
      <c r="D2936">
        <v>854</v>
      </c>
      <c r="E2936" t="s">
        <v>982</v>
      </c>
      <c r="F2936" t="s">
        <v>318</v>
      </c>
      <c r="G2936" t="s">
        <v>319</v>
      </c>
      <c r="H2936" s="502">
        <v>51140</v>
      </c>
      <c r="I2936" s="415">
        <v>900</v>
      </c>
      <c r="J2936" s="415">
        <v>0</v>
      </c>
      <c r="K2936" s="415">
        <v>900</v>
      </c>
      <c r="L2936" s="415">
        <v>900</v>
      </c>
      <c r="M2936" s="415">
        <v>900</v>
      </c>
      <c r="N2936" s="415">
        <v>900</v>
      </c>
      <c r="O2936" s="415">
        <v>900</v>
      </c>
      <c r="P2936" s="415">
        <v>0</v>
      </c>
      <c r="Q2936" s="481">
        <f t="shared" si="91"/>
        <v>-900</v>
      </c>
    </row>
    <row r="2937" spans="1:17" x14ac:dyDescent="0.3">
      <c r="A2937" s="366" t="str">
        <f>IFERROR(VLOOKUP(RIGHT(E2937,3)+0,[1]SchLocTable!$A$2:$B$47,2,FALSE)," ")</f>
        <v>Bridgeport Learning Center</v>
      </c>
      <c r="B2937" s="366" t="str">
        <f>VLOOKUP(VALUE(D2937),$D$3:F$106,3,FALSE)</f>
        <v>Psychologists</v>
      </c>
      <c r="C2937" t="s">
        <v>314</v>
      </c>
      <c r="D2937">
        <v>854</v>
      </c>
      <c r="E2937" t="s">
        <v>982</v>
      </c>
      <c r="F2937" t="s">
        <v>320</v>
      </c>
      <c r="G2937" t="s">
        <v>319</v>
      </c>
      <c r="H2937" s="502">
        <v>52360</v>
      </c>
      <c r="I2937" s="415">
        <v>1601.2127410500002</v>
      </c>
      <c r="J2937" s="415">
        <v>1328</v>
      </c>
      <c r="K2937" s="415">
        <v>1497.57</v>
      </c>
      <c r="L2937" s="415">
        <v>1414.38</v>
      </c>
      <c r="M2937" s="415">
        <v>1404.12</v>
      </c>
      <c r="N2937" s="415">
        <v>1394.04</v>
      </c>
      <c r="O2937" s="415">
        <v>1379.78</v>
      </c>
      <c r="P2937" s="415">
        <v>1351.38</v>
      </c>
      <c r="Q2937" s="481">
        <f t="shared" si="91"/>
        <v>-273.2127410500002</v>
      </c>
    </row>
    <row r="2938" spans="1:17" x14ac:dyDescent="0.3">
      <c r="A2938" s="366" t="str">
        <f>IFERROR(VLOOKUP(RIGHT(E2938,3)+0,[1]SchLocTable!$A$2:$B$47,2,FALSE)," ")</f>
        <v>Waltersville</v>
      </c>
      <c r="B2938" s="366" t="str">
        <f>VLOOKUP(VALUE(D2938),$D$3:F$106,3,FALSE)</f>
        <v>Psychologists</v>
      </c>
      <c r="C2938" t="s">
        <v>314</v>
      </c>
      <c r="D2938">
        <v>854</v>
      </c>
      <c r="E2938" t="s">
        <v>983</v>
      </c>
      <c r="F2938" t="s">
        <v>316</v>
      </c>
      <c r="G2938" t="s">
        <v>319</v>
      </c>
      <c r="H2938" s="502">
        <v>51000</v>
      </c>
      <c r="I2938" s="415">
        <v>88342.929570000008</v>
      </c>
      <c r="J2938" s="415">
        <v>84056.07</v>
      </c>
      <c r="K2938" s="415">
        <v>102758.04</v>
      </c>
      <c r="L2938" s="415">
        <v>100496.97</v>
      </c>
      <c r="M2938" s="415">
        <v>99011.9</v>
      </c>
      <c r="N2938" s="415">
        <v>97548.88</v>
      </c>
      <c r="O2938" s="415">
        <v>96106.92</v>
      </c>
      <c r="P2938" s="415">
        <v>94593.98</v>
      </c>
      <c r="Q2938" s="481">
        <f t="shared" si="91"/>
        <v>-4286.8595700000005</v>
      </c>
    </row>
    <row r="2939" spans="1:17" x14ac:dyDescent="0.3">
      <c r="A2939" s="366" t="str">
        <f>IFERROR(VLOOKUP(RIGHT(E2939,3)+0,[1]SchLocTable!$A$2:$B$47,2,FALSE)," ")</f>
        <v>Waltersville</v>
      </c>
      <c r="B2939" s="366" t="str">
        <f>VLOOKUP(VALUE(D2939),$D$3:F$106,3,FALSE)</f>
        <v>Psychologists</v>
      </c>
      <c r="C2939" t="s">
        <v>314</v>
      </c>
      <c r="D2939">
        <v>854</v>
      </c>
      <c r="E2939" t="s">
        <v>983</v>
      </c>
      <c r="F2939" t="s">
        <v>334</v>
      </c>
      <c r="G2939" t="s">
        <v>319</v>
      </c>
      <c r="H2939" s="502">
        <v>51400</v>
      </c>
      <c r="I2939" s="415">
        <v>0</v>
      </c>
      <c r="J2939" s="415">
        <v>0</v>
      </c>
      <c r="K2939" s="415">
        <v>4932.3599999999997</v>
      </c>
      <c r="L2939" s="415">
        <v>6029.5</v>
      </c>
      <c r="M2939" s="415">
        <v>5940.7</v>
      </c>
      <c r="N2939" s="415">
        <v>2341.16</v>
      </c>
      <c r="O2939" s="415">
        <v>9278.14</v>
      </c>
      <c r="P2939" s="415">
        <v>0</v>
      </c>
      <c r="Q2939" s="481">
        <f t="shared" si="91"/>
        <v>0</v>
      </c>
    </row>
    <row r="2940" spans="1:17" x14ac:dyDescent="0.3">
      <c r="A2940" s="366" t="str">
        <f>IFERROR(VLOOKUP(RIGHT(E2940,3)+0,[1]SchLocTable!$A$2:$B$47,2,FALSE)," ")</f>
        <v>Waltersville</v>
      </c>
      <c r="B2940" s="366" t="str">
        <f>VLOOKUP(VALUE(D2940),$D$3:F$106,3,FALSE)</f>
        <v>Psychologists</v>
      </c>
      <c r="C2940" t="s">
        <v>314</v>
      </c>
      <c r="D2940">
        <v>854</v>
      </c>
      <c r="E2940" t="s">
        <v>983</v>
      </c>
      <c r="F2940" t="s">
        <v>321</v>
      </c>
      <c r="G2940" t="s">
        <v>319</v>
      </c>
      <c r="H2940" s="502">
        <v>52917</v>
      </c>
      <c r="I2940" s="415">
        <v>46330.955999999998</v>
      </c>
      <c r="J2940" s="415">
        <v>38437</v>
      </c>
      <c r="K2940" s="415">
        <v>35075.879999999997</v>
      </c>
      <c r="L2940" s="415">
        <v>34606.949999999997</v>
      </c>
      <c r="M2940" s="415">
        <v>32449.200000000001</v>
      </c>
      <c r="N2940" s="415">
        <v>29905.26</v>
      </c>
      <c r="O2940" s="415">
        <v>28822.34</v>
      </c>
      <c r="P2940" s="415">
        <v>27110.37</v>
      </c>
      <c r="Q2940" s="481">
        <f t="shared" si="91"/>
        <v>-7893.9559999999983</v>
      </c>
    </row>
    <row r="2941" spans="1:17" x14ac:dyDescent="0.3">
      <c r="A2941" s="366" t="str">
        <f>IFERROR(VLOOKUP(RIGHT(E2941,3)+0,[1]SchLocTable!$A$2:$B$47,2,FALSE)," ")</f>
        <v>Waltersville</v>
      </c>
      <c r="B2941" s="366" t="str">
        <f>VLOOKUP(VALUE(D2941),$D$3:F$106,3,FALSE)</f>
        <v>Psychologists</v>
      </c>
      <c r="C2941" t="s">
        <v>314</v>
      </c>
      <c r="D2941">
        <v>854</v>
      </c>
      <c r="E2941" t="s">
        <v>983</v>
      </c>
      <c r="F2941" t="s">
        <v>318</v>
      </c>
      <c r="G2941" t="s">
        <v>319</v>
      </c>
      <c r="H2941" s="502">
        <v>51140</v>
      </c>
      <c r="I2941" s="415">
        <v>880</v>
      </c>
      <c r="J2941" s="415">
        <v>0</v>
      </c>
      <c r="K2941" s="415">
        <v>1100</v>
      </c>
      <c r="L2941" s="415">
        <v>1100</v>
      </c>
      <c r="M2941" s="415">
        <v>900</v>
      </c>
      <c r="N2941" s="415">
        <v>900</v>
      </c>
      <c r="O2941" s="415">
        <v>900</v>
      </c>
      <c r="P2941" s="415">
        <v>900</v>
      </c>
      <c r="Q2941" s="481">
        <f t="shared" si="91"/>
        <v>-880</v>
      </c>
    </row>
    <row r="2942" spans="1:17" x14ac:dyDescent="0.3">
      <c r="A2942" s="366" t="str">
        <f>IFERROR(VLOOKUP(RIGHT(E2942,3)+0,[1]SchLocTable!$A$2:$B$47,2,FALSE)," ")</f>
        <v>Waltersville</v>
      </c>
      <c r="B2942" s="366" t="str">
        <f>VLOOKUP(VALUE(D2942),$D$3:F$106,3,FALSE)</f>
        <v>Psychologists</v>
      </c>
      <c r="C2942" t="s">
        <v>314</v>
      </c>
      <c r="D2942">
        <v>854</v>
      </c>
      <c r="E2942" t="s">
        <v>983</v>
      </c>
      <c r="F2942" t="s">
        <v>320</v>
      </c>
      <c r="G2942" t="s">
        <v>319</v>
      </c>
      <c r="H2942" s="502">
        <v>52360</v>
      </c>
      <c r="I2942" s="415">
        <v>1280.9724787650002</v>
      </c>
      <c r="J2942" s="415">
        <v>1194.56</v>
      </c>
      <c r="K2942" s="415">
        <v>1429.7</v>
      </c>
      <c r="L2942" s="415">
        <v>1419.45</v>
      </c>
      <c r="M2942" s="415">
        <v>1406.73</v>
      </c>
      <c r="N2942" s="415">
        <v>1346.33</v>
      </c>
      <c r="O2942" s="415">
        <v>1433.54</v>
      </c>
      <c r="P2942" s="415">
        <v>1282.56</v>
      </c>
      <c r="Q2942" s="481">
        <f t="shared" si="91"/>
        <v>-86.412478765000287</v>
      </c>
    </row>
    <row r="2943" spans="1:17" x14ac:dyDescent="0.3">
      <c r="A2943" s="366" t="str">
        <f>IFERROR(VLOOKUP(RIGHT(E2943,3)+0,[1]SchLocTable!$A$2:$B$47,2,FALSE)," ")</f>
        <v>Waltersville</v>
      </c>
      <c r="B2943" s="366" t="str">
        <f>VLOOKUP(VALUE(D2943),$D$3:F$106,3,FALSE)</f>
        <v>Psychologists</v>
      </c>
      <c r="C2943" t="s">
        <v>314</v>
      </c>
      <c r="D2943">
        <v>854</v>
      </c>
      <c r="E2943" t="s">
        <v>983</v>
      </c>
      <c r="F2943" t="s">
        <v>560</v>
      </c>
      <c r="G2943" t="s">
        <v>319</v>
      </c>
      <c r="H2943" s="502">
        <v>51404</v>
      </c>
      <c r="I2943" s="415">
        <v>0</v>
      </c>
      <c r="J2943" s="415">
        <v>0</v>
      </c>
      <c r="K2943" s="415">
        <v>135</v>
      </c>
      <c r="L2943" s="415">
        <v>150</v>
      </c>
      <c r="M2943" s="415">
        <v>180</v>
      </c>
      <c r="N2943" s="415">
        <v>150</v>
      </c>
      <c r="O2943" s="415">
        <v>150</v>
      </c>
      <c r="P2943" s="415">
        <v>0</v>
      </c>
      <c r="Q2943" s="481">
        <f t="shared" ref="Q2943:Q3006" si="92">J2943-I2943</f>
        <v>0</v>
      </c>
    </row>
    <row r="2944" spans="1:17" x14ac:dyDescent="0.3">
      <c r="A2944" s="366" t="str">
        <f>IFERROR(VLOOKUP(RIGHT(E2944,3)+0,[1]SchLocTable!$A$2:$B$47,2,FALSE)," ")</f>
        <v>Johnson</v>
      </c>
      <c r="B2944" s="366" t="str">
        <f>VLOOKUP(VALUE(D2944),$D$3:F$106,3,FALSE)</f>
        <v>Psychologists</v>
      </c>
      <c r="C2944" t="s">
        <v>314</v>
      </c>
      <c r="D2944">
        <v>854</v>
      </c>
      <c r="E2944" t="s">
        <v>984</v>
      </c>
      <c r="F2944" t="s">
        <v>316</v>
      </c>
      <c r="G2944" t="s">
        <v>319</v>
      </c>
      <c r="H2944" s="502">
        <v>51000</v>
      </c>
      <c r="I2944" s="415">
        <v>0</v>
      </c>
      <c r="J2944" s="415">
        <v>0</v>
      </c>
      <c r="K2944" s="415">
        <v>0</v>
      </c>
      <c r="L2944" s="415">
        <v>73282.69</v>
      </c>
      <c r="M2944" s="415">
        <v>83106.92</v>
      </c>
      <c r="N2944" s="415">
        <v>67920.600000000006</v>
      </c>
      <c r="O2944" s="415">
        <v>96857.02</v>
      </c>
      <c r="P2944" s="415">
        <v>95344.08</v>
      </c>
      <c r="Q2944" s="481">
        <f t="shared" si="92"/>
        <v>0</v>
      </c>
    </row>
    <row r="2945" spans="1:17" x14ac:dyDescent="0.3">
      <c r="A2945" s="366" t="str">
        <f>IFERROR(VLOOKUP(RIGHT(E2945,3)+0,[1]SchLocTable!$A$2:$B$47,2,FALSE)," ")</f>
        <v>Johnson</v>
      </c>
      <c r="B2945" s="366" t="str">
        <f>VLOOKUP(VALUE(D2945),$D$3:F$106,3,FALSE)</f>
        <v>Psychologists</v>
      </c>
      <c r="C2945" t="s">
        <v>314</v>
      </c>
      <c r="D2945">
        <v>854</v>
      </c>
      <c r="E2945" t="s">
        <v>984</v>
      </c>
      <c r="F2945" t="s">
        <v>334</v>
      </c>
      <c r="G2945" t="s">
        <v>319</v>
      </c>
      <c r="H2945" s="502">
        <v>51400</v>
      </c>
      <c r="I2945" s="415">
        <v>0</v>
      </c>
      <c r="J2945" s="415">
        <v>0</v>
      </c>
      <c r="K2945" s="415">
        <v>0</v>
      </c>
      <c r="L2945" s="415">
        <v>3378.77</v>
      </c>
      <c r="M2945" s="415">
        <v>2899.05</v>
      </c>
      <c r="N2945" s="415">
        <v>1656.2</v>
      </c>
      <c r="O2945" s="415">
        <v>1144.1199999999999</v>
      </c>
      <c r="P2945" s="415">
        <v>3432.34</v>
      </c>
      <c r="Q2945" s="481">
        <f t="shared" si="92"/>
        <v>0</v>
      </c>
    </row>
    <row r="2946" spans="1:17" x14ac:dyDescent="0.3">
      <c r="A2946" s="366" t="str">
        <f>IFERROR(VLOOKUP(RIGHT(E2946,3)+0,[1]SchLocTable!$A$2:$B$47,2,FALSE)," ")</f>
        <v>Johnson</v>
      </c>
      <c r="B2946" s="366" t="str">
        <f>VLOOKUP(VALUE(D2946),$D$3:F$106,3,FALSE)</f>
        <v>Psychologists</v>
      </c>
      <c r="C2946" t="s">
        <v>314</v>
      </c>
      <c r="D2946">
        <v>854</v>
      </c>
      <c r="E2946" t="s">
        <v>984</v>
      </c>
      <c r="F2946" t="s">
        <v>321</v>
      </c>
      <c r="G2946" t="s">
        <v>319</v>
      </c>
      <c r="H2946" s="502">
        <v>52917</v>
      </c>
      <c r="I2946" s="415">
        <v>0</v>
      </c>
      <c r="J2946" s="415">
        <v>0</v>
      </c>
      <c r="K2946" s="415">
        <v>0</v>
      </c>
      <c r="L2946" s="415">
        <v>6120.62</v>
      </c>
      <c r="M2946" s="415">
        <v>0</v>
      </c>
      <c r="N2946" s="415">
        <v>0</v>
      </c>
      <c r="O2946" s="415">
        <v>9817.68</v>
      </c>
      <c r="P2946" s="415">
        <v>9245.67</v>
      </c>
      <c r="Q2946" s="481">
        <f t="shared" si="92"/>
        <v>0</v>
      </c>
    </row>
    <row r="2947" spans="1:17" x14ac:dyDescent="0.3">
      <c r="A2947" s="366" t="str">
        <f>IFERROR(VLOOKUP(RIGHT(E2947,3)+0,[1]SchLocTable!$A$2:$B$47,2,FALSE)," ")</f>
        <v>Johnson</v>
      </c>
      <c r="B2947" s="366" t="str">
        <f>VLOOKUP(VALUE(D2947),$D$3:F$106,3,FALSE)</f>
        <v>Psychologists</v>
      </c>
      <c r="C2947" t="s">
        <v>314</v>
      </c>
      <c r="D2947">
        <v>854</v>
      </c>
      <c r="E2947" t="s">
        <v>984</v>
      </c>
      <c r="F2947" t="s">
        <v>320</v>
      </c>
      <c r="G2947" t="s">
        <v>319</v>
      </c>
      <c r="H2947" s="502">
        <v>52360</v>
      </c>
      <c r="I2947" s="415">
        <v>0</v>
      </c>
      <c r="J2947" s="415">
        <v>0</v>
      </c>
      <c r="K2947" s="415">
        <v>0</v>
      </c>
      <c r="L2947" s="415">
        <v>1086.25</v>
      </c>
      <c r="M2947" s="415">
        <v>1247.0899999999999</v>
      </c>
      <c r="N2947" s="415">
        <v>1008.86</v>
      </c>
      <c r="O2947" s="415">
        <v>1576.93</v>
      </c>
      <c r="P2947" s="415">
        <v>1397.63</v>
      </c>
      <c r="Q2947" s="481">
        <f t="shared" si="92"/>
        <v>0</v>
      </c>
    </row>
    <row r="2948" spans="1:17" x14ac:dyDescent="0.3">
      <c r="A2948" s="366" t="str">
        <f>IFERROR(VLOOKUP(RIGHT(E2948,3)+0,[1]SchLocTable!$A$2:$B$47,2,FALSE)," ")</f>
        <v>Winthrop</v>
      </c>
      <c r="B2948" s="366" t="str">
        <f>VLOOKUP(VALUE(D2948),$D$3:F$106,3,FALSE)</f>
        <v>Psychologists</v>
      </c>
      <c r="C2948" t="s">
        <v>314</v>
      </c>
      <c r="D2948">
        <v>854</v>
      </c>
      <c r="E2948" t="s">
        <v>985</v>
      </c>
      <c r="F2948" t="s">
        <v>316</v>
      </c>
      <c r="G2948">
        <v>0.6</v>
      </c>
      <c r="H2948" s="502">
        <v>51000</v>
      </c>
      <c r="I2948" s="415">
        <v>59374.206059999997</v>
      </c>
      <c r="J2948" s="415">
        <v>56493</v>
      </c>
      <c r="K2948" s="415">
        <v>53871.51</v>
      </c>
      <c r="L2948" s="415">
        <v>49864.1</v>
      </c>
      <c r="M2948" s="415">
        <v>46219.16</v>
      </c>
      <c r="N2948" s="415">
        <v>43651.92</v>
      </c>
      <c r="O2948" s="415">
        <v>41083.9</v>
      </c>
      <c r="P2948" s="415">
        <v>0</v>
      </c>
      <c r="Q2948" s="481">
        <f t="shared" si="92"/>
        <v>-2881.2060599999968</v>
      </c>
    </row>
    <row r="2949" spans="1:17" x14ac:dyDescent="0.3">
      <c r="A2949" s="366" t="str">
        <f>IFERROR(VLOOKUP(RIGHT(E2949,3)+0,[1]SchLocTable!$A$2:$B$47,2,FALSE)," ")</f>
        <v>Winthrop</v>
      </c>
      <c r="B2949" s="366" t="str">
        <f>VLOOKUP(VALUE(D2949),$D$3:F$106,3,FALSE)</f>
        <v>Psychologists</v>
      </c>
      <c r="C2949" t="s">
        <v>314</v>
      </c>
      <c r="D2949">
        <v>854</v>
      </c>
      <c r="E2949" t="s">
        <v>985</v>
      </c>
      <c r="F2949" t="s">
        <v>334</v>
      </c>
      <c r="G2949" t="s">
        <v>319</v>
      </c>
      <c r="H2949" s="502">
        <v>51400</v>
      </c>
      <c r="I2949" s="415">
        <v>0</v>
      </c>
      <c r="J2949" s="415">
        <v>0</v>
      </c>
      <c r="K2949" s="415">
        <v>1292</v>
      </c>
      <c r="L2949" s="415">
        <v>0</v>
      </c>
      <c r="M2949" s="415">
        <v>0</v>
      </c>
      <c r="N2949" s="415">
        <v>0</v>
      </c>
      <c r="O2949" s="415">
        <v>0</v>
      </c>
      <c r="P2949" s="415">
        <v>0</v>
      </c>
      <c r="Q2949" s="481">
        <f t="shared" si="92"/>
        <v>0</v>
      </c>
    </row>
    <row r="2950" spans="1:17" x14ac:dyDescent="0.3">
      <c r="A2950" s="366" t="str">
        <f>IFERROR(VLOOKUP(RIGHT(E2950,3)+0,[1]SchLocTable!$A$2:$B$47,2,FALSE)," ")</f>
        <v>Winthrop</v>
      </c>
      <c r="B2950" s="366" t="str">
        <f>VLOOKUP(VALUE(D2950),$D$3:F$106,3,FALSE)</f>
        <v>Psychologists</v>
      </c>
      <c r="C2950" t="s">
        <v>314</v>
      </c>
      <c r="D2950">
        <v>854</v>
      </c>
      <c r="E2950" t="s">
        <v>985</v>
      </c>
      <c r="F2950" t="s">
        <v>321</v>
      </c>
      <c r="G2950" t="s">
        <v>319</v>
      </c>
      <c r="H2950" s="502">
        <v>52917</v>
      </c>
      <c r="I2950" s="415">
        <v>46330.955999999998</v>
      </c>
      <c r="J2950" s="415">
        <v>856.17</v>
      </c>
      <c r="K2950" s="415">
        <v>878.64</v>
      </c>
      <c r="L2950" s="415">
        <v>959.49</v>
      </c>
      <c r="M2950" s="415">
        <v>856.17</v>
      </c>
      <c r="N2950" s="415">
        <v>959.49</v>
      </c>
      <c r="O2950" s="415">
        <v>847.98</v>
      </c>
      <c r="P2950" s="415">
        <v>0</v>
      </c>
      <c r="Q2950" s="481">
        <f t="shared" si="92"/>
        <v>-45474.786</v>
      </c>
    </row>
    <row r="2951" spans="1:17" x14ac:dyDescent="0.3">
      <c r="A2951" s="366" t="str">
        <f>IFERROR(VLOOKUP(RIGHT(E2951,3)+0,[1]SchLocTable!$A$2:$B$47,2,FALSE)," ")</f>
        <v>Winthrop</v>
      </c>
      <c r="B2951" s="366" t="str">
        <f>VLOOKUP(VALUE(D2951),$D$3:F$106,3,FALSE)</f>
        <v>Psychologists</v>
      </c>
      <c r="C2951" t="s">
        <v>314</v>
      </c>
      <c r="D2951">
        <v>854</v>
      </c>
      <c r="E2951" t="s">
        <v>985</v>
      </c>
      <c r="F2951" t="s">
        <v>318</v>
      </c>
      <c r="G2951" t="s">
        <v>319</v>
      </c>
      <c r="H2951" s="502">
        <v>51140</v>
      </c>
      <c r="I2951" s="415">
        <v>540</v>
      </c>
      <c r="J2951" s="415">
        <v>0</v>
      </c>
      <c r="K2951" s="415">
        <v>0</v>
      </c>
      <c r="L2951" s="415">
        <v>0</v>
      </c>
      <c r="M2951" s="415">
        <v>0</v>
      </c>
      <c r="N2951" s="415">
        <v>0</v>
      </c>
      <c r="O2951" s="415">
        <v>0</v>
      </c>
      <c r="P2951" s="415">
        <v>0</v>
      </c>
      <c r="Q2951" s="481">
        <f t="shared" si="92"/>
        <v>-540</v>
      </c>
    </row>
    <row r="2952" spans="1:17" x14ac:dyDescent="0.3">
      <c r="A2952" s="366" t="str">
        <f>IFERROR(VLOOKUP(RIGHT(E2952,3)+0,[1]SchLocTable!$A$2:$B$47,2,FALSE)," ")</f>
        <v>Winthrop</v>
      </c>
      <c r="B2952" s="366" t="str">
        <f>VLOOKUP(VALUE(D2952),$D$3:F$106,3,FALSE)</f>
        <v>Psychologists</v>
      </c>
      <c r="C2952" t="s">
        <v>314</v>
      </c>
      <c r="D2952">
        <v>854</v>
      </c>
      <c r="E2952" t="s">
        <v>985</v>
      </c>
      <c r="F2952" t="s">
        <v>320</v>
      </c>
      <c r="G2952" t="s">
        <v>319</v>
      </c>
      <c r="H2952" s="502">
        <v>52360</v>
      </c>
      <c r="I2952" s="415">
        <v>860.92598786999997</v>
      </c>
      <c r="J2952" s="415">
        <v>818.81</v>
      </c>
      <c r="K2952" s="415">
        <v>797.53</v>
      </c>
      <c r="L2952" s="415">
        <v>720.58</v>
      </c>
      <c r="M2952" s="415">
        <v>667.99</v>
      </c>
      <c r="N2952" s="415">
        <v>630.49</v>
      </c>
      <c r="O2952" s="415">
        <v>593.54999999999995</v>
      </c>
      <c r="P2952" s="415">
        <v>0</v>
      </c>
      <c r="Q2952" s="481">
        <f t="shared" si="92"/>
        <v>-42.115987870000026</v>
      </c>
    </row>
    <row r="2953" spans="1:17" x14ac:dyDescent="0.3">
      <c r="A2953" s="366" t="str">
        <f>IFERROR(VLOOKUP(RIGHT(E2953,3)+0,[1]SchLocTable!$A$2:$B$47,2,FALSE)," ")</f>
        <v>Blackham</v>
      </c>
      <c r="B2953" s="366" t="str">
        <f>VLOOKUP(VALUE(D2953),$D$3:F$106,3,FALSE)</f>
        <v>Psychologists</v>
      </c>
      <c r="C2953" t="s">
        <v>314</v>
      </c>
      <c r="D2953">
        <v>854</v>
      </c>
      <c r="E2953" t="s">
        <v>986</v>
      </c>
      <c r="F2953" t="s">
        <v>316</v>
      </c>
      <c r="G2953">
        <v>1</v>
      </c>
      <c r="H2953" s="502">
        <v>51000</v>
      </c>
      <c r="I2953" s="415">
        <v>110428.46490000001</v>
      </c>
      <c r="J2953" s="415">
        <v>105070</v>
      </c>
      <c r="K2953" s="415">
        <v>102757.98</v>
      </c>
      <c r="L2953" s="415">
        <v>100497.02</v>
      </c>
      <c r="M2953" s="415">
        <v>99011.9</v>
      </c>
      <c r="N2953" s="415">
        <v>97548.88</v>
      </c>
      <c r="O2953" s="415">
        <v>96106.92</v>
      </c>
      <c r="P2953" s="415">
        <v>94593.98</v>
      </c>
      <c r="Q2953" s="481">
        <f t="shared" si="92"/>
        <v>-5358.4649000000063</v>
      </c>
    </row>
    <row r="2954" spans="1:17" x14ac:dyDescent="0.3">
      <c r="A2954" s="366" t="str">
        <f>IFERROR(VLOOKUP(RIGHT(E2954,3)+0,[1]SchLocTable!$A$2:$B$47,2,FALSE)," ")</f>
        <v>Blackham</v>
      </c>
      <c r="B2954" s="366" t="str">
        <f>VLOOKUP(VALUE(D2954),$D$3:F$106,3,FALSE)</f>
        <v>Psychologists</v>
      </c>
      <c r="C2954" t="s">
        <v>314</v>
      </c>
      <c r="D2954">
        <v>854</v>
      </c>
      <c r="E2954" t="s">
        <v>986</v>
      </c>
      <c r="F2954" t="s">
        <v>334</v>
      </c>
      <c r="G2954" t="s">
        <v>319</v>
      </c>
      <c r="H2954" s="502">
        <v>51400</v>
      </c>
      <c r="I2954" s="415">
        <v>0</v>
      </c>
      <c r="J2954" s="415">
        <v>0</v>
      </c>
      <c r="K2954" s="415">
        <v>7509.56</v>
      </c>
      <c r="L2954" s="415">
        <v>7317.18</v>
      </c>
      <c r="M2954" s="415">
        <v>8352.6200000000008</v>
      </c>
      <c r="N2954" s="415">
        <v>5852.95</v>
      </c>
      <c r="O2954" s="415">
        <v>5766.4</v>
      </c>
      <c r="P2954" s="415">
        <v>3405.36</v>
      </c>
      <c r="Q2954" s="481">
        <f t="shared" si="92"/>
        <v>0</v>
      </c>
    </row>
    <row r="2955" spans="1:17" x14ac:dyDescent="0.3">
      <c r="A2955" s="366" t="str">
        <f>IFERROR(VLOOKUP(RIGHT(E2955,3)+0,[1]SchLocTable!$A$2:$B$47,2,FALSE)," ")</f>
        <v>Blackham</v>
      </c>
      <c r="B2955" s="366" t="str">
        <f>VLOOKUP(VALUE(D2955),$D$3:F$106,3,FALSE)</f>
        <v>Psychologists</v>
      </c>
      <c r="C2955" t="s">
        <v>314</v>
      </c>
      <c r="D2955">
        <v>854</v>
      </c>
      <c r="E2955" t="s">
        <v>986</v>
      </c>
      <c r="F2955" t="s">
        <v>321</v>
      </c>
      <c r="G2955" t="s">
        <v>319</v>
      </c>
      <c r="H2955" s="502">
        <v>52917</v>
      </c>
      <c r="I2955" s="415">
        <v>46330.955999999998</v>
      </c>
      <c r="J2955" s="415">
        <v>38609.129999999997</v>
      </c>
      <c r="K2955" s="415">
        <v>35075.879999999997</v>
      </c>
      <c r="L2955" s="415">
        <v>34606.949999999997</v>
      </c>
      <c r="M2955" s="415">
        <v>32449.200000000001</v>
      </c>
      <c r="N2955" s="415">
        <v>30308.67</v>
      </c>
      <c r="O2955" s="415">
        <v>29077.5</v>
      </c>
      <c r="P2955" s="415">
        <v>27385.05</v>
      </c>
      <c r="Q2955" s="481">
        <f t="shared" si="92"/>
        <v>-7721.8260000000009</v>
      </c>
    </row>
    <row r="2956" spans="1:17" x14ac:dyDescent="0.3">
      <c r="A2956" s="366" t="str">
        <f>IFERROR(VLOOKUP(RIGHT(E2956,3)+0,[1]SchLocTable!$A$2:$B$47,2,FALSE)," ")</f>
        <v>Blackham</v>
      </c>
      <c r="B2956" s="366" t="str">
        <f>VLOOKUP(VALUE(D2956),$D$3:F$106,3,FALSE)</f>
        <v>Psychologists</v>
      </c>
      <c r="C2956" t="s">
        <v>314</v>
      </c>
      <c r="D2956">
        <v>854</v>
      </c>
      <c r="E2956" t="s">
        <v>986</v>
      </c>
      <c r="F2956" t="s">
        <v>318</v>
      </c>
      <c r="G2956" t="s">
        <v>319</v>
      </c>
      <c r="H2956" s="502">
        <v>51140</v>
      </c>
      <c r="I2956" s="415">
        <v>1100</v>
      </c>
      <c r="J2956" s="415">
        <v>0</v>
      </c>
      <c r="K2956" s="415">
        <v>1100</v>
      </c>
      <c r="L2956" s="415">
        <v>900</v>
      </c>
      <c r="M2956" s="415">
        <v>900</v>
      </c>
      <c r="N2956" s="415">
        <v>900</v>
      </c>
      <c r="O2956" s="415">
        <v>900</v>
      </c>
      <c r="P2956" s="415">
        <v>900</v>
      </c>
      <c r="Q2956" s="481">
        <f t="shared" si="92"/>
        <v>-1100</v>
      </c>
    </row>
    <row r="2957" spans="1:17" x14ac:dyDescent="0.3">
      <c r="A2957" s="366" t="str">
        <f>IFERROR(VLOOKUP(RIGHT(E2957,3)+0,[1]SchLocTable!$A$2:$B$47,2,FALSE)," ")</f>
        <v>Blackham</v>
      </c>
      <c r="B2957" s="366" t="str">
        <f>VLOOKUP(VALUE(D2957),$D$3:F$106,3,FALSE)</f>
        <v>Psychologists</v>
      </c>
      <c r="C2957" t="s">
        <v>314</v>
      </c>
      <c r="D2957">
        <v>854</v>
      </c>
      <c r="E2957" t="s">
        <v>986</v>
      </c>
      <c r="F2957" t="s">
        <v>320</v>
      </c>
      <c r="G2957" t="s">
        <v>319</v>
      </c>
      <c r="H2957" s="502">
        <v>52360</v>
      </c>
      <c r="I2957" s="415">
        <v>1601.2127410500002</v>
      </c>
      <c r="J2957" s="415">
        <v>1330</v>
      </c>
      <c r="K2957" s="415">
        <v>1465.11</v>
      </c>
      <c r="L2957" s="415">
        <v>1433.05</v>
      </c>
      <c r="M2957" s="415">
        <v>1439.1</v>
      </c>
      <c r="N2957" s="415">
        <v>1394.04</v>
      </c>
      <c r="O2957" s="415">
        <v>1379.79</v>
      </c>
      <c r="P2957" s="415">
        <v>1331.5</v>
      </c>
      <c r="Q2957" s="481">
        <f t="shared" si="92"/>
        <v>-271.2127410500002</v>
      </c>
    </row>
    <row r="2958" spans="1:17" x14ac:dyDescent="0.3">
      <c r="A2958" s="366" t="str">
        <f>IFERROR(VLOOKUP(RIGHT(E2958,3)+0,[1]SchLocTable!$A$2:$B$47,2,FALSE)," ")</f>
        <v>Skane</v>
      </c>
      <c r="B2958" s="366" t="str">
        <f>VLOOKUP(VALUE(D2958),$D$3:F$106,3,FALSE)</f>
        <v>Psychologists</v>
      </c>
      <c r="C2958" t="s">
        <v>314</v>
      </c>
      <c r="D2958">
        <v>854</v>
      </c>
      <c r="E2958" t="s">
        <v>987</v>
      </c>
      <c r="F2958" t="s">
        <v>316</v>
      </c>
      <c r="G2958">
        <v>1</v>
      </c>
      <c r="H2958" s="502">
        <v>51000</v>
      </c>
      <c r="I2958" s="415">
        <v>110428.46490000001</v>
      </c>
      <c r="J2958" s="415">
        <v>105070</v>
      </c>
      <c r="K2958" s="415">
        <v>102757.98</v>
      </c>
      <c r="L2958" s="415">
        <v>160410.9</v>
      </c>
      <c r="M2958" s="415">
        <v>155929.79999999999</v>
      </c>
      <c r="N2958" s="415">
        <v>97548.88</v>
      </c>
      <c r="O2958" s="415">
        <v>96106.92</v>
      </c>
      <c r="P2958" s="415">
        <v>189187.96</v>
      </c>
      <c r="Q2958" s="481">
        <f t="shared" si="92"/>
        <v>-5358.4649000000063</v>
      </c>
    </row>
    <row r="2959" spans="1:17" x14ac:dyDescent="0.3">
      <c r="A2959" s="366" t="str">
        <f>IFERROR(VLOOKUP(RIGHT(E2959,3)+0,[1]SchLocTable!$A$2:$B$47,2,FALSE)," ")</f>
        <v>Skane</v>
      </c>
      <c r="B2959" s="366" t="str">
        <f>VLOOKUP(VALUE(D2959),$D$3:F$106,3,FALSE)</f>
        <v>Psychologists</v>
      </c>
      <c r="C2959" t="s">
        <v>314</v>
      </c>
      <c r="D2959">
        <v>854</v>
      </c>
      <c r="E2959" t="s">
        <v>987</v>
      </c>
      <c r="F2959" t="s">
        <v>334</v>
      </c>
      <c r="G2959" t="s">
        <v>319</v>
      </c>
      <c r="H2959" s="502">
        <v>51400</v>
      </c>
      <c r="I2959" s="415">
        <v>0</v>
      </c>
      <c r="J2959" s="415">
        <v>0</v>
      </c>
      <c r="K2959" s="415">
        <v>6304.2</v>
      </c>
      <c r="L2959" s="415">
        <v>7775.9</v>
      </c>
      <c r="M2959" s="415">
        <v>7559.8</v>
      </c>
      <c r="N2959" s="415">
        <v>5940.7</v>
      </c>
      <c r="O2959" s="415">
        <v>5852.9</v>
      </c>
      <c r="P2959" s="415">
        <v>17117.650000000001</v>
      </c>
      <c r="Q2959" s="481">
        <f t="shared" si="92"/>
        <v>0</v>
      </c>
    </row>
    <row r="2960" spans="1:17" x14ac:dyDescent="0.3">
      <c r="A2960" s="366" t="str">
        <f>IFERROR(VLOOKUP(RIGHT(E2960,3)+0,[1]SchLocTable!$A$2:$B$47,2,FALSE)," ")</f>
        <v>Skane</v>
      </c>
      <c r="B2960" s="366" t="str">
        <f>VLOOKUP(VALUE(D2960),$D$3:F$106,3,FALSE)</f>
        <v>Psychologists</v>
      </c>
      <c r="C2960" t="s">
        <v>314</v>
      </c>
      <c r="D2960">
        <v>854</v>
      </c>
      <c r="E2960" t="s">
        <v>987</v>
      </c>
      <c r="F2960" t="s">
        <v>321</v>
      </c>
      <c r="G2960" t="s">
        <v>319</v>
      </c>
      <c r="H2960" s="502">
        <v>52917</v>
      </c>
      <c r="I2960" s="415">
        <v>46330.955999999998</v>
      </c>
      <c r="J2960" s="415">
        <v>38609.129999999997</v>
      </c>
      <c r="K2960" s="415">
        <v>35075.879999999997</v>
      </c>
      <c r="L2960" s="415">
        <v>46156.95</v>
      </c>
      <c r="M2960" s="415">
        <v>32967.75</v>
      </c>
      <c r="N2960" s="415">
        <v>30308.67</v>
      </c>
      <c r="O2960" s="415">
        <v>29077.5</v>
      </c>
      <c r="P2960" s="415">
        <v>36630.720000000001</v>
      </c>
      <c r="Q2960" s="481">
        <f t="shared" si="92"/>
        <v>-7721.8260000000009</v>
      </c>
    </row>
    <row r="2961" spans="1:17" x14ac:dyDescent="0.3">
      <c r="A2961" s="366" t="str">
        <f>IFERROR(VLOOKUP(RIGHT(E2961,3)+0,[1]SchLocTable!$A$2:$B$47,2,FALSE)," ")</f>
        <v>Skane</v>
      </c>
      <c r="B2961" s="366" t="str">
        <f>VLOOKUP(VALUE(D2961),$D$3:F$106,3,FALSE)</f>
        <v>Psychologists</v>
      </c>
      <c r="C2961" t="s">
        <v>314</v>
      </c>
      <c r="D2961">
        <v>854</v>
      </c>
      <c r="E2961" t="s">
        <v>987</v>
      </c>
      <c r="F2961" t="s">
        <v>318</v>
      </c>
      <c r="G2961" t="s">
        <v>319</v>
      </c>
      <c r="H2961" s="502">
        <v>51140</v>
      </c>
      <c r="I2961" s="415">
        <v>1100</v>
      </c>
      <c r="J2961" s="415">
        <v>0</v>
      </c>
      <c r="K2961" s="415">
        <v>1100</v>
      </c>
      <c r="L2961" s="415">
        <v>900</v>
      </c>
      <c r="M2961" s="415">
        <v>900</v>
      </c>
      <c r="N2961" s="415">
        <v>900</v>
      </c>
      <c r="O2961" s="415">
        <v>900</v>
      </c>
      <c r="P2961" s="415">
        <v>3500</v>
      </c>
      <c r="Q2961" s="481">
        <f t="shared" si="92"/>
        <v>-1100</v>
      </c>
    </row>
    <row r="2962" spans="1:17" x14ac:dyDescent="0.3">
      <c r="A2962" s="366" t="str">
        <f>IFERROR(VLOOKUP(RIGHT(E2962,3)+0,[1]SchLocTable!$A$2:$B$47,2,FALSE)," ")</f>
        <v>Skane</v>
      </c>
      <c r="B2962" s="366" t="str">
        <f>VLOOKUP(VALUE(D2962),$D$3:F$106,3,FALSE)</f>
        <v>Psychologists</v>
      </c>
      <c r="C2962" t="s">
        <v>314</v>
      </c>
      <c r="D2962">
        <v>854</v>
      </c>
      <c r="E2962" t="s">
        <v>987</v>
      </c>
      <c r="F2962" t="s">
        <v>320</v>
      </c>
      <c r="G2962" t="s">
        <v>319</v>
      </c>
      <c r="H2962" s="502">
        <v>52360</v>
      </c>
      <c r="I2962" s="415">
        <v>1601.2127410500002</v>
      </c>
      <c r="J2962" s="415">
        <v>1330</v>
      </c>
      <c r="K2962" s="415">
        <v>1447.65</v>
      </c>
      <c r="L2962" s="415">
        <v>2260.4</v>
      </c>
      <c r="M2962" s="415">
        <v>2250.8200000000002</v>
      </c>
      <c r="N2962" s="415">
        <v>1395.33</v>
      </c>
      <c r="O2962" s="415">
        <v>1381.03</v>
      </c>
      <c r="P2962" s="415">
        <v>3069.94</v>
      </c>
      <c r="Q2962" s="481">
        <f t="shared" si="92"/>
        <v>-271.2127410500002</v>
      </c>
    </row>
    <row r="2963" spans="1:17" x14ac:dyDescent="0.3">
      <c r="A2963" s="366" t="str">
        <f>IFERROR(VLOOKUP(RIGHT(E2963,3)+0,[1]SchLocTable!$A$2:$B$47,2,FALSE)," ")</f>
        <v>Bassick HS</v>
      </c>
      <c r="B2963" s="366" t="str">
        <f>VLOOKUP(VALUE(D2963),$D$3:F$106,3,FALSE)</f>
        <v>Psychologists</v>
      </c>
      <c r="C2963" t="s">
        <v>314</v>
      </c>
      <c r="D2963">
        <v>854</v>
      </c>
      <c r="E2963" t="s">
        <v>988</v>
      </c>
      <c r="F2963" t="s">
        <v>316</v>
      </c>
      <c r="G2963">
        <v>1</v>
      </c>
      <c r="H2963" s="502">
        <v>51000</v>
      </c>
      <c r="I2963" s="415">
        <v>72684.973919999989</v>
      </c>
      <c r="J2963" s="415">
        <v>69158</v>
      </c>
      <c r="K2963" s="415">
        <v>64835.94</v>
      </c>
      <c r="L2963" s="415">
        <v>59913.88</v>
      </c>
      <c r="M2963" s="415">
        <v>56917.9</v>
      </c>
      <c r="N2963" s="415">
        <v>71648.69</v>
      </c>
      <c r="O2963" s="415">
        <v>96106.92</v>
      </c>
      <c r="P2963" s="415">
        <v>94594.08</v>
      </c>
      <c r="Q2963" s="481">
        <f t="shared" si="92"/>
        <v>-3526.9739199999894</v>
      </c>
    </row>
    <row r="2964" spans="1:17" x14ac:dyDescent="0.3">
      <c r="A2964" s="366" t="str">
        <f>IFERROR(VLOOKUP(RIGHT(E2964,3)+0,[1]SchLocTable!$A$2:$B$47,2,FALSE)," ")</f>
        <v>Bassick HS</v>
      </c>
      <c r="B2964" s="366" t="str">
        <f>VLOOKUP(VALUE(D2964),$D$3:F$106,3,FALSE)</f>
        <v>Psychologists</v>
      </c>
      <c r="C2964" t="s">
        <v>314</v>
      </c>
      <c r="D2964">
        <v>854</v>
      </c>
      <c r="E2964" t="s">
        <v>988</v>
      </c>
      <c r="F2964" t="s">
        <v>334</v>
      </c>
      <c r="G2964" t="s">
        <v>319</v>
      </c>
      <c r="H2964" s="502">
        <v>51400</v>
      </c>
      <c r="I2964" s="415">
        <v>0</v>
      </c>
      <c r="J2964" s="415">
        <v>0</v>
      </c>
      <c r="K2964" s="415">
        <v>3229.8</v>
      </c>
      <c r="L2964" s="415">
        <v>0</v>
      </c>
      <c r="M2964" s="415">
        <v>3091.98</v>
      </c>
      <c r="N2964" s="415">
        <v>2306.58</v>
      </c>
      <c r="O2964" s="415">
        <v>3459.84</v>
      </c>
      <c r="P2964" s="415">
        <v>2270</v>
      </c>
      <c r="Q2964" s="481">
        <f t="shared" si="92"/>
        <v>0</v>
      </c>
    </row>
    <row r="2965" spans="1:17" x14ac:dyDescent="0.3">
      <c r="A2965" s="366" t="str">
        <f>IFERROR(VLOOKUP(RIGHT(E2965,3)+0,[1]SchLocTable!$A$2:$B$47,2,FALSE)," ")</f>
        <v>Bassick HS</v>
      </c>
      <c r="B2965" s="366" t="str">
        <f>VLOOKUP(VALUE(D2965),$D$3:F$106,3,FALSE)</f>
        <v>Psychologists</v>
      </c>
      <c r="C2965" t="s">
        <v>314</v>
      </c>
      <c r="D2965">
        <v>854</v>
      </c>
      <c r="E2965" t="s">
        <v>988</v>
      </c>
      <c r="F2965" t="s">
        <v>321</v>
      </c>
      <c r="G2965" t="s">
        <v>319</v>
      </c>
      <c r="H2965" s="502">
        <v>52917</v>
      </c>
      <c r="I2965" s="415">
        <v>15644.663999999999</v>
      </c>
      <c r="J2965" s="415">
        <v>13037.22</v>
      </c>
      <c r="K2965" s="415">
        <v>11844</v>
      </c>
      <c r="L2965" s="415">
        <v>11629.17</v>
      </c>
      <c r="M2965" s="415">
        <v>10952.55</v>
      </c>
      <c r="N2965" s="415">
        <v>15465.68</v>
      </c>
      <c r="O2965" s="415">
        <v>29077.5</v>
      </c>
      <c r="P2965" s="415">
        <v>27385.05</v>
      </c>
      <c r="Q2965" s="481">
        <f t="shared" si="92"/>
        <v>-2607.4439999999995</v>
      </c>
    </row>
    <row r="2966" spans="1:17" x14ac:dyDescent="0.3">
      <c r="A2966" s="366" t="str">
        <f>IFERROR(VLOOKUP(RIGHT(E2966,3)+0,[1]SchLocTable!$A$2:$B$47,2,FALSE)," ")</f>
        <v>Bassick HS</v>
      </c>
      <c r="B2966" s="366" t="str">
        <f>VLOOKUP(VALUE(D2966),$D$3:F$106,3,FALSE)</f>
        <v>Psychologists</v>
      </c>
      <c r="C2966" t="s">
        <v>314</v>
      </c>
      <c r="D2966">
        <v>854</v>
      </c>
      <c r="E2966" t="s">
        <v>988</v>
      </c>
      <c r="F2966" t="s">
        <v>320</v>
      </c>
      <c r="G2966" t="s">
        <v>319</v>
      </c>
      <c r="H2966" s="502">
        <v>52360</v>
      </c>
      <c r="I2966" s="415">
        <v>1053.9321218399998</v>
      </c>
      <c r="J2966" s="415">
        <v>932</v>
      </c>
      <c r="K2966" s="415">
        <v>936.39</v>
      </c>
      <c r="L2966" s="415">
        <v>818.77</v>
      </c>
      <c r="M2966" s="415">
        <v>825.99</v>
      </c>
      <c r="N2966" s="415">
        <v>1011.89</v>
      </c>
      <c r="O2966" s="415">
        <v>1333.3</v>
      </c>
      <c r="P2966" s="415">
        <v>1301.99</v>
      </c>
      <c r="Q2966" s="481">
        <f t="shared" si="92"/>
        <v>-121.93212183999981</v>
      </c>
    </row>
    <row r="2967" spans="1:17" x14ac:dyDescent="0.3">
      <c r="A2967" s="366" t="str">
        <f>IFERROR(VLOOKUP(RIGHT(E2967,3)+0,[1]SchLocTable!$A$2:$B$47,2,FALSE)," ")</f>
        <v>Central HS</v>
      </c>
      <c r="B2967" s="366" t="str">
        <f>VLOOKUP(VALUE(D2967),$D$3:F$106,3,FALSE)</f>
        <v>Psychologists</v>
      </c>
      <c r="C2967" t="s">
        <v>314</v>
      </c>
      <c r="D2967">
        <v>854</v>
      </c>
      <c r="E2967" t="s">
        <v>989</v>
      </c>
      <c r="F2967" t="s">
        <v>316</v>
      </c>
      <c r="G2967">
        <v>1</v>
      </c>
      <c r="H2967" s="502">
        <v>51000</v>
      </c>
      <c r="I2967" s="415">
        <v>110428.49642999998</v>
      </c>
      <c r="J2967" s="415">
        <v>105070</v>
      </c>
      <c r="K2967" s="415">
        <v>102758.04</v>
      </c>
      <c r="L2967" s="415">
        <v>97249.04</v>
      </c>
      <c r="M2967" s="415">
        <v>93222.99</v>
      </c>
      <c r="N2967" s="415">
        <v>88896.99</v>
      </c>
      <c r="O2967" s="415">
        <v>83107.08</v>
      </c>
      <c r="P2967" s="415">
        <v>81797.94</v>
      </c>
      <c r="Q2967" s="481">
        <f t="shared" si="92"/>
        <v>-5358.4964299999847</v>
      </c>
    </row>
    <row r="2968" spans="1:17" x14ac:dyDescent="0.3">
      <c r="A2968" s="366" t="str">
        <f>IFERROR(VLOOKUP(RIGHT(E2968,3)+0,[1]SchLocTable!$A$2:$B$47,2,FALSE)," ")</f>
        <v>Central HS</v>
      </c>
      <c r="B2968" s="366" t="str">
        <f>VLOOKUP(VALUE(D2968),$D$3:F$106,3,FALSE)</f>
        <v>Psychologists</v>
      </c>
      <c r="C2968" t="s">
        <v>314</v>
      </c>
      <c r="D2968">
        <v>854</v>
      </c>
      <c r="E2968" t="s">
        <v>989</v>
      </c>
      <c r="F2968" t="s">
        <v>334</v>
      </c>
      <c r="G2968" t="s">
        <v>319</v>
      </c>
      <c r="H2968" s="502">
        <v>51400</v>
      </c>
      <c r="I2968" s="415">
        <v>0</v>
      </c>
      <c r="J2968" s="415">
        <v>0</v>
      </c>
      <c r="K2968" s="415">
        <v>0</v>
      </c>
      <c r="L2968" s="415">
        <v>1205.96</v>
      </c>
      <c r="M2968" s="415">
        <v>5942.52</v>
      </c>
      <c r="N2968" s="415">
        <v>5541.48</v>
      </c>
      <c r="O2968" s="415">
        <v>9253.44</v>
      </c>
      <c r="P2968" s="415">
        <v>0</v>
      </c>
      <c r="Q2968" s="481">
        <f t="shared" si="92"/>
        <v>0</v>
      </c>
    </row>
    <row r="2969" spans="1:17" x14ac:dyDescent="0.3">
      <c r="A2969" s="366" t="str">
        <f>IFERROR(VLOOKUP(RIGHT(E2969,3)+0,[1]SchLocTable!$A$2:$B$47,2,FALSE)," ")</f>
        <v>Central HS</v>
      </c>
      <c r="B2969" s="366" t="str">
        <f>VLOOKUP(VALUE(D2969),$D$3:F$106,3,FALSE)</f>
        <v>Psychologists</v>
      </c>
      <c r="C2969" t="s">
        <v>314</v>
      </c>
      <c r="D2969">
        <v>854</v>
      </c>
      <c r="E2969" t="s">
        <v>989</v>
      </c>
      <c r="F2969" t="s">
        <v>321</v>
      </c>
      <c r="G2969" t="s">
        <v>319</v>
      </c>
      <c r="H2969" s="502">
        <v>52917</v>
      </c>
      <c r="I2969" s="415">
        <v>0</v>
      </c>
      <c r="J2969" s="415">
        <v>0</v>
      </c>
      <c r="K2969" s="415">
        <v>0</v>
      </c>
      <c r="L2969" s="415">
        <v>20054.55</v>
      </c>
      <c r="M2969" s="415">
        <v>26335.47</v>
      </c>
      <c r="N2969" s="415">
        <v>24562.23</v>
      </c>
      <c r="O2969" s="415">
        <v>847.98</v>
      </c>
      <c r="P2969" s="415">
        <v>896.07</v>
      </c>
      <c r="Q2969" s="481">
        <f t="shared" si="92"/>
        <v>0</v>
      </c>
    </row>
    <row r="2970" spans="1:17" x14ac:dyDescent="0.3">
      <c r="A2970" s="366" t="str">
        <f>IFERROR(VLOOKUP(RIGHT(E2970,3)+0,[1]SchLocTable!$A$2:$B$47,2,FALSE)," ")</f>
        <v>Central HS</v>
      </c>
      <c r="B2970" s="366" t="str">
        <f>VLOOKUP(VALUE(D2970),$D$3:F$106,3,FALSE)</f>
        <v>Psychologists</v>
      </c>
      <c r="C2970" t="s">
        <v>314</v>
      </c>
      <c r="D2970">
        <v>854</v>
      </c>
      <c r="E2970" t="s">
        <v>989</v>
      </c>
      <c r="F2970" t="s">
        <v>320</v>
      </c>
      <c r="G2970" t="s">
        <v>319</v>
      </c>
      <c r="H2970" s="502">
        <v>52360</v>
      </c>
      <c r="I2970" s="415">
        <v>1601.2131982349999</v>
      </c>
      <c r="J2970" s="415">
        <v>1524</v>
      </c>
      <c r="K2970" s="415">
        <v>1482.06</v>
      </c>
      <c r="L2970" s="415">
        <v>1354.77</v>
      </c>
      <c r="M2970" s="415">
        <v>1335.13</v>
      </c>
      <c r="N2970" s="415">
        <v>1276.07</v>
      </c>
      <c r="O2970" s="415">
        <v>1340.68</v>
      </c>
      <c r="P2970" s="415">
        <v>1184.6300000000001</v>
      </c>
      <c r="Q2970" s="481">
        <f t="shared" si="92"/>
        <v>-77.213198234999936</v>
      </c>
    </row>
    <row r="2971" spans="1:17" x14ac:dyDescent="0.3">
      <c r="A2971" s="366" t="str">
        <f>IFERROR(VLOOKUP(RIGHT(E2971,3)+0,[1]SchLocTable!$A$2:$B$47,2,FALSE)," ")</f>
        <v>Central HS</v>
      </c>
      <c r="B2971" s="366" t="str">
        <f>VLOOKUP(VALUE(D2971),$D$3:F$106,3,FALSE)</f>
        <v>Psychologists</v>
      </c>
      <c r="C2971" t="s">
        <v>314</v>
      </c>
      <c r="D2971">
        <v>854</v>
      </c>
      <c r="E2971" t="s">
        <v>989</v>
      </c>
      <c r="F2971" t="s">
        <v>560</v>
      </c>
      <c r="G2971" t="s">
        <v>319</v>
      </c>
      <c r="H2971" s="502">
        <v>51404</v>
      </c>
      <c r="I2971" s="415">
        <v>0</v>
      </c>
      <c r="J2971" s="415">
        <v>0</v>
      </c>
      <c r="K2971" s="415">
        <v>0</v>
      </c>
      <c r="L2971" s="415">
        <v>175</v>
      </c>
      <c r="M2971" s="415">
        <v>250</v>
      </c>
      <c r="N2971" s="415">
        <v>200</v>
      </c>
      <c r="O2971" s="415">
        <v>250</v>
      </c>
      <c r="P2971" s="415">
        <v>0</v>
      </c>
      <c r="Q2971" s="481">
        <f t="shared" si="92"/>
        <v>0</v>
      </c>
    </row>
    <row r="2972" spans="1:17" x14ac:dyDescent="0.3">
      <c r="A2972" s="366" t="str">
        <f>IFERROR(VLOOKUP(RIGHT(E2972,3)+0,[1]SchLocTable!$A$2:$B$47,2,FALSE)," ")</f>
        <v>FCW campus</v>
      </c>
      <c r="B2972" s="366" t="str">
        <f>VLOOKUP(VALUE(D2972),$D$3:F$106,3,FALSE)</f>
        <v>Psychologists</v>
      </c>
      <c r="C2972" t="s">
        <v>314</v>
      </c>
      <c r="D2972">
        <v>854</v>
      </c>
      <c r="E2972" t="s">
        <v>990</v>
      </c>
      <c r="F2972" t="s">
        <v>316</v>
      </c>
      <c r="G2972">
        <v>1</v>
      </c>
      <c r="H2972" s="502">
        <v>51000</v>
      </c>
      <c r="I2972" s="415">
        <v>110428.46490000001</v>
      </c>
      <c r="J2972" s="415">
        <v>105070</v>
      </c>
      <c r="K2972" s="415">
        <v>102757.98</v>
      </c>
      <c r="L2972" s="415">
        <v>93223</v>
      </c>
      <c r="M2972" s="415">
        <v>85897.12</v>
      </c>
      <c r="N2972" s="415">
        <v>74107.08</v>
      </c>
      <c r="O2972" s="415">
        <v>24032.02</v>
      </c>
      <c r="P2972" s="415">
        <v>0</v>
      </c>
      <c r="Q2972" s="481">
        <f t="shared" si="92"/>
        <v>-5358.4649000000063</v>
      </c>
    </row>
    <row r="2973" spans="1:17" x14ac:dyDescent="0.3">
      <c r="A2973" s="366" t="str">
        <f>IFERROR(VLOOKUP(RIGHT(E2973,3)+0,[1]SchLocTable!$A$2:$B$47,2,FALSE)," ")</f>
        <v>FCW campus</v>
      </c>
      <c r="B2973" s="366" t="str">
        <f>VLOOKUP(VALUE(D2973),$D$3:F$106,3,FALSE)</f>
        <v>Psychologists</v>
      </c>
      <c r="C2973" t="s">
        <v>314</v>
      </c>
      <c r="D2973">
        <v>854</v>
      </c>
      <c r="E2973" t="s">
        <v>990</v>
      </c>
      <c r="F2973" t="s">
        <v>334</v>
      </c>
      <c r="G2973" t="s">
        <v>319</v>
      </c>
      <c r="H2973" s="502">
        <v>51400</v>
      </c>
      <c r="I2973" s="415">
        <v>0</v>
      </c>
      <c r="J2973" s="415">
        <v>0</v>
      </c>
      <c r="K2973" s="415">
        <v>6165.2</v>
      </c>
      <c r="L2973" s="415">
        <v>5593.4</v>
      </c>
      <c r="M2973" s="415">
        <v>5333.8</v>
      </c>
      <c r="N2973" s="415">
        <v>4986.3999999999996</v>
      </c>
      <c r="O2973" s="415">
        <v>4621.8999999999996</v>
      </c>
      <c r="P2973" s="415">
        <v>0</v>
      </c>
      <c r="Q2973" s="481">
        <f t="shared" si="92"/>
        <v>0</v>
      </c>
    </row>
    <row r="2974" spans="1:17" x14ac:dyDescent="0.3">
      <c r="A2974" s="366" t="str">
        <f>IFERROR(VLOOKUP(RIGHT(E2974,3)+0,[1]SchLocTable!$A$2:$B$47,2,FALSE)," ")</f>
        <v>FCW campus</v>
      </c>
      <c r="B2974" s="366" t="str">
        <f>VLOOKUP(VALUE(D2974),$D$3:F$106,3,FALSE)</f>
        <v>Psychologists</v>
      </c>
      <c r="C2974" t="s">
        <v>314</v>
      </c>
      <c r="D2974">
        <v>854</v>
      </c>
      <c r="E2974" t="s">
        <v>990</v>
      </c>
      <c r="F2974" t="s">
        <v>321</v>
      </c>
      <c r="G2974" t="s">
        <v>319</v>
      </c>
      <c r="H2974" s="502">
        <v>52917</v>
      </c>
      <c r="I2974" s="415">
        <v>15644.663999999999</v>
      </c>
      <c r="J2974" s="415">
        <v>16070</v>
      </c>
      <c r="K2974" s="415">
        <v>11844</v>
      </c>
      <c r="L2974" s="415">
        <v>11684.82</v>
      </c>
      <c r="M2974" s="415">
        <v>10956.75</v>
      </c>
      <c r="N2974" s="415">
        <v>10232.879999999999</v>
      </c>
      <c r="O2974" s="415">
        <v>9817.68</v>
      </c>
      <c r="P2974" s="415">
        <v>0</v>
      </c>
      <c r="Q2974" s="481">
        <f t="shared" si="92"/>
        <v>425.33600000000115</v>
      </c>
    </row>
    <row r="2975" spans="1:17" x14ac:dyDescent="0.3">
      <c r="A2975" s="366" t="str">
        <f>IFERROR(VLOOKUP(RIGHT(E2975,3)+0,[1]SchLocTable!$A$2:$B$47,2,FALSE)," ")</f>
        <v>FCW campus</v>
      </c>
      <c r="B2975" s="366" t="str">
        <f>VLOOKUP(VALUE(D2975),$D$3:F$106,3,FALSE)</f>
        <v>Psychologists</v>
      </c>
      <c r="C2975" t="s">
        <v>314</v>
      </c>
      <c r="D2975">
        <v>854</v>
      </c>
      <c r="E2975" t="s">
        <v>990</v>
      </c>
      <c r="F2975" t="s">
        <v>318</v>
      </c>
      <c r="G2975" t="s">
        <v>319</v>
      </c>
      <c r="H2975" s="502">
        <v>51140</v>
      </c>
      <c r="I2975" s="415">
        <v>1800</v>
      </c>
      <c r="J2975" s="415">
        <v>0</v>
      </c>
      <c r="K2975" s="415">
        <v>900</v>
      </c>
      <c r="L2975" s="415">
        <v>900</v>
      </c>
      <c r="M2975" s="415">
        <v>900</v>
      </c>
      <c r="N2975" s="415">
        <v>900</v>
      </c>
      <c r="O2975" s="415">
        <v>0</v>
      </c>
      <c r="P2975" s="415">
        <v>0</v>
      </c>
      <c r="Q2975" s="481">
        <f t="shared" si="92"/>
        <v>-1800</v>
      </c>
    </row>
    <row r="2976" spans="1:17" x14ac:dyDescent="0.3">
      <c r="A2976" s="366" t="str">
        <f>IFERROR(VLOOKUP(RIGHT(E2976,3)+0,[1]SchLocTable!$A$2:$B$47,2,FALSE)," ")</f>
        <v>FCW campus</v>
      </c>
      <c r="B2976" s="366" t="str">
        <f>VLOOKUP(VALUE(D2976),$D$3:F$106,3,FALSE)</f>
        <v>Psychologists</v>
      </c>
      <c r="C2976" t="s">
        <v>314</v>
      </c>
      <c r="D2976">
        <v>854</v>
      </c>
      <c r="E2976" t="s">
        <v>990</v>
      </c>
      <c r="F2976" t="s">
        <v>320</v>
      </c>
      <c r="G2976" t="s">
        <v>319</v>
      </c>
      <c r="H2976" s="502">
        <v>52360</v>
      </c>
      <c r="I2976" s="415">
        <v>1601.2127410500002</v>
      </c>
      <c r="J2976" s="415">
        <v>1466</v>
      </c>
      <c r="K2976" s="415">
        <v>1541.88</v>
      </c>
      <c r="L2976" s="415">
        <v>1397.48</v>
      </c>
      <c r="M2976" s="415">
        <v>1335.25</v>
      </c>
      <c r="N2976" s="415">
        <v>1250.44</v>
      </c>
      <c r="O2976" s="415">
        <v>1146.69</v>
      </c>
      <c r="P2976" s="415">
        <v>0</v>
      </c>
      <c r="Q2976" s="481">
        <f t="shared" si="92"/>
        <v>-135.2127410500002</v>
      </c>
    </row>
    <row r="2977" spans="1:17" x14ac:dyDescent="0.3">
      <c r="A2977" s="366" t="str">
        <f>IFERROR(VLOOKUP(RIGHT(E2977,3)+0,[1]SchLocTable!$A$2:$B$47,2,FALSE)," ")</f>
        <v xml:space="preserve"> </v>
      </c>
      <c r="B2977" s="366" t="str">
        <f>VLOOKUP(VALUE(D2977),$D$3:F$106,3,FALSE)</f>
        <v>Guidance Counselors</v>
      </c>
      <c r="C2977" t="s">
        <v>314</v>
      </c>
      <c r="D2977">
        <v>855</v>
      </c>
      <c r="E2977" t="s">
        <v>991</v>
      </c>
      <c r="F2977" t="s">
        <v>316</v>
      </c>
      <c r="G2977">
        <v>9</v>
      </c>
      <c r="H2977" s="502">
        <v>51000</v>
      </c>
      <c r="I2977" s="415">
        <v>432685.10003999999</v>
      </c>
      <c r="J2977" s="415">
        <v>214391.09</v>
      </c>
      <c r="K2977" s="415">
        <v>170481.68</v>
      </c>
      <c r="L2977" s="415">
        <v>177529.02</v>
      </c>
      <c r="M2977" s="415">
        <v>56917.9</v>
      </c>
      <c r="N2977" s="415">
        <v>54622.1</v>
      </c>
      <c r="O2977" s="415">
        <v>0</v>
      </c>
      <c r="P2977" s="415">
        <v>0</v>
      </c>
      <c r="Q2977" s="481">
        <f t="shared" si="92"/>
        <v>-218294.01003999999</v>
      </c>
    </row>
    <row r="2978" spans="1:17" x14ac:dyDescent="0.3">
      <c r="A2978" s="366" t="str">
        <f>IFERROR(VLOOKUP(RIGHT(E2978,3)+0,[1]SchLocTable!$A$2:$B$47,2,FALSE)," ")</f>
        <v xml:space="preserve"> </v>
      </c>
      <c r="B2978" s="366" t="str">
        <f>VLOOKUP(VALUE(D2978),$D$3:F$106,3,FALSE)</f>
        <v>Guidance Counselors</v>
      </c>
      <c r="C2978" t="s">
        <v>314</v>
      </c>
      <c r="D2978">
        <v>855</v>
      </c>
      <c r="E2978" t="s">
        <v>991</v>
      </c>
      <c r="F2978" t="s">
        <v>321</v>
      </c>
      <c r="G2978" t="s">
        <v>319</v>
      </c>
      <c r="H2978" s="502">
        <v>52917</v>
      </c>
      <c r="I2978" s="415">
        <v>145244.66399999999</v>
      </c>
      <c r="J2978" s="415">
        <v>27316.080000000002</v>
      </c>
      <c r="K2978" s="415">
        <v>11844</v>
      </c>
      <c r="L2978" s="415">
        <v>11684.82</v>
      </c>
      <c r="M2978" s="415">
        <v>7304.5</v>
      </c>
      <c r="N2978" s="415">
        <v>0</v>
      </c>
      <c r="O2978" s="415">
        <v>0</v>
      </c>
      <c r="P2978" s="415">
        <v>0</v>
      </c>
      <c r="Q2978" s="481">
        <f t="shared" si="92"/>
        <v>-117928.58399999999</v>
      </c>
    </row>
    <row r="2979" spans="1:17" x14ac:dyDescent="0.3">
      <c r="A2979" s="366" t="str">
        <f>IFERROR(VLOOKUP(RIGHT(E2979,3)+0,[1]SchLocTable!$A$2:$B$47,2,FALSE)," ")</f>
        <v xml:space="preserve"> </v>
      </c>
      <c r="B2979" s="366" t="str">
        <f>VLOOKUP(VALUE(D2979),$D$3:F$106,3,FALSE)</f>
        <v>Guidance Counselors</v>
      </c>
      <c r="C2979" t="s">
        <v>314</v>
      </c>
      <c r="D2979">
        <v>855</v>
      </c>
      <c r="E2979" t="s">
        <v>991</v>
      </c>
      <c r="F2979" t="s">
        <v>318</v>
      </c>
      <c r="G2979" t="s">
        <v>319</v>
      </c>
      <c r="H2979" s="502">
        <v>51140</v>
      </c>
      <c r="I2979" s="415">
        <v>0</v>
      </c>
      <c r="J2979" s="415">
        <v>0</v>
      </c>
      <c r="K2979" s="415">
        <v>0</v>
      </c>
      <c r="L2979" s="415">
        <v>3700</v>
      </c>
      <c r="M2979" s="415">
        <v>2200</v>
      </c>
      <c r="N2979" s="415">
        <v>0</v>
      </c>
      <c r="O2979" s="415">
        <v>0</v>
      </c>
      <c r="P2979" s="415">
        <v>0</v>
      </c>
      <c r="Q2979" s="481">
        <f t="shared" si="92"/>
        <v>0</v>
      </c>
    </row>
    <row r="2980" spans="1:17" x14ac:dyDescent="0.3">
      <c r="A2980" s="366" t="str">
        <f>IFERROR(VLOOKUP(RIGHT(E2980,3)+0,[1]SchLocTable!$A$2:$B$47,2,FALSE)," ")</f>
        <v xml:space="preserve"> </v>
      </c>
      <c r="B2980" s="366" t="str">
        <f>VLOOKUP(VALUE(D2980),$D$3:F$106,3,FALSE)</f>
        <v>Guidance Counselors</v>
      </c>
      <c r="C2980" t="s">
        <v>314</v>
      </c>
      <c r="D2980">
        <v>855</v>
      </c>
      <c r="E2980" t="s">
        <v>991</v>
      </c>
      <c r="F2980" t="s">
        <v>320</v>
      </c>
      <c r="G2980" t="s">
        <v>319</v>
      </c>
      <c r="H2980" s="502">
        <v>52360</v>
      </c>
      <c r="I2980" s="415">
        <v>6273.9339505799999</v>
      </c>
      <c r="J2980" s="415">
        <v>3081.85</v>
      </c>
      <c r="K2980" s="415">
        <v>2380.23</v>
      </c>
      <c r="L2980" s="415">
        <v>2500.5700000000002</v>
      </c>
      <c r="M2980" s="415">
        <v>795.87</v>
      </c>
      <c r="N2980" s="415">
        <v>792.02</v>
      </c>
      <c r="O2980" s="415">
        <v>0</v>
      </c>
      <c r="P2980" s="415">
        <v>0</v>
      </c>
      <c r="Q2980" s="481">
        <f t="shared" si="92"/>
        <v>-3192.08395058</v>
      </c>
    </row>
    <row r="2981" spans="1:17" x14ac:dyDescent="0.3">
      <c r="A2981" s="366" t="str">
        <f>IFERROR(VLOOKUP(RIGHT(E2981,3)+0,[1]SchLocTable!$A$2:$B$47,2,FALSE)," ")</f>
        <v>Barnum</v>
      </c>
      <c r="B2981" s="366" t="str">
        <f>VLOOKUP(VALUE(D2981),$D$3:F$106,3,FALSE)</f>
        <v>Guidance Counselors</v>
      </c>
      <c r="C2981" t="s">
        <v>314</v>
      </c>
      <c r="D2981">
        <v>855</v>
      </c>
      <c r="E2981" t="s">
        <v>992</v>
      </c>
      <c r="F2981" t="s">
        <v>316</v>
      </c>
      <c r="G2981">
        <v>1</v>
      </c>
      <c r="H2981" s="502">
        <v>51000</v>
      </c>
      <c r="I2981" s="415">
        <v>0</v>
      </c>
      <c r="J2981" s="415">
        <v>105070</v>
      </c>
      <c r="K2981" s="415">
        <v>102757.98</v>
      </c>
      <c r="L2981" s="415">
        <v>46383.24</v>
      </c>
      <c r="M2981" s="415">
        <v>92471.2</v>
      </c>
      <c r="N2981" s="415">
        <v>88896.99</v>
      </c>
      <c r="O2981" s="415">
        <v>83106.92</v>
      </c>
      <c r="P2981" s="415">
        <v>81798.080000000002</v>
      </c>
      <c r="Q2981" s="481">
        <f t="shared" si="92"/>
        <v>105070</v>
      </c>
    </row>
    <row r="2982" spans="1:17" x14ac:dyDescent="0.3">
      <c r="A2982" s="366" t="str">
        <f>IFERROR(VLOOKUP(RIGHT(E2982,3)+0,[1]SchLocTable!$A$2:$B$47,2,FALSE)," ")</f>
        <v>Barnum</v>
      </c>
      <c r="B2982" s="366" t="str">
        <f>VLOOKUP(VALUE(D2982),$D$3:F$106,3,FALSE)</f>
        <v>Guidance Counselors</v>
      </c>
      <c r="C2982" t="s">
        <v>314</v>
      </c>
      <c r="D2982">
        <v>855</v>
      </c>
      <c r="E2982" t="s">
        <v>992</v>
      </c>
      <c r="F2982" t="s">
        <v>321</v>
      </c>
      <c r="G2982" t="s">
        <v>319</v>
      </c>
      <c r="H2982" s="502">
        <v>52917</v>
      </c>
      <c r="I2982" s="415">
        <v>0</v>
      </c>
      <c r="J2982" s="415">
        <v>13037.22</v>
      </c>
      <c r="K2982" s="415">
        <v>11844</v>
      </c>
      <c r="L2982" s="415">
        <v>7789.88</v>
      </c>
      <c r="M2982" s="415">
        <v>10956.75</v>
      </c>
      <c r="N2982" s="415">
        <v>10232.879999999999</v>
      </c>
      <c r="O2982" s="415">
        <v>9817.68</v>
      </c>
      <c r="P2982" s="415">
        <v>20084.36</v>
      </c>
      <c r="Q2982" s="481">
        <f t="shared" si="92"/>
        <v>13037.22</v>
      </c>
    </row>
    <row r="2983" spans="1:17" x14ac:dyDescent="0.3">
      <c r="A2983" s="366" t="str">
        <f>IFERROR(VLOOKUP(RIGHT(E2983,3)+0,[1]SchLocTable!$A$2:$B$47,2,FALSE)," ")</f>
        <v>Barnum</v>
      </c>
      <c r="B2983" s="366" t="str">
        <f>VLOOKUP(VALUE(D2983),$D$3:F$106,3,FALSE)</f>
        <v>Guidance Counselors</v>
      </c>
      <c r="C2983" t="s">
        <v>314</v>
      </c>
      <c r="D2983">
        <v>855</v>
      </c>
      <c r="E2983" t="s">
        <v>992</v>
      </c>
      <c r="F2983" t="s">
        <v>318</v>
      </c>
      <c r="G2983" t="s">
        <v>319</v>
      </c>
      <c r="H2983" s="502">
        <v>51140</v>
      </c>
      <c r="I2983" s="415">
        <v>1100</v>
      </c>
      <c r="J2983" s="415">
        <v>0</v>
      </c>
      <c r="K2983" s="415">
        <v>900</v>
      </c>
      <c r="L2983" s="415">
        <v>900</v>
      </c>
      <c r="M2983" s="415">
        <v>900</v>
      </c>
      <c r="N2983" s="415">
        <v>900</v>
      </c>
      <c r="O2983" s="415">
        <v>900</v>
      </c>
      <c r="P2983" s="415">
        <v>900</v>
      </c>
      <c r="Q2983" s="481">
        <f t="shared" si="92"/>
        <v>-1100</v>
      </c>
    </row>
    <row r="2984" spans="1:17" x14ac:dyDescent="0.3">
      <c r="A2984" s="366" t="str">
        <f>IFERROR(VLOOKUP(RIGHT(E2984,3)+0,[1]SchLocTable!$A$2:$B$47,2,FALSE)," ")</f>
        <v>Barnum</v>
      </c>
      <c r="B2984" s="366" t="str">
        <f>VLOOKUP(VALUE(D2984),$D$3:F$106,3,FALSE)</f>
        <v>Guidance Counselors</v>
      </c>
      <c r="C2984" t="s">
        <v>314</v>
      </c>
      <c r="D2984">
        <v>855</v>
      </c>
      <c r="E2984" t="s">
        <v>992</v>
      </c>
      <c r="F2984" t="s">
        <v>320</v>
      </c>
      <c r="G2984" t="s">
        <v>319</v>
      </c>
      <c r="H2984" s="502">
        <v>52360</v>
      </c>
      <c r="I2984" s="415">
        <v>0</v>
      </c>
      <c r="J2984" s="415">
        <v>1469</v>
      </c>
      <c r="K2984" s="415">
        <v>1452.48</v>
      </c>
      <c r="L2984" s="415">
        <v>656.43</v>
      </c>
      <c r="M2984" s="415">
        <v>1309.72</v>
      </c>
      <c r="N2984" s="415">
        <v>1262.0899999999999</v>
      </c>
      <c r="O2984" s="415">
        <v>1180.81</v>
      </c>
      <c r="P2984" s="415">
        <v>1124.3499999999999</v>
      </c>
      <c r="Q2984" s="481">
        <f t="shared" si="92"/>
        <v>1469</v>
      </c>
    </row>
    <row r="2985" spans="1:17" x14ac:dyDescent="0.3">
      <c r="A2985" s="366" t="str">
        <f>IFERROR(VLOOKUP(RIGHT(E2985,3)+0,[1]SchLocTable!$A$2:$B$47,2,FALSE)," ")</f>
        <v>Edison</v>
      </c>
      <c r="B2985" s="366" t="str">
        <f>VLOOKUP(VALUE(D2985),$D$3:F$106,3,FALSE)</f>
        <v>Guidance Counselors</v>
      </c>
      <c r="C2985" t="s">
        <v>314</v>
      </c>
      <c r="D2985">
        <v>855</v>
      </c>
      <c r="E2985" t="s">
        <v>993</v>
      </c>
      <c r="F2985" t="s">
        <v>316</v>
      </c>
      <c r="G2985" t="s">
        <v>319</v>
      </c>
      <c r="H2985" s="502">
        <v>51000</v>
      </c>
      <c r="I2985" s="415">
        <v>0</v>
      </c>
      <c r="J2985" s="415">
        <v>0</v>
      </c>
      <c r="K2985" s="415">
        <v>0</v>
      </c>
      <c r="L2985" s="415">
        <v>0</v>
      </c>
      <c r="M2985" s="415">
        <v>0</v>
      </c>
      <c r="N2985" s="415">
        <v>0</v>
      </c>
      <c r="O2985" s="415">
        <v>0</v>
      </c>
      <c r="P2985" s="415">
        <v>0</v>
      </c>
      <c r="Q2985" s="481">
        <f t="shared" si="92"/>
        <v>0</v>
      </c>
    </row>
    <row r="2986" spans="1:17" x14ac:dyDescent="0.3">
      <c r="A2986" s="366" t="str">
        <f>IFERROR(VLOOKUP(RIGHT(E2986,3)+0,[1]SchLocTable!$A$2:$B$47,2,FALSE)," ")</f>
        <v>Edison</v>
      </c>
      <c r="B2986" s="366" t="str">
        <f>VLOOKUP(VALUE(D2986),$D$3:F$106,3,FALSE)</f>
        <v>Guidance Counselors</v>
      </c>
      <c r="C2986" t="s">
        <v>314</v>
      </c>
      <c r="D2986">
        <v>855</v>
      </c>
      <c r="E2986" t="s">
        <v>993</v>
      </c>
      <c r="F2986" t="s">
        <v>321</v>
      </c>
      <c r="G2986" t="s">
        <v>319</v>
      </c>
      <c r="H2986" s="502">
        <v>52917</v>
      </c>
      <c r="I2986" s="415">
        <v>0</v>
      </c>
      <c r="J2986" s="415">
        <v>0</v>
      </c>
      <c r="K2986" s="415">
        <v>0</v>
      </c>
      <c r="L2986" s="415">
        <v>0</v>
      </c>
      <c r="M2986" s="415">
        <v>0</v>
      </c>
      <c r="N2986" s="415">
        <v>0</v>
      </c>
      <c r="O2986" s="415">
        <v>0</v>
      </c>
      <c r="P2986" s="415">
        <v>0</v>
      </c>
      <c r="Q2986" s="481">
        <f t="shared" si="92"/>
        <v>0</v>
      </c>
    </row>
    <row r="2987" spans="1:17" x14ac:dyDescent="0.3">
      <c r="A2987" s="366" t="str">
        <f>IFERROR(VLOOKUP(RIGHT(E2987,3)+0,[1]SchLocTable!$A$2:$B$47,2,FALSE)," ")</f>
        <v>Edison</v>
      </c>
      <c r="B2987" s="366" t="str">
        <f>VLOOKUP(VALUE(D2987),$D$3:F$106,3,FALSE)</f>
        <v>Guidance Counselors</v>
      </c>
      <c r="C2987" t="s">
        <v>314</v>
      </c>
      <c r="D2987">
        <v>855</v>
      </c>
      <c r="E2987" t="s">
        <v>993</v>
      </c>
      <c r="F2987" t="s">
        <v>320</v>
      </c>
      <c r="G2987" t="s">
        <v>319</v>
      </c>
      <c r="H2987" s="502">
        <v>52360</v>
      </c>
      <c r="I2987" s="415">
        <v>0</v>
      </c>
      <c r="J2987" s="415">
        <v>0</v>
      </c>
      <c r="K2987" s="415">
        <v>0</v>
      </c>
      <c r="L2987" s="415">
        <v>0</v>
      </c>
      <c r="M2987" s="415">
        <v>0</v>
      </c>
      <c r="N2987" s="415">
        <v>0</v>
      </c>
      <c r="O2987" s="415">
        <v>0</v>
      </c>
      <c r="P2987" s="415">
        <v>0</v>
      </c>
      <c r="Q2987" s="481">
        <f t="shared" si="92"/>
        <v>0</v>
      </c>
    </row>
    <row r="2988" spans="1:17" x14ac:dyDescent="0.3">
      <c r="A2988" s="366" t="str">
        <f>IFERROR(VLOOKUP(RIGHT(E2988,3)+0,[1]SchLocTable!$A$2:$B$47,2,FALSE)," ")</f>
        <v>Physical Science HS</v>
      </c>
      <c r="B2988" s="366" t="str">
        <f>VLOOKUP(VALUE(D2988),$D$3:F$106,3,FALSE)</f>
        <v>Guidance Counselors</v>
      </c>
      <c r="C2988" t="s">
        <v>314</v>
      </c>
      <c r="D2988">
        <v>855</v>
      </c>
      <c r="E2988" t="s">
        <v>994</v>
      </c>
      <c r="F2988" t="s">
        <v>316</v>
      </c>
      <c r="G2988">
        <v>1</v>
      </c>
      <c r="H2988" s="502">
        <v>51000</v>
      </c>
      <c r="I2988" s="415">
        <v>0</v>
      </c>
      <c r="J2988" s="415">
        <v>0</v>
      </c>
      <c r="K2988" s="415">
        <v>0</v>
      </c>
      <c r="L2988" s="415">
        <v>0</v>
      </c>
      <c r="M2988" s="415">
        <v>0</v>
      </c>
      <c r="N2988" s="415">
        <v>0</v>
      </c>
      <c r="O2988" s="415">
        <v>0</v>
      </c>
      <c r="P2988" s="415">
        <v>0</v>
      </c>
      <c r="Q2988" s="481">
        <f t="shared" si="92"/>
        <v>0</v>
      </c>
    </row>
    <row r="2989" spans="1:17" x14ac:dyDescent="0.3">
      <c r="A2989" s="366" t="str">
        <f>IFERROR(VLOOKUP(RIGHT(E2989,3)+0,[1]SchLocTable!$A$2:$B$47,2,FALSE)," ")</f>
        <v>Physical Science HS</v>
      </c>
      <c r="B2989" s="366" t="str">
        <f>VLOOKUP(VALUE(D2989),$D$3:F$106,3,FALSE)</f>
        <v>Guidance Counselors</v>
      </c>
      <c r="C2989" t="s">
        <v>314</v>
      </c>
      <c r="D2989">
        <v>855</v>
      </c>
      <c r="E2989" t="s">
        <v>994</v>
      </c>
      <c r="F2989" t="s">
        <v>321</v>
      </c>
      <c r="G2989" t="s">
        <v>319</v>
      </c>
      <c r="H2989" s="502">
        <v>52917</v>
      </c>
      <c r="I2989" s="415">
        <v>0</v>
      </c>
      <c r="J2989" s="415">
        <v>0</v>
      </c>
      <c r="K2989" s="415">
        <v>0</v>
      </c>
      <c r="L2989" s="415">
        <v>0</v>
      </c>
      <c r="M2989" s="415">
        <v>0</v>
      </c>
      <c r="N2989" s="415">
        <v>0</v>
      </c>
      <c r="O2989" s="415">
        <v>0</v>
      </c>
      <c r="P2989" s="415">
        <v>0</v>
      </c>
      <c r="Q2989" s="481">
        <f t="shared" si="92"/>
        <v>0</v>
      </c>
    </row>
    <row r="2990" spans="1:17" x14ac:dyDescent="0.3">
      <c r="A2990" s="366" t="str">
        <f>IFERROR(VLOOKUP(RIGHT(E2990,3)+0,[1]SchLocTable!$A$2:$B$47,2,FALSE)," ")</f>
        <v>Physical Science HS</v>
      </c>
      <c r="B2990" s="366" t="str">
        <f>VLOOKUP(VALUE(D2990),$D$3:F$106,3,FALSE)</f>
        <v>Guidance Counselors</v>
      </c>
      <c r="C2990" t="s">
        <v>314</v>
      </c>
      <c r="D2990">
        <v>855</v>
      </c>
      <c r="E2990" t="s">
        <v>994</v>
      </c>
      <c r="F2990" t="s">
        <v>318</v>
      </c>
      <c r="G2990" t="s">
        <v>319</v>
      </c>
      <c r="H2990" s="502">
        <v>51140</v>
      </c>
      <c r="I2990" s="415">
        <v>0</v>
      </c>
      <c r="J2990" s="415">
        <v>0</v>
      </c>
      <c r="K2990" s="415">
        <v>0</v>
      </c>
      <c r="L2990" s="415">
        <v>900</v>
      </c>
      <c r="M2990" s="415">
        <v>0</v>
      </c>
      <c r="N2990" s="415">
        <v>0</v>
      </c>
      <c r="O2990" s="415">
        <v>0</v>
      </c>
      <c r="P2990" s="415">
        <v>0</v>
      </c>
      <c r="Q2990" s="481">
        <f t="shared" si="92"/>
        <v>0</v>
      </c>
    </row>
    <row r="2991" spans="1:17" x14ac:dyDescent="0.3">
      <c r="A2991" s="366" t="str">
        <f>IFERROR(VLOOKUP(RIGHT(E2991,3)+0,[1]SchLocTable!$A$2:$B$47,2,FALSE)," ")</f>
        <v>Physical Science HS</v>
      </c>
      <c r="B2991" s="366" t="str">
        <f>VLOOKUP(VALUE(D2991),$D$3:F$106,3,FALSE)</f>
        <v>Guidance Counselors</v>
      </c>
      <c r="C2991" t="s">
        <v>314</v>
      </c>
      <c r="D2991">
        <v>855</v>
      </c>
      <c r="E2991" t="s">
        <v>994</v>
      </c>
      <c r="F2991" t="s">
        <v>320</v>
      </c>
      <c r="G2991" t="s">
        <v>319</v>
      </c>
      <c r="H2991" s="502">
        <v>52360</v>
      </c>
      <c r="I2991" s="415">
        <v>0</v>
      </c>
      <c r="J2991" s="415">
        <v>0</v>
      </c>
      <c r="K2991" s="415">
        <v>0</v>
      </c>
      <c r="L2991" s="415">
        <v>12.76</v>
      </c>
      <c r="M2991" s="415">
        <v>0</v>
      </c>
      <c r="N2991" s="415">
        <v>0</v>
      </c>
      <c r="O2991" s="415">
        <v>0</v>
      </c>
      <c r="P2991" s="415">
        <v>0</v>
      </c>
      <c r="Q2991" s="481">
        <f t="shared" si="92"/>
        <v>0</v>
      </c>
    </row>
    <row r="2992" spans="1:17" x14ac:dyDescent="0.3">
      <c r="A2992" s="366" t="str">
        <f>IFERROR(VLOOKUP(RIGHT(E2992,3)+0,[1]SchLocTable!$A$2:$B$47,2,FALSE)," ")</f>
        <v>Marin</v>
      </c>
      <c r="B2992" s="366" t="str">
        <f>VLOOKUP(VALUE(D2992),$D$3:F$106,3,FALSE)</f>
        <v>Guidance Counselors</v>
      </c>
      <c r="C2992" t="s">
        <v>314</v>
      </c>
      <c r="D2992">
        <v>855</v>
      </c>
      <c r="E2992" t="s">
        <v>995</v>
      </c>
      <c r="F2992" t="s">
        <v>316</v>
      </c>
      <c r="G2992" t="s">
        <v>319</v>
      </c>
      <c r="H2992" s="502">
        <v>51000</v>
      </c>
      <c r="I2992" s="415">
        <v>0</v>
      </c>
      <c r="J2992" s="415">
        <v>0</v>
      </c>
      <c r="K2992" s="415">
        <v>9138.8700000000008</v>
      </c>
      <c r="L2992" s="415">
        <v>0</v>
      </c>
      <c r="M2992" s="415">
        <v>93223</v>
      </c>
      <c r="N2992" s="415">
        <v>92316.24</v>
      </c>
      <c r="O2992" s="415">
        <v>83106.92</v>
      </c>
      <c r="P2992" s="415">
        <v>81798.080000000002</v>
      </c>
      <c r="Q2992" s="481">
        <f t="shared" si="92"/>
        <v>0</v>
      </c>
    </row>
    <row r="2993" spans="1:17" x14ac:dyDescent="0.3">
      <c r="A2993" s="366" t="str">
        <f>IFERROR(VLOOKUP(RIGHT(E2993,3)+0,[1]SchLocTable!$A$2:$B$47,2,FALSE)," ")</f>
        <v>Marin</v>
      </c>
      <c r="B2993" s="366" t="str">
        <f>VLOOKUP(VALUE(D2993),$D$3:F$106,3,FALSE)</f>
        <v>Guidance Counselors</v>
      </c>
      <c r="C2993" t="s">
        <v>314</v>
      </c>
      <c r="D2993">
        <v>855</v>
      </c>
      <c r="E2993" t="s">
        <v>995</v>
      </c>
      <c r="F2993" t="s">
        <v>321</v>
      </c>
      <c r="G2993" t="s">
        <v>319</v>
      </c>
      <c r="H2993" s="502">
        <v>52917</v>
      </c>
      <c r="I2993" s="415">
        <v>0</v>
      </c>
      <c r="J2993" s="415">
        <v>0</v>
      </c>
      <c r="K2993" s="415">
        <v>0</v>
      </c>
      <c r="L2993" s="415">
        <v>0</v>
      </c>
      <c r="M2993" s="415">
        <v>10956.75</v>
      </c>
      <c r="N2993" s="415">
        <v>10232.879999999999</v>
      </c>
      <c r="O2993" s="415">
        <v>9817.68</v>
      </c>
      <c r="P2993" s="415">
        <v>9245.67</v>
      </c>
      <c r="Q2993" s="481">
        <f t="shared" si="92"/>
        <v>0</v>
      </c>
    </row>
    <row r="2994" spans="1:17" x14ac:dyDescent="0.3">
      <c r="A2994" s="366" t="str">
        <f>IFERROR(VLOOKUP(RIGHT(E2994,3)+0,[1]SchLocTable!$A$2:$B$47,2,FALSE)," ")</f>
        <v>Marin</v>
      </c>
      <c r="B2994" s="366" t="str">
        <f>VLOOKUP(VALUE(D2994),$D$3:F$106,3,FALSE)</f>
        <v>Guidance Counselors</v>
      </c>
      <c r="C2994" t="s">
        <v>314</v>
      </c>
      <c r="D2994">
        <v>855</v>
      </c>
      <c r="E2994" t="s">
        <v>995</v>
      </c>
      <c r="F2994" t="s">
        <v>320</v>
      </c>
      <c r="G2994" t="s">
        <v>319</v>
      </c>
      <c r="H2994" s="502">
        <v>52360</v>
      </c>
      <c r="I2994" s="415">
        <v>0</v>
      </c>
      <c r="J2994" s="415">
        <v>0</v>
      </c>
      <c r="K2994" s="415">
        <v>132.51</v>
      </c>
      <c r="L2994" s="415">
        <v>0</v>
      </c>
      <c r="M2994" s="415">
        <v>1271.6099999999999</v>
      </c>
      <c r="N2994" s="415">
        <v>1261.6500000000001</v>
      </c>
      <c r="O2994" s="415">
        <v>1128.9100000000001</v>
      </c>
      <c r="P2994" s="415">
        <v>1130.1199999999999</v>
      </c>
      <c r="Q2994" s="481">
        <f t="shared" si="92"/>
        <v>0</v>
      </c>
    </row>
    <row r="2995" spans="1:17" x14ac:dyDescent="0.3">
      <c r="A2995" s="366" t="str">
        <f>IFERROR(VLOOKUP(RIGHT(E2995,3)+0,[1]SchLocTable!$A$2:$B$47,2,FALSE)," ")</f>
        <v>Marin</v>
      </c>
      <c r="B2995" s="366" t="str">
        <f>VLOOKUP(VALUE(D2995),$D$3:F$106,3,FALSE)</f>
        <v>Guidance Counselors</v>
      </c>
      <c r="C2995" t="s">
        <v>314</v>
      </c>
      <c r="D2995">
        <v>855</v>
      </c>
      <c r="E2995" t="s">
        <v>995</v>
      </c>
      <c r="F2995" t="s">
        <v>560</v>
      </c>
      <c r="G2995" t="s">
        <v>319</v>
      </c>
      <c r="H2995" s="502">
        <v>51404</v>
      </c>
      <c r="I2995" s="415">
        <v>0</v>
      </c>
      <c r="J2995" s="415">
        <v>0</v>
      </c>
      <c r="K2995" s="415">
        <v>0</v>
      </c>
      <c r="L2995" s="415">
        <v>0</v>
      </c>
      <c r="M2995" s="415">
        <v>300</v>
      </c>
      <c r="N2995" s="415">
        <v>150</v>
      </c>
      <c r="O2995" s="415">
        <v>0</v>
      </c>
      <c r="P2995" s="415">
        <v>0</v>
      </c>
      <c r="Q2995" s="481">
        <f t="shared" si="92"/>
        <v>0</v>
      </c>
    </row>
    <row r="2996" spans="1:17" x14ac:dyDescent="0.3">
      <c r="A2996" s="366" t="str">
        <f>IFERROR(VLOOKUP(RIGHT(E2996,3)+0,[1]SchLocTable!$A$2:$B$47,2,FALSE)," ")</f>
        <v>Info Tech HS</v>
      </c>
      <c r="B2996" s="366" t="str">
        <f>VLOOKUP(VALUE(D2996),$D$3:F$106,3,FALSE)</f>
        <v>Guidance Counselors</v>
      </c>
      <c r="C2996" t="s">
        <v>314</v>
      </c>
      <c r="D2996">
        <v>855</v>
      </c>
      <c r="E2996" t="s">
        <v>996</v>
      </c>
      <c r="F2996" t="s">
        <v>316</v>
      </c>
      <c r="G2996" t="s">
        <v>319</v>
      </c>
      <c r="H2996" s="502">
        <v>51000</v>
      </c>
      <c r="I2996" s="415">
        <v>0</v>
      </c>
      <c r="J2996" s="415">
        <v>0</v>
      </c>
      <c r="K2996" s="415">
        <v>0</v>
      </c>
      <c r="L2996" s="415">
        <v>462</v>
      </c>
      <c r="M2996" s="415">
        <v>0</v>
      </c>
      <c r="N2996" s="415">
        <v>0</v>
      </c>
      <c r="O2996" s="415">
        <v>0</v>
      </c>
      <c r="P2996" s="415">
        <v>0</v>
      </c>
      <c r="Q2996" s="481">
        <f t="shared" si="92"/>
        <v>0</v>
      </c>
    </row>
    <row r="2997" spans="1:17" x14ac:dyDescent="0.3">
      <c r="A2997" s="366" t="str">
        <f>IFERROR(VLOOKUP(RIGHT(E2997,3)+0,[1]SchLocTable!$A$2:$B$47,2,FALSE)," ")</f>
        <v>Info Tech HS</v>
      </c>
      <c r="B2997" s="366" t="str">
        <f>VLOOKUP(VALUE(D2997),$D$3:F$106,3,FALSE)</f>
        <v>Guidance Counselors</v>
      </c>
      <c r="C2997" t="s">
        <v>314</v>
      </c>
      <c r="D2997">
        <v>855</v>
      </c>
      <c r="E2997" t="s">
        <v>996</v>
      </c>
      <c r="F2997" t="s">
        <v>318</v>
      </c>
      <c r="G2997" t="s">
        <v>319</v>
      </c>
      <c r="H2997" s="502">
        <v>51140</v>
      </c>
      <c r="I2997" s="415">
        <v>0</v>
      </c>
      <c r="J2997" s="415">
        <v>0</v>
      </c>
      <c r="K2997" s="415">
        <v>0</v>
      </c>
      <c r="L2997" s="415">
        <v>900</v>
      </c>
      <c r="M2997" s="415">
        <v>0</v>
      </c>
      <c r="N2997" s="415">
        <v>0</v>
      </c>
      <c r="O2997" s="415">
        <v>0</v>
      </c>
      <c r="P2997" s="415">
        <v>0</v>
      </c>
      <c r="Q2997" s="481">
        <f t="shared" si="92"/>
        <v>0</v>
      </c>
    </row>
    <row r="2998" spans="1:17" x14ac:dyDescent="0.3">
      <c r="A2998" s="366" t="str">
        <f>IFERROR(VLOOKUP(RIGHT(E2998,3)+0,[1]SchLocTable!$A$2:$B$47,2,FALSE)," ")</f>
        <v>Info Tech HS</v>
      </c>
      <c r="B2998" s="366" t="str">
        <f>VLOOKUP(VALUE(D2998),$D$3:F$106,3,FALSE)</f>
        <v>Guidance Counselors</v>
      </c>
      <c r="C2998" t="s">
        <v>314</v>
      </c>
      <c r="D2998">
        <v>855</v>
      </c>
      <c r="E2998" t="s">
        <v>996</v>
      </c>
      <c r="F2998" t="s">
        <v>320</v>
      </c>
      <c r="G2998" t="s">
        <v>319</v>
      </c>
      <c r="H2998" s="502">
        <v>52360</v>
      </c>
      <c r="I2998" s="415">
        <v>0</v>
      </c>
      <c r="J2998" s="415">
        <v>0</v>
      </c>
      <c r="K2998" s="415">
        <v>0</v>
      </c>
      <c r="L2998" s="415">
        <v>19.75</v>
      </c>
      <c r="M2998" s="415">
        <v>0</v>
      </c>
      <c r="N2998" s="415">
        <v>0</v>
      </c>
      <c r="O2998" s="415">
        <v>0</v>
      </c>
      <c r="P2998" s="415">
        <v>0</v>
      </c>
      <c r="Q2998" s="481">
        <f t="shared" si="92"/>
        <v>0</v>
      </c>
    </row>
    <row r="2999" spans="1:17" x14ac:dyDescent="0.3">
      <c r="A2999" s="366" t="str">
        <f>IFERROR(VLOOKUP(RIGHT(E2999,3)+0,[1]SchLocTable!$A$2:$B$47,2,FALSE)," ")</f>
        <v>BMA HS</v>
      </c>
      <c r="B2999" s="366" t="str">
        <f>VLOOKUP(VALUE(D2999),$D$3:F$106,3,FALSE)</f>
        <v>Guidance Counselors</v>
      </c>
      <c r="C2999" t="s">
        <v>314</v>
      </c>
      <c r="D2999">
        <v>855</v>
      </c>
      <c r="E2999" t="s">
        <v>997</v>
      </c>
      <c r="F2999" t="s">
        <v>316</v>
      </c>
      <c r="G2999" t="s">
        <v>319</v>
      </c>
      <c r="H2999" s="502">
        <v>51000</v>
      </c>
      <c r="I2999" s="415">
        <v>0</v>
      </c>
      <c r="J2999" s="415">
        <v>0</v>
      </c>
      <c r="K2999" s="415">
        <v>4893.24</v>
      </c>
      <c r="L2999" s="415">
        <v>37078.57</v>
      </c>
      <c r="M2999" s="415">
        <v>67369.350000000006</v>
      </c>
      <c r="N2999" s="415">
        <v>62633</v>
      </c>
      <c r="O2999" s="415">
        <v>59913.88</v>
      </c>
      <c r="P2999" s="415">
        <v>58970.080000000002</v>
      </c>
      <c r="Q2999" s="481">
        <f t="shared" si="92"/>
        <v>0</v>
      </c>
    </row>
    <row r="3000" spans="1:17" x14ac:dyDescent="0.3">
      <c r="A3000" s="366" t="str">
        <f>IFERROR(VLOOKUP(RIGHT(E3000,3)+0,[1]SchLocTable!$A$2:$B$47,2,FALSE)," ")</f>
        <v>BMA HS</v>
      </c>
      <c r="B3000" s="366" t="str">
        <f>VLOOKUP(VALUE(D3000),$D$3:F$106,3,FALSE)</f>
        <v>Guidance Counselors</v>
      </c>
      <c r="C3000" t="s">
        <v>314</v>
      </c>
      <c r="D3000">
        <v>855</v>
      </c>
      <c r="E3000" t="s">
        <v>997</v>
      </c>
      <c r="F3000" t="s">
        <v>334</v>
      </c>
      <c r="G3000" t="s">
        <v>319</v>
      </c>
      <c r="H3000" s="502">
        <v>51400</v>
      </c>
      <c r="I3000" s="415">
        <v>0</v>
      </c>
      <c r="J3000" s="415">
        <v>0</v>
      </c>
      <c r="K3000" s="415">
        <v>0</v>
      </c>
      <c r="L3000" s="415">
        <v>0</v>
      </c>
      <c r="M3000" s="415">
        <v>8548.5</v>
      </c>
      <c r="N3000" s="415">
        <v>0</v>
      </c>
      <c r="O3000" s="415">
        <v>0</v>
      </c>
      <c r="P3000" s="415">
        <v>0</v>
      </c>
      <c r="Q3000" s="481">
        <f t="shared" si="92"/>
        <v>0</v>
      </c>
    </row>
    <row r="3001" spans="1:17" x14ac:dyDescent="0.3">
      <c r="A3001" s="366" t="str">
        <f>IFERROR(VLOOKUP(RIGHT(E3001,3)+0,[1]SchLocTable!$A$2:$B$47,2,FALSE)," ")</f>
        <v>BMA HS</v>
      </c>
      <c r="B3001" s="366" t="str">
        <f>VLOOKUP(VALUE(D3001),$D$3:F$106,3,FALSE)</f>
        <v>Guidance Counselors</v>
      </c>
      <c r="C3001" t="s">
        <v>314</v>
      </c>
      <c r="D3001">
        <v>855</v>
      </c>
      <c r="E3001" t="s">
        <v>997</v>
      </c>
      <c r="F3001" t="s">
        <v>321</v>
      </c>
      <c r="G3001" t="s">
        <v>319</v>
      </c>
      <c r="H3001" s="502">
        <v>52917</v>
      </c>
      <c r="I3001" s="415">
        <v>0</v>
      </c>
      <c r="J3001" s="415">
        <v>0</v>
      </c>
      <c r="K3001" s="415">
        <v>584.91999999999996</v>
      </c>
      <c r="L3001" s="415">
        <v>3391.14</v>
      </c>
      <c r="M3001" s="415">
        <v>10956.75</v>
      </c>
      <c r="N3001" s="415">
        <v>10232.879999999999</v>
      </c>
      <c r="O3001" s="415">
        <v>9817.68</v>
      </c>
      <c r="P3001" s="415">
        <v>9245.67</v>
      </c>
      <c r="Q3001" s="481">
        <f t="shared" si="92"/>
        <v>0</v>
      </c>
    </row>
    <row r="3002" spans="1:17" x14ac:dyDescent="0.3">
      <c r="A3002" s="366" t="str">
        <f>IFERROR(VLOOKUP(RIGHT(E3002,3)+0,[1]SchLocTable!$A$2:$B$47,2,FALSE)," ")</f>
        <v>BMA HS</v>
      </c>
      <c r="B3002" s="366" t="str">
        <f>VLOOKUP(VALUE(D3002),$D$3:F$106,3,FALSE)</f>
        <v>Guidance Counselors</v>
      </c>
      <c r="C3002" t="s">
        <v>314</v>
      </c>
      <c r="D3002">
        <v>855</v>
      </c>
      <c r="E3002" t="s">
        <v>997</v>
      </c>
      <c r="F3002" t="s">
        <v>320</v>
      </c>
      <c r="G3002" t="s">
        <v>319</v>
      </c>
      <c r="H3002" s="502">
        <v>52360</v>
      </c>
      <c r="I3002" s="415">
        <v>0</v>
      </c>
      <c r="J3002" s="415">
        <v>0</v>
      </c>
      <c r="K3002" s="415">
        <v>68.489999999999995</v>
      </c>
      <c r="L3002" s="415">
        <v>522.23</v>
      </c>
      <c r="M3002" s="415">
        <v>1055.25</v>
      </c>
      <c r="N3002" s="415">
        <v>866.95</v>
      </c>
      <c r="O3002" s="415">
        <v>831.46</v>
      </c>
      <c r="P3002" s="415">
        <v>820.45</v>
      </c>
      <c r="Q3002" s="481">
        <f t="shared" si="92"/>
        <v>0</v>
      </c>
    </row>
    <row r="3003" spans="1:17" x14ac:dyDescent="0.3">
      <c r="A3003" s="366" t="str">
        <f>IFERROR(VLOOKUP(RIGHT(E3003,3)+0,[1]SchLocTable!$A$2:$B$47,2,FALSE)," ")</f>
        <v>Park City Magnet</v>
      </c>
      <c r="B3003" s="366" t="str">
        <f>VLOOKUP(VALUE(D3003),$D$3:F$106,3,FALSE)</f>
        <v>Guidance Counselors</v>
      </c>
      <c r="C3003" t="s">
        <v>314</v>
      </c>
      <c r="D3003">
        <v>855</v>
      </c>
      <c r="E3003" t="s">
        <v>998</v>
      </c>
      <c r="F3003" t="s">
        <v>316</v>
      </c>
      <c r="G3003">
        <v>1</v>
      </c>
      <c r="H3003" s="502">
        <v>51000</v>
      </c>
      <c r="I3003" s="415">
        <v>0</v>
      </c>
      <c r="J3003" s="415">
        <v>105070</v>
      </c>
      <c r="K3003" s="415">
        <v>102757.98</v>
      </c>
      <c r="L3003" s="415">
        <v>46383.24</v>
      </c>
      <c r="M3003" s="415">
        <v>99011.9</v>
      </c>
      <c r="N3003" s="415">
        <v>97548.88</v>
      </c>
      <c r="O3003" s="415">
        <v>96106.92</v>
      </c>
      <c r="P3003" s="415">
        <v>94593.98</v>
      </c>
      <c r="Q3003" s="481">
        <f t="shared" si="92"/>
        <v>105070</v>
      </c>
    </row>
    <row r="3004" spans="1:17" x14ac:dyDescent="0.3">
      <c r="A3004" s="366" t="str">
        <f>IFERROR(VLOOKUP(RIGHT(E3004,3)+0,[1]SchLocTable!$A$2:$B$47,2,FALSE)," ")</f>
        <v>Park City Magnet</v>
      </c>
      <c r="B3004" s="366" t="str">
        <f>VLOOKUP(VALUE(D3004),$D$3:F$106,3,FALSE)</f>
        <v>Guidance Counselors</v>
      </c>
      <c r="C3004" t="s">
        <v>314</v>
      </c>
      <c r="D3004">
        <v>855</v>
      </c>
      <c r="E3004" t="s">
        <v>998</v>
      </c>
      <c r="F3004" t="s">
        <v>321</v>
      </c>
      <c r="G3004" t="s">
        <v>319</v>
      </c>
      <c r="H3004" s="502">
        <v>52917</v>
      </c>
      <c r="I3004" s="415">
        <v>0</v>
      </c>
      <c r="J3004" s="415">
        <v>1284.3599999999999</v>
      </c>
      <c r="K3004" s="415">
        <v>1317.96</v>
      </c>
      <c r="L3004" s="415">
        <v>479.71</v>
      </c>
      <c r="M3004" s="415">
        <v>1284.3599999999999</v>
      </c>
      <c r="N3004" s="415">
        <v>1439.13</v>
      </c>
      <c r="O3004" s="415">
        <v>1271.97</v>
      </c>
      <c r="P3004" s="415">
        <v>1344.42</v>
      </c>
      <c r="Q3004" s="481">
        <f t="shared" si="92"/>
        <v>1284.3599999999999</v>
      </c>
    </row>
    <row r="3005" spans="1:17" x14ac:dyDescent="0.3">
      <c r="A3005" s="366" t="str">
        <f>IFERROR(VLOOKUP(RIGHT(E3005,3)+0,[1]SchLocTable!$A$2:$B$47,2,FALSE)," ")</f>
        <v>Park City Magnet</v>
      </c>
      <c r="B3005" s="366" t="str">
        <f>VLOOKUP(VALUE(D3005),$D$3:F$106,3,FALSE)</f>
        <v>Guidance Counselors</v>
      </c>
      <c r="C3005" t="s">
        <v>314</v>
      </c>
      <c r="D3005">
        <v>855</v>
      </c>
      <c r="E3005" t="s">
        <v>998</v>
      </c>
      <c r="F3005" t="s">
        <v>318</v>
      </c>
      <c r="G3005" t="s">
        <v>319</v>
      </c>
      <c r="H3005" s="502">
        <v>51140</v>
      </c>
      <c r="I3005" s="415">
        <v>1300</v>
      </c>
      <c r="J3005" s="415">
        <v>0</v>
      </c>
      <c r="K3005" s="415">
        <v>1300</v>
      </c>
      <c r="L3005" s="415">
        <v>1200</v>
      </c>
      <c r="M3005" s="415">
        <v>1200</v>
      </c>
      <c r="N3005" s="415">
        <v>1200</v>
      </c>
      <c r="O3005" s="415">
        <v>1200</v>
      </c>
      <c r="P3005" s="415">
        <v>1200</v>
      </c>
      <c r="Q3005" s="481">
        <f t="shared" si="92"/>
        <v>-1300</v>
      </c>
    </row>
    <row r="3006" spans="1:17" x14ac:dyDescent="0.3">
      <c r="A3006" s="366" t="str">
        <f>IFERROR(VLOOKUP(RIGHT(E3006,3)+0,[1]SchLocTable!$A$2:$B$47,2,FALSE)," ")</f>
        <v>Park City Magnet</v>
      </c>
      <c r="B3006" s="366" t="str">
        <f>VLOOKUP(VALUE(D3006),$D$3:F$106,3,FALSE)</f>
        <v>Guidance Counselors</v>
      </c>
      <c r="C3006" t="s">
        <v>314</v>
      </c>
      <c r="D3006">
        <v>855</v>
      </c>
      <c r="E3006" t="s">
        <v>998</v>
      </c>
      <c r="F3006" t="s">
        <v>320</v>
      </c>
      <c r="G3006" t="s">
        <v>319</v>
      </c>
      <c r="H3006" s="502">
        <v>52360</v>
      </c>
      <c r="I3006" s="415">
        <v>0</v>
      </c>
      <c r="J3006" s="415">
        <v>1523</v>
      </c>
      <c r="K3006" s="415">
        <v>1505.33</v>
      </c>
      <c r="L3006" s="415">
        <v>671.33</v>
      </c>
      <c r="M3006" s="415">
        <v>1449.77</v>
      </c>
      <c r="N3006" s="415">
        <v>1428.18</v>
      </c>
      <c r="O3006" s="415">
        <v>1407.69</v>
      </c>
      <c r="P3006" s="415">
        <v>1386.85</v>
      </c>
      <c r="Q3006" s="481">
        <f t="shared" si="92"/>
        <v>1523</v>
      </c>
    </row>
    <row r="3007" spans="1:17" x14ac:dyDescent="0.3">
      <c r="A3007" s="366" t="str">
        <f>IFERROR(VLOOKUP(RIGHT(E3007,3)+0,[1]SchLocTable!$A$2:$B$47,2,FALSE)," ")</f>
        <v>Zoo Science HS</v>
      </c>
      <c r="B3007" s="366" t="str">
        <f>VLOOKUP(VALUE(D3007),$D$3:F$106,3,FALSE)</f>
        <v>Guidance Counselors</v>
      </c>
      <c r="C3007" t="s">
        <v>314</v>
      </c>
      <c r="D3007">
        <v>855</v>
      </c>
      <c r="E3007" t="s">
        <v>999</v>
      </c>
      <c r="F3007" t="s">
        <v>316</v>
      </c>
      <c r="G3007" t="s">
        <v>319</v>
      </c>
      <c r="H3007" s="502">
        <v>51000</v>
      </c>
      <c r="I3007" s="415">
        <v>0</v>
      </c>
      <c r="J3007" s="415">
        <v>0</v>
      </c>
      <c r="K3007" s="415">
        <v>102757.98</v>
      </c>
      <c r="L3007" s="415">
        <v>0</v>
      </c>
      <c r="M3007" s="415">
        <v>0</v>
      </c>
      <c r="N3007" s="415">
        <v>0</v>
      </c>
      <c r="O3007" s="415">
        <v>0</v>
      </c>
      <c r="P3007" s="415">
        <v>0</v>
      </c>
      <c r="Q3007" s="481">
        <f t="shared" ref="Q3007:Q3070" si="93">J3007-I3007</f>
        <v>0</v>
      </c>
    </row>
    <row r="3008" spans="1:17" x14ac:dyDescent="0.3">
      <c r="A3008" s="366" t="str">
        <f>IFERROR(VLOOKUP(RIGHT(E3008,3)+0,[1]SchLocTable!$A$2:$B$47,2,FALSE)," ")</f>
        <v>Zoo Science HS</v>
      </c>
      <c r="B3008" s="366" t="str">
        <f>VLOOKUP(VALUE(D3008),$D$3:F$106,3,FALSE)</f>
        <v>Guidance Counselors</v>
      </c>
      <c r="C3008" t="s">
        <v>314</v>
      </c>
      <c r="D3008">
        <v>855</v>
      </c>
      <c r="E3008" t="s">
        <v>999</v>
      </c>
      <c r="F3008" t="s">
        <v>321</v>
      </c>
      <c r="G3008" t="s">
        <v>319</v>
      </c>
      <c r="H3008" s="502">
        <v>52917</v>
      </c>
      <c r="I3008" s="415">
        <v>0</v>
      </c>
      <c r="J3008" s="415">
        <v>0</v>
      </c>
      <c r="K3008" s="415">
        <v>35075.879999999997</v>
      </c>
      <c r="L3008" s="415">
        <v>0</v>
      </c>
      <c r="M3008" s="415">
        <v>0</v>
      </c>
      <c r="N3008" s="415">
        <v>0</v>
      </c>
      <c r="O3008" s="415">
        <v>0</v>
      </c>
      <c r="P3008" s="415">
        <v>0</v>
      </c>
      <c r="Q3008" s="481">
        <f t="shared" si="93"/>
        <v>0</v>
      </c>
    </row>
    <row r="3009" spans="1:17" x14ac:dyDescent="0.3">
      <c r="A3009" s="366" t="str">
        <f>IFERROR(VLOOKUP(RIGHT(E3009,3)+0,[1]SchLocTable!$A$2:$B$47,2,FALSE)," ")</f>
        <v>Zoo Science HS</v>
      </c>
      <c r="B3009" s="366" t="str">
        <f>VLOOKUP(VALUE(D3009),$D$3:F$106,3,FALSE)</f>
        <v>Guidance Counselors</v>
      </c>
      <c r="C3009" t="s">
        <v>314</v>
      </c>
      <c r="D3009">
        <v>855</v>
      </c>
      <c r="E3009" t="s">
        <v>999</v>
      </c>
      <c r="F3009" t="s">
        <v>318</v>
      </c>
      <c r="G3009" t="s">
        <v>319</v>
      </c>
      <c r="H3009" s="502">
        <v>51140</v>
      </c>
      <c r="I3009" s="415">
        <v>1100</v>
      </c>
      <c r="J3009" s="415">
        <v>0</v>
      </c>
      <c r="K3009" s="415">
        <v>1100</v>
      </c>
      <c r="L3009" s="415">
        <v>900</v>
      </c>
      <c r="M3009" s="415">
        <v>0</v>
      </c>
      <c r="N3009" s="415">
        <v>0</v>
      </c>
      <c r="O3009" s="415">
        <v>0</v>
      </c>
      <c r="P3009" s="415">
        <v>0</v>
      </c>
      <c r="Q3009" s="481">
        <f t="shared" si="93"/>
        <v>-1100</v>
      </c>
    </row>
    <row r="3010" spans="1:17" x14ac:dyDescent="0.3">
      <c r="A3010" s="366" t="str">
        <f>IFERROR(VLOOKUP(RIGHT(E3010,3)+0,[1]SchLocTable!$A$2:$B$47,2,FALSE)," ")</f>
        <v>Zoo Science HS</v>
      </c>
      <c r="B3010" s="366" t="str">
        <f>VLOOKUP(VALUE(D3010),$D$3:F$106,3,FALSE)</f>
        <v>Guidance Counselors</v>
      </c>
      <c r="C3010" t="s">
        <v>314</v>
      </c>
      <c r="D3010">
        <v>855</v>
      </c>
      <c r="E3010" t="s">
        <v>999</v>
      </c>
      <c r="F3010" t="s">
        <v>320</v>
      </c>
      <c r="G3010" t="s">
        <v>319</v>
      </c>
      <c r="H3010" s="502">
        <v>52360</v>
      </c>
      <c r="I3010" s="415">
        <v>0</v>
      </c>
      <c r="J3010" s="415">
        <v>0</v>
      </c>
      <c r="K3010" s="415">
        <v>1356.22</v>
      </c>
      <c r="L3010" s="415">
        <v>13.05</v>
      </c>
      <c r="M3010" s="415">
        <v>0</v>
      </c>
      <c r="N3010" s="415">
        <v>0</v>
      </c>
      <c r="O3010" s="415">
        <v>0</v>
      </c>
      <c r="P3010" s="415">
        <v>0</v>
      </c>
      <c r="Q3010" s="481">
        <f t="shared" si="93"/>
        <v>0</v>
      </c>
    </row>
    <row r="3011" spans="1:17" x14ac:dyDescent="0.3">
      <c r="A3011" s="366" t="str">
        <f>IFERROR(VLOOKUP(RIGHT(E3011,3)+0,[1]SchLocTable!$A$2:$B$47,2,FALSE)," ")</f>
        <v>Madison</v>
      </c>
      <c r="B3011" s="366" t="str">
        <f>VLOOKUP(VALUE(D3011),$D$3:F$106,3,FALSE)</f>
        <v>Guidance Counselors</v>
      </c>
      <c r="C3011" t="s">
        <v>314</v>
      </c>
      <c r="D3011">
        <v>855</v>
      </c>
      <c r="E3011" t="s">
        <v>1297</v>
      </c>
      <c r="F3011" t="s">
        <v>316</v>
      </c>
      <c r="G3011" t="s">
        <v>319</v>
      </c>
      <c r="H3011" s="502">
        <v>51000</v>
      </c>
      <c r="I3011" s="415">
        <v>0</v>
      </c>
      <c r="J3011" s="415">
        <v>0</v>
      </c>
      <c r="K3011" s="415">
        <v>0</v>
      </c>
      <c r="L3011" s="415">
        <v>0</v>
      </c>
      <c r="M3011" s="415">
        <v>0</v>
      </c>
      <c r="N3011" s="415">
        <v>0</v>
      </c>
      <c r="O3011" s="415">
        <v>0</v>
      </c>
      <c r="P3011" s="415">
        <v>0</v>
      </c>
      <c r="Q3011" s="481">
        <f t="shared" si="93"/>
        <v>0</v>
      </c>
    </row>
    <row r="3012" spans="1:17" x14ac:dyDescent="0.3">
      <c r="A3012" s="366" t="str">
        <f>IFERROR(VLOOKUP(RIGHT(E3012,3)+0,[1]SchLocTable!$A$2:$B$47,2,FALSE)," ")</f>
        <v>Madison</v>
      </c>
      <c r="B3012" s="366" t="str">
        <f>VLOOKUP(VALUE(D3012),$D$3:F$106,3,FALSE)</f>
        <v>Guidance Counselors</v>
      </c>
      <c r="C3012" t="s">
        <v>314</v>
      </c>
      <c r="D3012">
        <v>855</v>
      </c>
      <c r="E3012" t="s">
        <v>1297</v>
      </c>
      <c r="F3012" t="s">
        <v>321</v>
      </c>
      <c r="G3012" t="s">
        <v>319</v>
      </c>
      <c r="H3012" s="502">
        <v>52917</v>
      </c>
      <c r="I3012" s="415">
        <v>0</v>
      </c>
      <c r="J3012" s="415">
        <v>0</v>
      </c>
      <c r="K3012" s="415">
        <v>0</v>
      </c>
      <c r="L3012" s="415">
        <v>0</v>
      </c>
      <c r="M3012" s="415">
        <v>0</v>
      </c>
      <c r="N3012" s="415">
        <v>0</v>
      </c>
      <c r="O3012" s="415">
        <v>0</v>
      </c>
      <c r="P3012" s="415">
        <v>0</v>
      </c>
      <c r="Q3012" s="481">
        <f t="shared" si="93"/>
        <v>0</v>
      </c>
    </row>
    <row r="3013" spans="1:17" x14ac:dyDescent="0.3">
      <c r="A3013" s="366" t="str">
        <f>IFERROR(VLOOKUP(RIGHT(E3013,3)+0,[1]SchLocTable!$A$2:$B$47,2,FALSE)," ")</f>
        <v>Madison</v>
      </c>
      <c r="B3013" s="366" t="str">
        <f>VLOOKUP(VALUE(D3013),$D$3:F$106,3,FALSE)</f>
        <v>Guidance Counselors</v>
      </c>
      <c r="C3013" t="s">
        <v>314</v>
      </c>
      <c r="D3013">
        <v>855</v>
      </c>
      <c r="E3013" t="s">
        <v>1297</v>
      </c>
      <c r="F3013" t="s">
        <v>320</v>
      </c>
      <c r="G3013" t="s">
        <v>319</v>
      </c>
      <c r="H3013" s="502">
        <v>52360</v>
      </c>
      <c r="I3013" s="415">
        <v>0</v>
      </c>
      <c r="J3013" s="415">
        <v>0</v>
      </c>
      <c r="K3013" s="415">
        <v>0</v>
      </c>
      <c r="L3013" s="415">
        <v>0</v>
      </c>
      <c r="M3013" s="415">
        <v>0</v>
      </c>
      <c r="N3013" s="415">
        <v>0</v>
      </c>
      <c r="O3013" s="415">
        <v>0</v>
      </c>
      <c r="P3013" s="415">
        <v>0</v>
      </c>
      <c r="Q3013" s="481">
        <f t="shared" si="93"/>
        <v>0</v>
      </c>
    </row>
    <row r="3014" spans="1:17" x14ac:dyDescent="0.3">
      <c r="A3014" s="366" t="str">
        <f>IFERROR(VLOOKUP(RIGHT(E3014,3)+0,[1]SchLocTable!$A$2:$B$47,2,FALSE)," ")</f>
        <v>Tisdale</v>
      </c>
      <c r="B3014" s="366" t="str">
        <f>VLOOKUP(VALUE(D3014),$D$3:F$106,3,FALSE)</f>
        <v>Guidance Counselors</v>
      </c>
      <c r="C3014" t="s">
        <v>314</v>
      </c>
      <c r="D3014">
        <v>855</v>
      </c>
      <c r="E3014" t="s">
        <v>1000</v>
      </c>
      <c r="F3014" t="s">
        <v>316</v>
      </c>
      <c r="G3014" t="s">
        <v>319</v>
      </c>
      <c r="H3014" s="502">
        <v>51000</v>
      </c>
      <c r="I3014" s="415">
        <v>0</v>
      </c>
      <c r="J3014" s="415">
        <v>0</v>
      </c>
      <c r="K3014" s="415">
        <v>90901.29</v>
      </c>
      <c r="L3014" s="415">
        <v>0</v>
      </c>
      <c r="M3014" s="415">
        <v>0</v>
      </c>
      <c r="N3014" s="415">
        <v>0</v>
      </c>
      <c r="O3014" s="415">
        <v>0</v>
      </c>
      <c r="P3014" s="415">
        <v>0</v>
      </c>
      <c r="Q3014" s="481">
        <f t="shared" si="93"/>
        <v>0</v>
      </c>
    </row>
    <row r="3015" spans="1:17" x14ac:dyDescent="0.3">
      <c r="A3015" s="366" t="str">
        <f>IFERROR(VLOOKUP(RIGHT(E3015,3)+0,[1]SchLocTable!$A$2:$B$47,2,FALSE)," ")</f>
        <v>Tisdale</v>
      </c>
      <c r="B3015" s="366" t="str">
        <f>VLOOKUP(VALUE(D3015),$D$3:F$106,3,FALSE)</f>
        <v>Guidance Counselors</v>
      </c>
      <c r="C3015" t="s">
        <v>314</v>
      </c>
      <c r="D3015">
        <v>855</v>
      </c>
      <c r="E3015" t="s">
        <v>1000</v>
      </c>
      <c r="F3015" t="s">
        <v>321</v>
      </c>
      <c r="G3015" t="s">
        <v>319</v>
      </c>
      <c r="H3015" s="502">
        <v>52917</v>
      </c>
      <c r="I3015" s="415">
        <v>0</v>
      </c>
      <c r="J3015" s="415">
        <v>0</v>
      </c>
      <c r="K3015" s="415">
        <v>23575.86</v>
      </c>
      <c r="L3015" s="415">
        <v>0</v>
      </c>
      <c r="M3015" s="415">
        <v>0</v>
      </c>
      <c r="N3015" s="415">
        <v>0</v>
      </c>
      <c r="O3015" s="415">
        <v>0</v>
      </c>
      <c r="P3015" s="415">
        <v>0</v>
      </c>
      <c r="Q3015" s="481">
        <f t="shared" si="93"/>
        <v>0</v>
      </c>
    </row>
    <row r="3016" spans="1:17" x14ac:dyDescent="0.3">
      <c r="A3016" s="366" t="str">
        <f>IFERROR(VLOOKUP(RIGHT(E3016,3)+0,[1]SchLocTable!$A$2:$B$47,2,FALSE)," ")</f>
        <v>Tisdale</v>
      </c>
      <c r="B3016" s="366" t="str">
        <f>VLOOKUP(VALUE(D3016),$D$3:F$106,3,FALSE)</f>
        <v>Guidance Counselors</v>
      </c>
      <c r="C3016" t="s">
        <v>314</v>
      </c>
      <c r="D3016">
        <v>855</v>
      </c>
      <c r="E3016" t="s">
        <v>1000</v>
      </c>
      <c r="F3016" t="s">
        <v>318</v>
      </c>
      <c r="G3016" t="s">
        <v>319</v>
      </c>
      <c r="H3016" s="502">
        <v>51140</v>
      </c>
      <c r="I3016" s="415">
        <v>0</v>
      </c>
      <c r="J3016" s="415">
        <v>0</v>
      </c>
      <c r="K3016" s="415">
        <v>1100</v>
      </c>
      <c r="L3016" s="415">
        <v>0</v>
      </c>
      <c r="M3016" s="415">
        <v>0</v>
      </c>
      <c r="N3016" s="415">
        <v>0</v>
      </c>
      <c r="O3016" s="415">
        <v>0</v>
      </c>
      <c r="P3016" s="415">
        <v>0</v>
      </c>
      <c r="Q3016" s="481">
        <f t="shared" si="93"/>
        <v>0</v>
      </c>
    </row>
    <row r="3017" spans="1:17" x14ac:dyDescent="0.3">
      <c r="A3017" s="366" t="str">
        <f>IFERROR(VLOOKUP(RIGHT(E3017,3)+0,[1]SchLocTable!$A$2:$B$47,2,FALSE)," ")</f>
        <v>Tisdale</v>
      </c>
      <c r="B3017" s="366" t="str">
        <f>VLOOKUP(VALUE(D3017),$D$3:F$106,3,FALSE)</f>
        <v>Guidance Counselors</v>
      </c>
      <c r="C3017" t="s">
        <v>314</v>
      </c>
      <c r="D3017">
        <v>855</v>
      </c>
      <c r="E3017" t="s">
        <v>1000</v>
      </c>
      <c r="F3017" t="s">
        <v>320</v>
      </c>
      <c r="G3017" t="s">
        <v>319</v>
      </c>
      <c r="H3017" s="502">
        <v>52360</v>
      </c>
      <c r="I3017" s="415">
        <v>0</v>
      </c>
      <c r="J3017" s="415">
        <v>0</v>
      </c>
      <c r="K3017" s="415">
        <v>1229.5899999999999</v>
      </c>
      <c r="L3017" s="415">
        <v>0</v>
      </c>
      <c r="M3017" s="415">
        <v>0</v>
      </c>
      <c r="N3017" s="415">
        <v>0</v>
      </c>
      <c r="O3017" s="415">
        <v>0</v>
      </c>
      <c r="P3017" s="415">
        <v>0</v>
      </c>
      <c r="Q3017" s="481">
        <f t="shared" si="93"/>
        <v>0</v>
      </c>
    </row>
    <row r="3018" spans="1:17" x14ac:dyDescent="0.3">
      <c r="A3018" s="366" t="str">
        <f>IFERROR(VLOOKUP(RIGHT(E3018,3)+0,[1]SchLocTable!$A$2:$B$47,2,FALSE)," ")</f>
        <v>Roosevelt</v>
      </c>
      <c r="B3018" s="366" t="str">
        <f>VLOOKUP(VALUE(D3018),$D$3:F$106,3,FALSE)</f>
        <v>Guidance Counselors</v>
      </c>
      <c r="C3018" t="s">
        <v>314</v>
      </c>
      <c r="D3018">
        <v>855</v>
      </c>
      <c r="E3018" t="s">
        <v>1001</v>
      </c>
      <c r="F3018" t="s">
        <v>316</v>
      </c>
      <c r="G3018" t="s">
        <v>319</v>
      </c>
      <c r="H3018" s="502">
        <v>51000</v>
      </c>
      <c r="I3018" s="415">
        <v>0</v>
      </c>
      <c r="J3018" s="415">
        <v>53596.92</v>
      </c>
      <c r="K3018" s="415">
        <v>63971.96</v>
      </c>
      <c r="L3018" s="415">
        <v>60342.879999999997</v>
      </c>
      <c r="M3018" s="415">
        <v>57346.12</v>
      </c>
      <c r="N3018" s="415">
        <v>40908.699999999997</v>
      </c>
      <c r="O3018" s="415">
        <v>49329.599999999999</v>
      </c>
      <c r="P3018" s="415">
        <v>47411.91</v>
      </c>
      <c r="Q3018" s="481">
        <f t="shared" si="93"/>
        <v>53596.92</v>
      </c>
    </row>
    <row r="3019" spans="1:17" x14ac:dyDescent="0.3">
      <c r="A3019" s="366" t="str">
        <f>IFERROR(VLOOKUP(RIGHT(E3019,3)+0,[1]SchLocTable!$A$2:$B$47,2,FALSE)," ")</f>
        <v>Roosevelt</v>
      </c>
      <c r="B3019" s="366" t="str">
        <f>VLOOKUP(VALUE(D3019),$D$3:F$106,3,FALSE)</f>
        <v>Guidance Counselors</v>
      </c>
      <c r="C3019" t="s">
        <v>314</v>
      </c>
      <c r="D3019">
        <v>855</v>
      </c>
      <c r="E3019" t="s">
        <v>1001</v>
      </c>
      <c r="F3019" t="s">
        <v>321</v>
      </c>
      <c r="G3019" t="s">
        <v>319</v>
      </c>
      <c r="H3019" s="502">
        <v>52917</v>
      </c>
      <c r="I3019" s="415">
        <v>0</v>
      </c>
      <c r="J3019" s="415">
        <v>10370.64</v>
      </c>
      <c r="K3019" s="415">
        <v>11844</v>
      </c>
      <c r="L3019" s="415">
        <v>11629.17</v>
      </c>
      <c r="M3019" s="415">
        <v>10952.55</v>
      </c>
      <c r="N3019" s="415">
        <v>10177.23</v>
      </c>
      <c r="O3019" s="415">
        <v>0</v>
      </c>
      <c r="P3019" s="415">
        <v>9245.67</v>
      </c>
      <c r="Q3019" s="481">
        <f t="shared" si="93"/>
        <v>10370.64</v>
      </c>
    </row>
    <row r="3020" spans="1:17" x14ac:dyDescent="0.3">
      <c r="A3020" s="366" t="str">
        <f>IFERROR(VLOOKUP(RIGHT(E3020,3)+0,[1]SchLocTable!$A$2:$B$47,2,FALSE)," ")</f>
        <v>Roosevelt</v>
      </c>
      <c r="B3020" s="366" t="str">
        <f>VLOOKUP(VALUE(D3020),$D$3:F$106,3,FALSE)</f>
        <v>Guidance Counselors</v>
      </c>
      <c r="C3020" t="s">
        <v>314</v>
      </c>
      <c r="D3020">
        <v>855</v>
      </c>
      <c r="E3020" t="s">
        <v>1001</v>
      </c>
      <c r="F3020" t="s">
        <v>320</v>
      </c>
      <c r="G3020" t="s">
        <v>319</v>
      </c>
      <c r="H3020" s="502">
        <v>52360</v>
      </c>
      <c r="I3020" s="415">
        <v>0</v>
      </c>
      <c r="J3020" s="415">
        <v>770.61</v>
      </c>
      <c r="K3020" s="415">
        <v>877.03</v>
      </c>
      <c r="L3020" s="415">
        <v>826.72</v>
      </c>
      <c r="M3020" s="415">
        <v>787.36</v>
      </c>
      <c r="N3020" s="415">
        <v>757.59</v>
      </c>
      <c r="O3020" s="415">
        <v>715.28</v>
      </c>
      <c r="P3020" s="415">
        <v>652.84</v>
      </c>
      <c r="Q3020" s="481">
        <f t="shared" si="93"/>
        <v>770.61</v>
      </c>
    </row>
    <row r="3021" spans="1:17" x14ac:dyDescent="0.3">
      <c r="A3021" s="366" t="str">
        <f>IFERROR(VLOOKUP(RIGHT(E3021,3)+0,[1]SchLocTable!$A$2:$B$47,2,FALSE)," ")</f>
        <v>Waltersville</v>
      </c>
      <c r="B3021" s="366" t="str">
        <f>VLOOKUP(VALUE(D3021),$D$3:F$106,3,FALSE)</f>
        <v>Guidance Counselors</v>
      </c>
      <c r="C3021" t="s">
        <v>314</v>
      </c>
      <c r="D3021">
        <v>855</v>
      </c>
      <c r="E3021" t="s">
        <v>1002</v>
      </c>
      <c r="F3021" t="s">
        <v>318</v>
      </c>
      <c r="G3021" t="s">
        <v>319</v>
      </c>
      <c r="H3021" s="502">
        <v>51140</v>
      </c>
      <c r="I3021" s="415">
        <v>0</v>
      </c>
      <c r="J3021" s="415">
        <v>0</v>
      </c>
      <c r="K3021" s="415">
        <v>0</v>
      </c>
      <c r="L3021" s="415">
        <v>900</v>
      </c>
      <c r="M3021" s="415">
        <v>900</v>
      </c>
      <c r="N3021" s="415">
        <v>0</v>
      </c>
      <c r="O3021" s="415">
        <v>0</v>
      </c>
      <c r="P3021" s="415">
        <v>0</v>
      </c>
      <c r="Q3021" s="481">
        <f t="shared" si="93"/>
        <v>0</v>
      </c>
    </row>
    <row r="3022" spans="1:17" x14ac:dyDescent="0.3">
      <c r="A3022" s="366" t="str">
        <f>IFERROR(VLOOKUP(RIGHT(E3022,3)+0,[1]SchLocTable!$A$2:$B$47,2,FALSE)," ")</f>
        <v>Waltersville</v>
      </c>
      <c r="B3022" s="366" t="str">
        <f>VLOOKUP(VALUE(D3022),$D$3:F$106,3,FALSE)</f>
        <v>Guidance Counselors</v>
      </c>
      <c r="C3022" t="s">
        <v>314</v>
      </c>
      <c r="D3022">
        <v>855</v>
      </c>
      <c r="E3022" t="s">
        <v>1002</v>
      </c>
      <c r="F3022" t="s">
        <v>320</v>
      </c>
      <c r="G3022" t="s">
        <v>319</v>
      </c>
      <c r="H3022" s="502">
        <v>52360</v>
      </c>
      <c r="I3022" s="415">
        <v>0</v>
      </c>
      <c r="J3022" s="415">
        <v>0</v>
      </c>
      <c r="K3022" s="415">
        <v>0</v>
      </c>
      <c r="L3022" s="415">
        <v>13.05</v>
      </c>
      <c r="M3022" s="415">
        <v>0</v>
      </c>
      <c r="N3022" s="415">
        <v>0</v>
      </c>
      <c r="O3022" s="415">
        <v>0</v>
      </c>
      <c r="P3022" s="415">
        <v>0</v>
      </c>
      <c r="Q3022" s="481">
        <f t="shared" si="93"/>
        <v>0</v>
      </c>
    </row>
    <row r="3023" spans="1:17" x14ac:dyDescent="0.3">
      <c r="A3023" s="366" t="str">
        <f>IFERROR(VLOOKUP(RIGHT(E3023,3)+0,[1]SchLocTable!$A$2:$B$47,2,FALSE)," ")</f>
        <v>Winthrop</v>
      </c>
      <c r="B3023" s="366" t="str">
        <f>VLOOKUP(VALUE(D3023),$D$3:F$106,3,FALSE)</f>
        <v>Guidance Counselors</v>
      </c>
      <c r="C3023" t="s">
        <v>314</v>
      </c>
      <c r="D3023">
        <v>855</v>
      </c>
      <c r="E3023" t="s">
        <v>1003</v>
      </c>
      <c r="F3023" t="s">
        <v>316</v>
      </c>
      <c r="G3023" t="s">
        <v>319</v>
      </c>
      <c r="H3023" s="502">
        <v>51000</v>
      </c>
      <c r="I3023" s="415">
        <v>0</v>
      </c>
      <c r="J3023" s="415">
        <v>50362.78</v>
      </c>
      <c r="K3023" s="415">
        <v>44815.15</v>
      </c>
      <c r="L3023" s="415">
        <v>52902.98</v>
      </c>
      <c r="M3023" s="415">
        <v>60254.34</v>
      </c>
      <c r="N3023" s="415">
        <v>88897.12</v>
      </c>
      <c r="O3023" s="415">
        <v>83106.92</v>
      </c>
      <c r="P3023" s="415">
        <v>81798.080000000002</v>
      </c>
      <c r="Q3023" s="481">
        <f t="shared" si="93"/>
        <v>50362.78</v>
      </c>
    </row>
    <row r="3024" spans="1:17" x14ac:dyDescent="0.3">
      <c r="A3024" s="366" t="str">
        <f>IFERROR(VLOOKUP(RIGHT(E3024,3)+0,[1]SchLocTable!$A$2:$B$47,2,FALSE)," ")</f>
        <v>Winthrop</v>
      </c>
      <c r="B3024" s="366" t="str">
        <f>VLOOKUP(VALUE(D3024),$D$3:F$106,3,FALSE)</f>
        <v>Guidance Counselors</v>
      </c>
      <c r="C3024" t="s">
        <v>314</v>
      </c>
      <c r="D3024">
        <v>855</v>
      </c>
      <c r="E3024" t="s">
        <v>1003</v>
      </c>
      <c r="F3024" t="s">
        <v>321</v>
      </c>
      <c r="G3024" t="s">
        <v>319</v>
      </c>
      <c r="H3024" s="502">
        <v>52917</v>
      </c>
      <c r="I3024" s="415">
        <v>0</v>
      </c>
      <c r="J3024" s="415">
        <v>0</v>
      </c>
      <c r="K3024" s="415">
        <v>9775.44</v>
      </c>
      <c r="L3024" s="415">
        <v>11205.18</v>
      </c>
      <c r="M3024" s="415">
        <v>5657.69</v>
      </c>
      <c r="N3024" s="415">
        <v>10232.879999999999</v>
      </c>
      <c r="O3024" s="415">
        <v>9817.68</v>
      </c>
      <c r="P3024" s="415">
        <v>9245.67</v>
      </c>
      <c r="Q3024" s="481">
        <f t="shared" si="93"/>
        <v>0</v>
      </c>
    </row>
    <row r="3025" spans="1:17" x14ac:dyDescent="0.3">
      <c r="A3025" s="366" t="str">
        <f>IFERROR(VLOOKUP(RIGHT(E3025,3)+0,[1]SchLocTable!$A$2:$B$47,2,FALSE)," ")</f>
        <v>Winthrop</v>
      </c>
      <c r="B3025" s="366" t="str">
        <f>VLOOKUP(VALUE(D3025),$D$3:F$106,3,FALSE)</f>
        <v>Guidance Counselors</v>
      </c>
      <c r="C3025" t="s">
        <v>314</v>
      </c>
      <c r="D3025">
        <v>855</v>
      </c>
      <c r="E3025" t="s">
        <v>1003</v>
      </c>
      <c r="F3025" t="s">
        <v>320</v>
      </c>
      <c r="G3025" t="s">
        <v>319</v>
      </c>
      <c r="H3025" s="502">
        <v>52360</v>
      </c>
      <c r="I3025" s="415">
        <v>0</v>
      </c>
      <c r="J3025" s="415">
        <v>730.27</v>
      </c>
      <c r="K3025" s="415">
        <v>607.48</v>
      </c>
      <c r="L3025" s="415">
        <v>719.92</v>
      </c>
      <c r="M3025" s="415">
        <v>850.77</v>
      </c>
      <c r="N3025" s="415">
        <v>1262.0999999999999</v>
      </c>
      <c r="O3025" s="415">
        <v>1180.81</v>
      </c>
      <c r="P3025" s="415">
        <v>1151.44</v>
      </c>
      <c r="Q3025" s="481">
        <f t="shared" si="93"/>
        <v>730.27</v>
      </c>
    </row>
    <row r="3026" spans="1:17" x14ac:dyDescent="0.3">
      <c r="A3026" s="366" t="str">
        <f>IFERROR(VLOOKUP(RIGHT(E3026,3)+0,[1]SchLocTable!$A$2:$B$47,2,FALSE)," ")</f>
        <v>Discovery</v>
      </c>
      <c r="B3026" s="366" t="str">
        <f>VLOOKUP(VALUE(D3026),$D$3:F$106,3,FALSE)</f>
        <v>Guidance Counselors</v>
      </c>
      <c r="C3026" t="s">
        <v>314</v>
      </c>
      <c r="D3026">
        <v>855</v>
      </c>
      <c r="E3026" t="s">
        <v>1004</v>
      </c>
      <c r="F3026" t="s">
        <v>316</v>
      </c>
      <c r="G3026" t="s">
        <v>319</v>
      </c>
      <c r="H3026" s="502">
        <v>51000</v>
      </c>
      <c r="I3026" s="415">
        <v>0</v>
      </c>
      <c r="J3026" s="415">
        <v>0</v>
      </c>
      <c r="K3026" s="415">
        <v>7481.07</v>
      </c>
      <c r="L3026" s="415">
        <v>59913.88</v>
      </c>
      <c r="M3026" s="415">
        <v>85011.9</v>
      </c>
      <c r="N3026" s="415">
        <v>41548.879999999997</v>
      </c>
      <c r="O3026" s="415">
        <v>71106.92</v>
      </c>
      <c r="P3026" s="415">
        <v>61593.98</v>
      </c>
      <c r="Q3026" s="481">
        <f t="shared" si="93"/>
        <v>0</v>
      </c>
    </row>
    <row r="3027" spans="1:17" x14ac:dyDescent="0.3">
      <c r="A3027" s="366" t="str">
        <f>IFERROR(VLOOKUP(RIGHT(E3027,3)+0,[1]SchLocTable!$A$2:$B$47,2,FALSE)," ")</f>
        <v>Discovery</v>
      </c>
      <c r="B3027" s="366" t="str">
        <f>VLOOKUP(VALUE(D3027),$D$3:F$106,3,FALSE)</f>
        <v>Guidance Counselors</v>
      </c>
      <c r="C3027" t="s">
        <v>314</v>
      </c>
      <c r="D3027">
        <v>855</v>
      </c>
      <c r="E3027" t="s">
        <v>1004</v>
      </c>
      <c r="F3027" t="s">
        <v>321</v>
      </c>
      <c r="G3027" t="s">
        <v>319</v>
      </c>
      <c r="H3027" s="502">
        <v>52917</v>
      </c>
      <c r="I3027" s="415">
        <v>0</v>
      </c>
      <c r="J3027" s="415">
        <v>0</v>
      </c>
      <c r="K3027" s="415">
        <v>1692</v>
      </c>
      <c r="L3027" s="415">
        <v>11684.82</v>
      </c>
      <c r="M3027" s="415">
        <v>10956.75</v>
      </c>
      <c r="N3027" s="415">
        <v>10232.879999999999</v>
      </c>
      <c r="O3027" s="415">
        <v>9817.68</v>
      </c>
      <c r="P3027" s="415">
        <v>0</v>
      </c>
      <c r="Q3027" s="481">
        <f t="shared" si="93"/>
        <v>0</v>
      </c>
    </row>
    <row r="3028" spans="1:17" x14ac:dyDescent="0.3">
      <c r="A3028" s="366" t="str">
        <f>IFERROR(VLOOKUP(RIGHT(E3028,3)+0,[1]SchLocTable!$A$2:$B$47,2,FALSE)," ")</f>
        <v>Discovery</v>
      </c>
      <c r="B3028" s="366" t="str">
        <f>VLOOKUP(VALUE(D3028),$D$3:F$106,3,FALSE)</f>
        <v>Guidance Counselors</v>
      </c>
      <c r="C3028" t="s">
        <v>314</v>
      </c>
      <c r="D3028">
        <v>855</v>
      </c>
      <c r="E3028" t="s">
        <v>1004</v>
      </c>
      <c r="F3028" t="s">
        <v>318</v>
      </c>
      <c r="G3028" t="s">
        <v>319</v>
      </c>
      <c r="H3028" s="502">
        <v>51140</v>
      </c>
      <c r="I3028" s="415">
        <v>0</v>
      </c>
      <c r="J3028" s="415">
        <v>0</v>
      </c>
      <c r="K3028" s="415">
        <v>0</v>
      </c>
      <c r="L3028" s="415">
        <v>0</v>
      </c>
      <c r="M3028" s="415">
        <v>2400</v>
      </c>
      <c r="N3028" s="415">
        <v>1200</v>
      </c>
      <c r="O3028" s="415">
        <v>1200</v>
      </c>
      <c r="P3028" s="415">
        <v>1200</v>
      </c>
      <c r="Q3028" s="481">
        <f t="shared" si="93"/>
        <v>0</v>
      </c>
    </row>
    <row r="3029" spans="1:17" x14ac:dyDescent="0.3">
      <c r="A3029" s="366" t="str">
        <f>IFERROR(VLOOKUP(RIGHT(E3029,3)+0,[1]SchLocTable!$A$2:$B$47,2,FALSE)," ")</f>
        <v>Discovery</v>
      </c>
      <c r="B3029" s="366" t="str">
        <f>VLOOKUP(VALUE(D3029),$D$3:F$106,3,FALSE)</f>
        <v>Guidance Counselors</v>
      </c>
      <c r="C3029" t="s">
        <v>314</v>
      </c>
      <c r="D3029">
        <v>855</v>
      </c>
      <c r="E3029" t="s">
        <v>1004</v>
      </c>
      <c r="F3029" t="s">
        <v>320</v>
      </c>
      <c r="G3029" t="s">
        <v>319</v>
      </c>
      <c r="H3029" s="502">
        <v>52360</v>
      </c>
      <c r="I3029" s="415">
        <v>0</v>
      </c>
      <c r="J3029" s="415">
        <v>0</v>
      </c>
      <c r="K3029" s="415">
        <v>101.26</v>
      </c>
      <c r="L3029" s="415">
        <v>820.35</v>
      </c>
      <c r="M3029" s="415">
        <v>1591.25</v>
      </c>
      <c r="N3029" s="415">
        <v>1391.9</v>
      </c>
      <c r="O3029" s="415">
        <v>1373.65</v>
      </c>
      <c r="P3029" s="415">
        <v>1485.72</v>
      </c>
      <c r="Q3029" s="481">
        <f t="shared" si="93"/>
        <v>0</v>
      </c>
    </row>
    <row r="3030" spans="1:17" x14ac:dyDescent="0.3">
      <c r="A3030" s="366" t="str">
        <f>IFERROR(VLOOKUP(RIGHT(E3030,3)+0,[1]SchLocTable!$A$2:$B$47,2,FALSE)," ")</f>
        <v>Discovery</v>
      </c>
      <c r="B3030" s="366" t="str">
        <f>VLOOKUP(VALUE(D3030),$D$3:F$106,3,FALSE)</f>
        <v>Guidance Counselors</v>
      </c>
      <c r="C3030" t="s">
        <v>314</v>
      </c>
      <c r="D3030">
        <v>855</v>
      </c>
      <c r="E3030" t="s">
        <v>1004</v>
      </c>
      <c r="F3030" t="s">
        <v>329</v>
      </c>
      <c r="G3030" t="s">
        <v>319</v>
      </c>
      <c r="H3030" s="502">
        <v>51154</v>
      </c>
      <c r="I3030" s="415">
        <v>0</v>
      </c>
      <c r="J3030" s="415">
        <v>0</v>
      </c>
      <c r="K3030" s="415">
        <v>0</v>
      </c>
      <c r="L3030" s="415">
        <v>0</v>
      </c>
      <c r="M3030" s="415">
        <v>11375</v>
      </c>
      <c r="N3030" s="415">
        <v>0</v>
      </c>
      <c r="O3030" s="415">
        <v>0</v>
      </c>
      <c r="P3030" s="415">
        <v>0</v>
      </c>
      <c r="Q3030" s="481">
        <f t="shared" si="93"/>
        <v>0</v>
      </c>
    </row>
    <row r="3031" spans="1:17" x14ac:dyDescent="0.3">
      <c r="A3031" s="366" t="str">
        <f>IFERROR(VLOOKUP(RIGHT(E3031,3)+0,[1]SchLocTable!$A$2:$B$47,2,FALSE)," ")</f>
        <v>Cross</v>
      </c>
      <c r="B3031" s="366" t="str">
        <f>VLOOKUP(VALUE(D3031),$D$3:F$106,3,FALSE)</f>
        <v>Guidance Counselors</v>
      </c>
      <c r="C3031" t="s">
        <v>314</v>
      </c>
      <c r="D3031">
        <v>855</v>
      </c>
      <c r="E3031" t="s">
        <v>1005</v>
      </c>
      <c r="F3031" t="s">
        <v>316</v>
      </c>
      <c r="G3031" t="s">
        <v>319</v>
      </c>
      <c r="H3031" s="502">
        <v>51000</v>
      </c>
      <c r="I3031" s="415">
        <v>0</v>
      </c>
      <c r="J3031" s="415">
        <v>0</v>
      </c>
      <c r="K3031" s="415">
        <v>21324.03</v>
      </c>
      <c r="L3031" s="415">
        <v>0</v>
      </c>
      <c r="M3031" s="415">
        <v>0</v>
      </c>
      <c r="N3031" s="415">
        <v>0</v>
      </c>
      <c r="O3031" s="415">
        <v>0</v>
      </c>
      <c r="P3031" s="415">
        <v>0</v>
      </c>
      <c r="Q3031" s="481">
        <f t="shared" si="93"/>
        <v>0</v>
      </c>
    </row>
    <row r="3032" spans="1:17" x14ac:dyDescent="0.3">
      <c r="A3032" s="366" t="str">
        <f>IFERROR(VLOOKUP(RIGHT(E3032,3)+0,[1]SchLocTable!$A$2:$B$47,2,FALSE)," ")</f>
        <v>Cross</v>
      </c>
      <c r="B3032" s="366" t="str">
        <f>VLOOKUP(VALUE(D3032),$D$3:F$106,3,FALSE)</f>
        <v>Guidance Counselors</v>
      </c>
      <c r="C3032" t="s">
        <v>314</v>
      </c>
      <c r="D3032">
        <v>855</v>
      </c>
      <c r="E3032" t="s">
        <v>1005</v>
      </c>
      <c r="F3032" t="s">
        <v>320</v>
      </c>
      <c r="G3032" t="s">
        <v>319</v>
      </c>
      <c r="H3032" s="502">
        <v>52360</v>
      </c>
      <c r="I3032" s="415">
        <v>0</v>
      </c>
      <c r="J3032" s="415">
        <v>0</v>
      </c>
      <c r="K3032" s="415">
        <v>309.2</v>
      </c>
      <c r="L3032" s="415">
        <v>0</v>
      </c>
      <c r="M3032" s="415">
        <v>0</v>
      </c>
      <c r="N3032" s="415">
        <v>0</v>
      </c>
      <c r="O3032" s="415">
        <v>0</v>
      </c>
      <c r="P3032" s="415">
        <v>0</v>
      </c>
      <c r="Q3032" s="481">
        <f t="shared" si="93"/>
        <v>0</v>
      </c>
    </row>
    <row r="3033" spans="1:17" x14ac:dyDescent="0.3">
      <c r="A3033" s="366" t="str">
        <f>IFERROR(VLOOKUP(RIGHT(E3033,3)+0,[1]SchLocTable!$A$2:$B$47,2,FALSE)," ")</f>
        <v>Curiale</v>
      </c>
      <c r="B3033" s="366" t="str">
        <f>VLOOKUP(VALUE(D3033),$D$3:F$106,3,FALSE)</f>
        <v>Guidance Counselors</v>
      </c>
      <c r="C3033" t="s">
        <v>314</v>
      </c>
      <c r="D3033">
        <v>855</v>
      </c>
      <c r="E3033" t="s">
        <v>1006</v>
      </c>
      <c r="F3033" t="s">
        <v>316</v>
      </c>
      <c r="G3033">
        <v>1</v>
      </c>
      <c r="H3033" s="502">
        <v>51000</v>
      </c>
      <c r="I3033" s="415">
        <v>0</v>
      </c>
      <c r="J3033" s="415">
        <v>94155</v>
      </c>
      <c r="K3033" s="415">
        <v>89786.06</v>
      </c>
      <c r="L3033" s="415">
        <v>38357.040000000001</v>
      </c>
      <c r="M3033" s="415">
        <v>77032.02</v>
      </c>
      <c r="N3033" s="415">
        <v>72752.94</v>
      </c>
      <c r="O3033" s="415">
        <v>68473.08</v>
      </c>
      <c r="P3033" s="415">
        <v>67395.12</v>
      </c>
      <c r="Q3033" s="481">
        <f t="shared" si="93"/>
        <v>94155</v>
      </c>
    </row>
    <row r="3034" spans="1:17" x14ac:dyDescent="0.3">
      <c r="A3034" s="366" t="str">
        <f>IFERROR(VLOOKUP(RIGHT(E3034,3)+0,[1]SchLocTable!$A$2:$B$47,2,FALSE)," ")</f>
        <v>Curiale</v>
      </c>
      <c r="B3034" s="366" t="str">
        <f>VLOOKUP(VALUE(D3034),$D$3:F$106,3,FALSE)</f>
        <v>Guidance Counselors</v>
      </c>
      <c r="C3034" t="s">
        <v>314</v>
      </c>
      <c r="D3034">
        <v>855</v>
      </c>
      <c r="E3034" t="s">
        <v>1006</v>
      </c>
      <c r="F3034" t="s">
        <v>321</v>
      </c>
      <c r="G3034" t="s">
        <v>319</v>
      </c>
      <c r="H3034" s="502">
        <v>52917</v>
      </c>
      <c r="I3034" s="415">
        <v>0</v>
      </c>
      <c r="J3034" s="415">
        <v>13037.22</v>
      </c>
      <c r="K3034" s="415">
        <v>11844</v>
      </c>
      <c r="L3034" s="415">
        <v>3894.94</v>
      </c>
      <c r="M3034" s="415">
        <v>10956.75</v>
      </c>
      <c r="N3034" s="415">
        <v>10232.879999999999</v>
      </c>
      <c r="O3034" s="415">
        <v>9817.68</v>
      </c>
      <c r="P3034" s="415">
        <v>9245.67</v>
      </c>
      <c r="Q3034" s="481">
        <f t="shared" si="93"/>
        <v>13037.22</v>
      </c>
    </row>
    <row r="3035" spans="1:17" x14ac:dyDescent="0.3">
      <c r="A3035" s="366" t="str">
        <f>IFERROR(VLOOKUP(RIGHT(E3035,3)+0,[1]SchLocTable!$A$2:$B$47,2,FALSE)," ")</f>
        <v>Curiale</v>
      </c>
      <c r="B3035" s="366" t="str">
        <f>VLOOKUP(VALUE(D3035),$D$3:F$106,3,FALSE)</f>
        <v>Guidance Counselors</v>
      </c>
      <c r="C3035" t="s">
        <v>314</v>
      </c>
      <c r="D3035">
        <v>855</v>
      </c>
      <c r="E3035" t="s">
        <v>1006</v>
      </c>
      <c r="F3035" t="s">
        <v>318</v>
      </c>
      <c r="G3035" t="s">
        <v>319</v>
      </c>
      <c r="H3035" s="502">
        <v>51140</v>
      </c>
      <c r="I3035" s="415">
        <v>900</v>
      </c>
      <c r="J3035" s="415">
        <v>0</v>
      </c>
      <c r="K3035" s="415">
        <v>900</v>
      </c>
      <c r="L3035" s="415">
        <v>0</v>
      </c>
      <c r="M3035" s="415">
        <v>0</v>
      </c>
      <c r="N3035" s="415">
        <v>0</v>
      </c>
      <c r="O3035" s="415">
        <v>0</v>
      </c>
      <c r="P3035" s="415">
        <v>0</v>
      </c>
      <c r="Q3035" s="481">
        <f t="shared" si="93"/>
        <v>-900</v>
      </c>
    </row>
    <row r="3036" spans="1:17" x14ac:dyDescent="0.3">
      <c r="A3036" s="366" t="str">
        <f>IFERROR(VLOOKUP(RIGHT(E3036,3)+0,[1]SchLocTable!$A$2:$B$47,2,FALSE)," ")</f>
        <v>Curiale</v>
      </c>
      <c r="B3036" s="366" t="str">
        <f>VLOOKUP(VALUE(D3036),$D$3:F$106,3,FALSE)</f>
        <v>Guidance Counselors</v>
      </c>
      <c r="C3036" t="s">
        <v>314</v>
      </c>
      <c r="D3036">
        <v>855</v>
      </c>
      <c r="E3036" t="s">
        <v>1006</v>
      </c>
      <c r="F3036" t="s">
        <v>320</v>
      </c>
      <c r="G3036" t="s">
        <v>319</v>
      </c>
      <c r="H3036" s="502">
        <v>52360</v>
      </c>
      <c r="I3036" s="415">
        <v>0</v>
      </c>
      <c r="J3036" s="415">
        <v>1308</v>
      </c>
      <c r="K3036" s="415">
        <v>1264.3900000000001</v>
      </c>
      <c r="L3036" s="415">
        <v>540.04</v>
      </c>
      <c r="M3036" s="415">
        <v>1072.81</v>
      </c>
      <c r="N3036" s="415">
        <v>1014.95</v>
      </c>
      <c r="O3036" s="415">
        <v>955.57</v>
      </c>
      <c r="P3036" s="415">
        <v>942.6</v>
      </c>
      <c r="Q3036" s="481">
        <f t="shared" si="93"/>
        <v>1308</v>
      </c>
    </row>
    <row r="3037" spans="1:17" x14ac:dyDescent="0.3">
      <c r="A3037" s="366" t="str">
        <f>IFERROR(VLOOKUP(RIGHT(E3037,3)+0,[1]SchLocTable!$A$2:$B$47,2,FALSE)," ")</f>
        <v>High Horizons Magnet</v>
      </c>
      <c r="B3037" s="366" t="str">
        <f>VLOOKUP(VALUE(D3037),$D$3:F$106,3,FALSE)</f>
        <v>Guidance Counselors</v>
      </c>
      <c r="C3037" t="s">
        <v>314</v>
      </c>
      <c r="D3037">
        <v>855</v>
      </c>
      <c r="E3037" t="s">
        <v>1007</v>
      </c>
      <c r="F3037" t="s">
        <v>316</v>
      </c>
      <c r="G3037">
        <v>1</v>
      </c>
      <c r="H3037" s="502">
        <v>51000</v>
      </c>
      <c r="I3037" s="415">
        <v>0</v>
      </c>
      <c r="J3037" s="415">
        <v>69158</v>
      </c>
      <c r="K3037" s="415">
        <v>64835.94</v>
      </c>
      <c r="L3037" s="415">
        <v>59913.88</v>
      </c>
      <c r="M3037" s="415">
        <v>51103.67</v>
      </c>
      <c r="N3037" s="415">
        <v>56611.85</v>
      </c>
      <c r="O3037" s="415">
        <v>54622.1</v>
      </c>
      <c r="P3037" s="415">
        <v>53762.02</v>
      </c>
      <c r="Q3037" s="481">
        <f t="shared" si="93"/>
        <v>69158</v>
      </c>
    </row>
    <row r="3038" spans="1:17" x14ac:dyDescent="0.3">
      <c r="A3038" s="366" t="str">
        <f>IFERROR(VLOOKUP(RIGHT(E3038,3)+0,[1]SchLocTable!$A$2:$B$47,2,FALSE)," ")</f>
        <v>High Horizons Magnet</v>
      </c>
      <c r="B3038" s="366" t="str">
        <f>VLOOKUP(VALUE(D3038),$D$3:F$106,3,FALSE)</f>
        <v>Guidance Counselors</v>
      </c>
      <c r="C3038" t="s">
        <v>314</v>
      </c>
      <c r="D3038">
        <v>855</v>
      </c>
      <c r="E3038" t="s">
        <v>1007</v>
      </c>
      <c r="F3038" t="s">
        <v>321</v>
      </c>
      <c r="G3038" t="s">
        <v>319</v>
      </c>
      <c r="H3038" s="502">
        <v>52917</v>
      </c>
      <c r="I3038" s="415">
        <v>0</v>
      </c>
      <c r="J3038" s="415">
        <v>13037.22</v>
      </c>
      <c r="K3038" s="415">
        <v>11844</v>
      </c>
      <c r="L3038" s="415">
        <v>11684.82</v>
      </c>
      <c r="M3038" s="415">
        <v>9913.25</v>
      </c>
      <c r="N3038" s="415">
        <v>9692.6</v>
      </c>
      <c r="O3038" s="415">
        <v>0</v>
      </c>
      <c r="P3038" s="415">
        <v>0</v>
      </c>
      <c r="Q3038" s="481">
        <f t="shared" si="93"/>
        <v>13037.22</v>
      </c>
    </row>
    <row r="3039" spans="1:17" x14ac:dyDescent="0.3">
      <c r="A3039" s="366" t="str">
        <f>IFERROR(VLOOKUP(RIGHT(E3039,3)+0,[1]SchLocTable!$A$2:$B$47,2,FALSE)," ")</f>
        <v>High Horizons Magnet</v>
      </c>
      <c r="B3039" s="366" t="str">
        <f>VLOOKUP(VALUE(D3039),$D$3:F$106,3,FALSE)</f>
        <v>Guidance Counselors</v>
      </c>
      <c r="C3039" t="s">
        <v>314</v>
      </c>
      <c r="D3039">
        <v>855</v>
      </c>
      <c r="E3039" t="s">
        <v>1007</v>
      </c>
      <c r="F3039" t="s">
        <v>320</v>
      </c>
      <c r="G3039" t="s">
        <v>319</v>
      </c>
      <c r="H3039" s="502">
        <v>52360</v>
      </c>
      <c r="I3039" s="415">
        <v>0</v>
      </c>
      <c r="J3039" s="415">
        <v>932</v>
      </c>
      <c r="K3039" s="415">
        <v>889.56</v>
      </c>
      <c r="L3039" s="415">
        <v>820.33</v>
      </c>
      <c r="M3039" s="415">
        <v>701.05</v>
      </c>
      <c r="N3039" s="415">
        <v>782.93</v>
      </c>
      <c r="O3039" s="415">
        <v>792.02</v>
      </c>
      <c r="P3039" s="415">
        <v>779.56</v>
      </c>
      <c r="Q3039" s="481">
        <f t="shared" si="93"/>
        <v>932</v>
      </c>
    </row>
    <row r="3040" spans="1:17" x14ac:dyDescent="0.3">
      <c r="A3040" s="366" t="str">
        <f>IFERROR(VLOOKUP(RIGHT(E3040,3)+0,[1]SchLocTable!$A$2:$B$47,2,FALSE)," ")</f>
        <v>Bassick HS</v>
      </c>
      <c r="B3040" s="366" t="str">
        <f>VLOOKUP(VALUE(D3040),$D$3:F$106,3,FALSE)</f>
        <v>Guidance Counselors</v>
      </c>
      <c r="C3040" t="s">
        <v>314</v>
      </c>
      <c r="D3040">
        <v>855</v>
      </c>
      <c r="E3040" t="s">
        <v>1008</v>
      </c>
      <c r="F3040" t="s">
        <v>316</v>
      </c>
      <c r="G3040">
        <v>2</v>
      </c>
      <c r="H3040" s="502">
        <v>51000</v>
      </c>
      <c r="I3040" s="415">
        <v>0</v>
      </c>
      <c r="J3040" s="415">
        <v>178551</v>
      </c>
      <c r="K3040" s="415">
        <v>124403.96</v>
      </c>
      <c r="L3040" s="415">
        <v>163385.32</v>
      </c>
      <c r="M3040" s="415">
        <v>153772.29999999999</v>
      </c>
      <c r="N3040" s="415">
        <v>153380.78</v>
      </c>
      <c r="O3040" s="415">
        <v>246835.94</v>
      </c>
      <c r="P3040" s="415">
        <v>242949.98</v>
      </c>
      <c r="Q3040" s="481">
        <f t="shared" si="93"/>
        <v>178551</v>
      </c>
    </row>
    <row r="3041" spans="1:17" x14ac:dyDescent="0.3">
      <c r="A3041" s="366" t="str">
        <f>IFERROR(VLOOKUP(RIGHT(E3041,3)+0,[1]SchLocTable!$A$2:$B$47,2,FALSE)," ")</f>
        <v>Bassick HS</v>
      </c>
      <c r="B3041" s="366" t="str">
        <f>VLOOKUP(VALUE(D3041),$D$3:F$106,3,FALSE)</f>
        <v>Guidance Counselors</v>
      </c>
      <c r="C3041" t="s">
        <v>314</v>
      </c>
      <c r="D3041">
        <v>855</v>
      </c>
      <c r="E3041" t="s">
        <v>1008</v>
      </c>
      <c r="F3041" t="s">
        <v>334</v>
      </c>
      <c r="G3041" t="s">
        <v>319</v>
      </c>
      <c r="H3041" s="502">
        <v>51400</v>
      </c>
      <c r="I3041" s="415">
        <v>0</v>
      </c>
      <c r="J3041" s="415">
        <v>0</v>
      </c>
      <c r="K3041" s="415">
        <v>1596</v>
      </c>
      <c r="L3041" s="415">
        <v>1386</v>
      </c>
      <c r="M3041" s="415">
        <v>2058</v>
      </c>
      <c r="N3041" s="415">
        <v>336</v>
      </c>
      <c r="O3041" s="415">
        <v>0</v>
      </c>
      <c r="P3041" s="415">
        <v>885.5</v>
      </c>
      <c r="Q3041" s="481">
        <f t="shared" si="93"/>
        <v>0</v>
      </c>
    </row>
    <row r="3042" spans="1:17" x14ac:dyDescent="0.3">
      <c r="A3042" s="366" t="str">
        <f>IFERROR(VLOOKUP(RIGHT(E3042,3)+0,[1]SchLocTable!$A$2:$B$47,2,FALSE)," ")</f>
        <v>Bassick HS</v>
      </c>
      <c r="B3042" s="366" t="str">
        <f>VLOOKUP(VALUE(D3042),$D$3:F$106,3,FALSE)</f>
        <v>Guidance Counselors</v>
      </c>
      <c r="C3042" t="s">
        <v>314</v>
      </c>
      <c r="D3042">
        <v>855</v>
      </c>
      <c r="E3042" t="s">
        <v>1008</v>
      </c>
      <c r="F3042" t="s">
        <v>321</v>
      </c>
      <c r="G3042" t="s">
        <v>319</v>
      </c>
      <c r="H3042" s="502">
        <v>52917</v>
      </c>
      <c r="I3042" s="415">
        <v>0</v>
      </c>
      <c r="J3042" s="415">
        <v>67629.36</v>
      </c>
      <c r="K3042" s="415">
        <v>54240.6</v>
      </c>
      <c r="L3042" s="415">
        <v>68254.41</v>
      </c>
      <c r="M3042" s="415">
        <v>64042.23</v>
      </c>
      <c r="N3042" s="415">
        <v>59657.85</v>
      </c>
      <c r="O3042" s="415">
        <v>80888.09</v>
      </c>
      <c r="P3042" s="415">
        <v>73571.8</v>
      </c>
      <c r="Q3042" s="481">
        <f t="shared" si="93"/>
        <v>67629.36</v>
      </c>
    </row>
    <row r="3043" spans="1:17" x14ac:dyDescent="0.3">
      <c r="A3043" s="366" t="str">
        <f>IFERROR(VLOOKUP(RIGHT(E3043,3)+0,[1]SchLocTable!$A$2:$B$47,2,FALSE)," ")</f>
        <v>Bassick HS</v>
      </c>
      <c r="B3043" s="366" t="str">
        <f>VLOOKUP(VALUE(D3043),$D$3:F$106,3,FALSE)</f>
        <v>Guidance Counselors</v>
      </c>
      <c r="C3043" t="s">
        <v>314</v>
      </c>
      <c r="D3043">
        <v>855</v>
      </c>
      <c r="E3043" t="s">
        <v>1008</v>
      </c>
      <c r="F3043" t="s">
        <v>318</v>
      </c>
      <c r="G3043" t="s">
        <v>319</v>
      </c>
      <c r="H3043" s="502">
        <v>51140</v>
      </c>
      <c r="I3043" s="415">
        <v>0</v>
      </c>
      <c r="J3043" s="415">
        <v>0</v>
      </c>
      <c r="K3043" s="415">
        <v>2600</v>
      </c>
      <c r="L3043" s="415">
        <v>1300</v>
      </c>
      <c r="M3043" s="415">
        <v>1300</v>
      </c>
      <c r="N3043" s="415">
        <v>1300</v>
      </c>
      <c r="O3043" s="415">
        <v>2200</v>
      </c>
      <c r="P3043" s="415">
        <v>2200</v>
      </c>
      <c r="Q3043" s="481">
        <f t="shared" si="93"/>
        <v>0</v>
      </c>
    </row>
    <row r="3044" spans="1:17" x14ac:dyDescent="0.3">
      <c r="A3044" s="366" t="str">
        <f>IFERROR(VLOOKUP(RIGHT(E3044,3)+0,[1]SchLocTable!$A$2:$B$47,2,FALSE)," ")</f>
        <v>Bassick HS</v>
      </c>
      <c r="B3044" s="366" t="str">
        <f>VLOOKUP(VALUE(D3044),$D$3:F$106,3,FALSE)</f>
        <v>Guidance Counselors</v>
      </c>
      <c r="C3044" t="s">
        <v>314</v>
      </c>
      <c r="D3044">
        <v>855</v>
      </c>
      <c r="E3044" t="s">
        <v>1008</v>
      </c>
      <c r="F3044" t="s">
        <v>320</v>
      </c>
      <c r="G3044" t="s">
        <v>319</v>
      </c>
      <c r="H3044" s="502">
        <v>52360</v>
      </c>
      <c r="I3044" s="415">
        <v>0</v>
      </c>
      <c r="J3044" s="415">
        <v>859</v>
      </c>
      <c r="K3044" s="415">
        <v>867.57</v>
      </c>
      <c r="L3044" s="415">
        <v>803.36</v>
      </c>
      <c r="M3044" s="415">
        <v>672.17</v>
      </c>
      <c r="N3044" s="415">
        <v>693.53</v>
      </c>
      <c r="O3044" s="415">
        <v>2000.57</v>
      </c>
      <c r="P3044" s="415">
        <v>1995.35</v>
      </c>
      <c r="Q3044" s="481">
        <f t="shared" si="93"/>
        <v>859</v>
      </c>
    </row>
    <row r="3045" spans="1:17" x14ac:dyDescent="0.3">
      <c r="A3045" s="366" t="str">
        <f>IFERROR(VLOOKUP(RIGHT(E3045,3)+0,[1]SchLocTable!$A$2:$B$47,2,FALSE)," ")</f>
        <v>Bassick HS</v>
      </c>
      <c r="B3045" s="366" t="str">
        <f>VLOOKUP(VALUE(D3045),$D$3:F$106,3,FALSE)</f>
        <v>Guidance Counselors</v>
      </c>
      <c r="C3045" t="s">
        <v>314</v>
      </c>
      <c r="D3045">
        <v>855</v>
      </c>
      <c r="E3045" t="s">
        <v>1008</v>
      </c>
      <c r="F3045" t="s">
        <v>329</v>
      </c>
      <c r="G3045" t="s">
        <v>319</v>
      </c>
      <c r="H3045" s="502">
        <v>51154</v>
      </c>
      <c r="I3045" s="415">
        <v>0</v>
      </c>
      <c r="J3045" s="415">
        <v>0</v>
      </c>
      <c r="K3045" s="415">
        <v>11375</v>
      </c>
      <c r="L3045" s="415">
        <v>0</v>
      </c>
      <c r="M3045" s="415">
        <v>0</v>
      </c>
      <c r="N3045" s="415">
        <v>0</v>
      </c>
      <c r="O3045" s="415">
        <v>0</v>
      </c>
      <c r="P3045" s="415">
        <v>0</v>
      </c>
      <c r="Q3045" s="481">
        <f t="shared" si="93"/>
        <v>0</v>
      </c>
    </row>
    <row r="3046" spans="1:17" x14ac:dyDescent="0.3">
      <c r="A3046" s="366" t="str">
        <f>IFERROR(VLOOKUP(RIGHT(E3046,3)+0,[1]SchLocTable!$A$2:$B$47,2,FALSE)," ")</f>
        <v>Central HS</v>
      </c>
      <c r="B3046" s="366" t="str">
        <f>VLOOKUP(VALUE(D3046),$D$3:F$106,3,FALSE)</f>
        <v>Guidance Counselors</v>
      </c>
      <c r="C3046" t="s">
        <v>314</v>
      </c>
      <c r="D3046">
        <v>855</v>
      </c>
      <c r="E3046" t="s">
        <v>1009</v>
      </c>
      <c r="F3046" t="s">
        <v>316</v>
      </c>
      <c r="G3046">
        <v>4</v>
      </c>
      <c r="H3046" s="502">
        <v>51000</v>
      </c>
      <c r="I3046" s="415">
        <v>0</v>
      </c>
      <c r="J3046" s="415">
        <v>449204</v>
      </c>
      <c r="K3046" s="415">
        <v>436930.12</v>
      </c>
      <c r="L3046" s="415">
        <v>166501.07999999999</v>
      </c>
      <c r="M3046" s="415">
        <v>278358.58</v>
      </c>
      <c r="N3046" s="415">
        <v>350504.39</v>
      </c>
      <c r="O3046" s="415">
        <v>486730.8</v>
      </c>
      <c r="P3046" s="415">
        <v>527097.06000000006</v>
      </c>
      <c r="Q3046" s="481">
        <f t="shared" si="93"/>
        <v>449204</v>
      </c>
    </row>
    <row r="3047" spans="1:17" x14ac:dyDescent="0.3">
      <c r="A3047" s="366" t="str">
        <f>IFERROR(VLOOKUP(RIGHT(E3047,3)+0,[1]SchLocTable!$A$2:$B$47,2,FALSE)," ")</f>
        <v>Central HS</v>
      </c>
      <c r="B3047" s="366" t="str">
        <f>VLOOKUP(VALUE(D3047),$D$3:F$106,3,FALSE)</f>
        <v>Guidance Counselors</v>
      </c>
      <c r="C3047" t="s">
        <v>314</v>
      </c>
      <c r="D3047">
        <v>855</v>
      </c>
      <c r="E3047" t="s">
        <v>1009</v>
      </c>
      <c r="F3047" t="s">
        <v>334</v>
      </c>
      <c r="G3047" t="s">
        <v>319</v>
      </c>
      <c r="H3047" s="502">
        <v>51400</v>
      </c>
      <c r="I3047" s="415">
        <v>0</v>
      </c>
      <c r="J3047" s="415">
        <v>0</v>
      </c>
      <c r="K3047" s="415">
        <v>1260</v>
      </c>
      <c r="L3047" s="415">
        <v>2598.75</v>
      </c>
      <c r="M3047" s="415">
        <v>2526</v>
      </c>
      <c r="N3047" s="415">
        <v>1386</v>
      </c>
      <c r="O3047" s="415">
        <v>192.5</v>
      </c>
      <c r="P3047" s="415">
        <v>770</v>
      </c>
      <c r="Q3047" s="481">
        <f t="shared" si="93"/>
        <v>0</v>
      </c>
    </row>
    <row r="3048" spans="1:17" x14ac:dyDescent="0.3">
      <c r="A3048" s="366" t="str">
        <f>IFERROR(VLOOKUP(RIGHT(E3048,3)+0,[1]SchLocTable!$A$2:$B$47,2,FALSE)," ")</f>
        <v>Central HS</v>
      </c>
      <c r="B3048" s="366" t="str">
        <f>VLOOKUP(VALUE(D3048),$D$3:F$106,3,FALSE)</f>
        <v>Guidance Counselors</v>
      </c>
      <c r="C3048" t="s">
        <v>314</v>
      </c>
      <c r="D3048">
        <v>855</v>
      </c>
      <c r="E3048" t="s">
        <v>1009</v>
      </c>
      <c r="F3048" t="s">
        <v>321</v>
      </c>
      <c r="G3048" t="s">
        <v>319</v>
      </c>
      <c r="H3048" s="502">
        <v>52917</v>
      </c>
      <c r="I3048" s="415">
        <v>0</v>
      </c>
      <c r="J3048" s="415">
        <v>139958.70000000001</v>
      </c>
      <c r="K3048" s="415">
        <v>118341.89</v>
      </c>
      <c r="L3048" s="415">
        <v>97290.27</v>
      </c>
      <c r="M3048" s="415">
        <v>111313.8</v>
      </c>
      <c r="N3048" s="415">
        <v>109630.29</v>
      </c>
      <c r="O3048" s="415">
        <v>115134.82</v>
      </c>
      <c r="P3048" s="415">
        <v>121475.52</v>
      </c>
      <c r="Q3048" s="481">
        <f t="shared" si="93"/>
        <v>139958.70000000001</v>
      </c>
    </row>
    <row r="3049" spans="1:17" x14ac:dyDescent="0.3">
      <c r="A3049" s="366" t="str">
        <f>IFERROR(VLOOKUP(RIGHT(E3049,3)+0,[1]SchLocTable!$A$2:$B$47,2,FALSE)," ")</f>
        <v>Central HS</v>
      </c>
      <c r="B3049" s="366" t="str">
        <f>VLOOKUP(VALUE(D3049),$D$3:F$106,3,FALSE)</f>
        <v>Guidance Counselors</v>
      </c>
      <c r="C3049" t="s">
        <v>314</v>
      </c>
      <c r="D3049">
        <v>855</v>
      </c>
      <c r="E3049" t="s">
        <v>1009</v>
      </c>
      <c r="F3049" t="s">
        <v>318</v>
      </c>
      <c r="G3049" t="s">
        <v>319</v>
      </c>
      <c r="H3049" s="502">
        <v>51140</v>
      </c>
      <c r="I3049" s="415">
        <v>2000</v>
      </c>
      <c r="J3049" s="415">
        <v>0</v>
      </c>
      <c r="K3049" s="415">
        <v>3100</v>
      </c>
      <c r="L3049" s="415">
        <v>3100</v>
      </c>
      <c r="M3049" s="415">
        <v>3100</v>
      </c>
      <c r="N3049" s="415">
        <v>2900</v>
      </c>
      <c r="O3049" s="415">
        <v>4900</v>
      </c>
      <c r="P3049" s="415">
        <v>5500</v>
      </c>
      <c r="Q3049" s="481">
        <f t="shared" si="93"/>
        <v>-2000</v>
      </c>
    </row>
    <row r="3050" spans="1:17" x14ac:dyDescent="0.3">
      <c r="A3050" s="366" t="str">
        <f>IFERROR(VLOOKUP(RIGHT(E3050,3)+0,[1]SchLocTable!$A$2:$B$47,2,FALSE)," ")</f>
        <v>Central HS</v>
      </c>
      <c r="B3050" s="366" t="str">
        <f>VLOOKUP(VALUE(D3050),$D$3:F$106,3,FALSE)</f>
        <v>Guidance Counselors</v>
      </c>
      <c r="C3050" t="s">
        <v>314</v>
      </c>
      <c r="D3050">
        <v>855</v>
      </c>
      <c r="E3050" t="s">
        <v>1009</v>
      </c>
      <c r="F3050" t="s">
        <v>320</v>
      </c>
      <c r="G3050" t="s">
        <v>319</v>
      </c>
      <c r="H3050" s="502">
        <v>52360</v>
      </c>
      <c r="I3050" s="415">
        <v>0</v>
      </c>
      <c r="J3050" s="415">
        <v>5832</v>
      </c>
      <c r="K3050" s="415">
        <v>5826.72</v>
      </c>
      <c r="L3050" s="415">
        <v>4843.0200000000004</v>
      </c>
      <c r="M3050" s="415">
        <v>5252.4</v>
      </c>
      <c r="N3050" s="415">
        <v>5400.73</v>
      </c>
      <c r="O3050" s="415">
        <v>6858.66</v>
      </c>
      <c r="P3050" s="415">
        <v>5966.71</v>
      </c>
      <c r="Q3050" s="481">
        <f t="shared" si="93"/>
        <v>5832</v>
      </c>
    </row>
    <row r="3051" spans="1:17" x14ac:dyDescent="0.3">
      <c r="A3051" s="366" t="str">
        <f>IFERROR(VLOOKUP(RIGHT(E3051,3)+0,[1]SchLocTable!$A$2:$B$47,2,FALSE)," ")</f>
        <v>Harding HS</v>
      </c>
      <c r="B3051" s="366" t="str">
        <f>VLOOKUP(VALUE(D3051),$D$3:F$106,3,FALSE)</f>
        <v>Guidance Counselors</v>
      </c>
      <c r="C3051" t="s">
        <v>314</v>
      </c>
      <c r="D3051">
        <v>855</v>
      </c>
      <c r="E3051" t="s">
        <v>1010</v>
      </c>
      <c r="F3051" t="s">
        <v>316</v>
      </c>
      <c r="G3051">
        <v>2</v>
      </c>
      <c r="H3051" s="502">
        <v>51000</v>
      </c>
      <c r="I3051" s="415">
        <v>0</v>
      </c>
      <c r="J3051" s="415">
        <v>200462.86</v>
      </c>
      <c r="K3051" s="415">
        <v>303824.90999999997</v>
      </c>
      <c r="L3051" s="415">
        <v>292110.18</v>
      </c>
      <c r="M3051" s="415">
        <v>282351.43</v>
      </c>
      <c r="N3051" s="415">
        <v>269590.55</v>
      </c>
      <c r="O3051" s="415">
        <v>250790.27</v>
      </c>
      <c r="P3051" s="415">
        <v>280305.21999999997</v>
      </c>
      <c r="Q3051" s="481">
        <f t="shared" si="93"/>
        <v>200462.86</v>
      </c>
    </row>
    <row r="3052" spans="1:17" x14ac:dyDescent="0.3">
      <c r="A3052" s="366" t="str">
        <f>IFERROR(VLOOKUP(RIGHT(E3052,3)+0,[1]SchLocTable!$A$2:$B$47,2,FALSE)," ")</f>
        <v>Harding HS</v>
      </c>
      <c r="B3052" s="366" t="str">
        <f>VLOOKUP(VALUE(D3052),$D$3:F$106,3,FALSE)</f>
        <v>Guidance Counselors</v>
      </c>
      <c r="C3052" t="s">
        <v>314</v>
      </c>
      <c r="D3052">
        <v>855</v>
      </c>
      <c r="E3052" t="s">
        <v>1010</v>
      </c>
      <c r="F3052" t="s">
        <v>334</v>
      </c>
      <c r="G3052" t="s">
        <v>319</v>
      </c>
      <c r="H3052" s="502">
        <v>51400</v>
      </c>
      <c r="I3052" s="415">
        <v>0</v>
      </c>
      <c r="J3052" s="415">
        <v>0</v>
      </c>
      <c r="K3052" s="415">
        <v>0</v>
      </c>
      <c r="L3052" s="415">
        <v>462</v>
      </c>
      <c r="M3052" s="415">
        <v>770</v>
      </c>
      <c r="N3052" s="415">
        <v>0</v>
      </c>
      <c r="O3052" s="415">
        <v>0</v>
      </c>
      <c r="P3052" s="415">
        <v>770</v>
      </c>
      <c r="Q3052" s="481">
        <f t="shared" si="93"/>
        <v>0</v>
      </c>
    </row>
    <row r="3053" spans="1:17" x14ac:dyDescent="0.3">
      <c r="A3053" s="366" t="str">
        <f>IFERROR(VLOOKUP(RIGHT(E3053,3)+0,[1]SchLocTable!$A$2:$B$47,2,FALSE)," ")</f>
        <v>Harding HS</v>
      </c>
      <c r="B3053" s="366" t="str">
        <f>VLOOKUP(VALUE(D3053),$D$3:F$106,3,FALSE)</f>
        <v>Guidance Counselors</v>
      </c>
      <c r="C3053" t="s">
        <v>314</v>
      </c>
      <c r="D3053">
        <v>855</v>
      </c>
      <c r="E3053" t="s">
        <v>1010</v>
      </c>
      <c r="F3053" t="s">
        <v>321</v>
      </c>
      <c r="G3053" t="s">
        <v>319</v>
      </c>
      <c r="H3053" s="502">
        <v>52917</v>
      </c>
      <c r="I3053" s="415">
        <v>0</v>
      </c>
      <c r="J3053" s="415">
        <v>51646.35</v>
      </c>
      <c r="K3053" s="415">
        <v>58763.88</v>
      </c>
      <c r="L3053" s="415">
        <v>57753.78</v>
      </c>
      <c r="M3053" s="415">
        <v>54346.11</v>
      </c>
      <c r="N3053" s="415">
        <v>49055.74</v>
      </c>
      <c r="O3053" s="415">
        <v>31929.06</v>
      </c>
      <c r="P3053" s="415">
        <v>54761.73</v>
      </c>
      <c r="Q3053" s="481">
        <f t="shared" si="93"/>
        <v>51646.35</v>
      </c>
    </row>
    <row r="3054" spans="1:17" x14ac:dyDescent="0.3">
      <c r="A3054" s="366" t="str">
        <f>IFERROR(VLOOKUP(RIGHT(E3054,3)+0,[1]SchLocTable!$A$2:$B$47,2,FALSE)," ")</f>
        <v>Harding HS</v>
      </c>
      <c r="B3054" s="366" t="str">
        <f>VLOOKUP(VALUE(D3054),$D$3:F$106,3,FALSE)</f>
        <v>Guidance Counselors</v>
      </c>
      <c r="C3054" t="s">
        <v>314</v>
      </c>
      <c r="D3054">
        <v>855</v>
      </c>
      <c r="E3054" t="s">
        <v>1010</v>
      </c>
      <c r="F3054" t="s">
        <v>318</v>
      </c>
      <c r="G3054" t="s">
        <v>319</v>
      </c>
      <c r="H3054" s="502">
        <v>51140</v>
      </c>
      <c r="I3054" s="415">
        <v>900</v>
      </c>
      <c r="J3054" s="415">
        <v>0</v>
      </c>
      <c r="K3054" s="415">
        <v>900</v>
      </c>
      <c r="L3054" s="415">
        <v>900</v>
      </c>
      <c r="M3054" s="415">
        <v>900</v>
      </c>
      <c r="N3054" s="415">
        <v>900</v>
      </c>
      <c r="O3054" s="415">
        <v>1800</v>
      </c>
      <c r="P3054" s="415">
        <v>0</v>
      </c>
      <c r="Q3054" s="481">
        <f t="shared" si="93"/>
        <v>-900</v>
      </c>
    </row>
    <row r="3055" spans="1:17" x14ac:dyDescent="0.3">
      <c r="A3055" s="366" t="str">
        <f>IFERROR(VLOOKUP(RIGHT(E3055,3)+0,[1]SchLocTable!$A$2:$B$47,2,FALSE)," ")</f>
        <v>Harding HS</v>
      </c>
      <c r="B3055" s="366" t="str">
        <f>VLOOKUP(VALUE(D3055),$D$3:F$106,3,FALSE)</f>
        <v>Guidance Counselors</v>
      </c>
      <c r="C3055" t="s">
        <v>314</v>
      </c>
      <c r="D3055">
        <v>855</v>
      </c>
      <c r="E3055" t="s">
        <v>1010</v>
      </c>
      <c r="F3055" t="s">
        <v>320</v>
      </c>
      <c r="G3055" t="s">
        <v>319</v>
      </c>
      <c r="H3055" s="502">
        <v>52360</v>
      </c>
      <c r="I3055" s="415">
        <v>0</v>
      </c>
      <c r="J3055" s="415">
        <v>2874.26</v>
      </c>
      <c r="K3055" s="415">
        <v>4161.32</v>
      </c>
      <c r="L3055" s="415">
        <v>4004.16</v>
      </c>
      <c r="M3055" s="415">
        <v>3906.44</v>
      </c>
      <c r="N3055" s="415">
        <v>3646.87</v>
      </c>
      <c r="O3055" s="415">
        <v>3483.32</v>
      </c>
      <c r="P3055" s="415">
        <v>3867.86</v>
      </c>
      <c r="Q3055" s="481">
        <f t="shared" si="93"/>
        <v>2874.26</v>
      </c>
    </row>
    <row r="3056" spans="1:17" x14ac:dyDescent="0.3">
      <c r="A3056" s="366" t="str">
        <f>IFERROR(VLOOKUP(RIGHT(E3056,3)+0,[1]SchLocTable!$A$2:$B$47,2,FALSE)," ")</f>
        <v>Harding HS</v>
      </c>
      <c r="B3056" s="366" t="str">
        <f>VLOOKUP(VALUE(D3056),$D$3:F$106,3,FALSE)</f>
        <v>Guidance Counselors</v>
      </c>
      <c r="C3056" t="s">
        <v>314</v>
      </c>
      <c r="D3056">
        <v>855</v>
      </c>
      <c r="E3056" t="s">
        <v>1010</v>
      </c>
      <c r="F3056" t="s">
        <v>324</v>
      </c>
      <c r="G3056" t="s">
        <v>319</v>
      </c>
      <c r="H3056" s="502">
        <v>52385</v>
      </c>
      <c r="I3056" s="415">
        <v>0</v>
      </c>
      <c r="J3056" s="415">
        <v>0</v>
      </c>
      <c r="K3056" s="415">
        <v>0</v>
      </c>
      <c r="L3056" s="415">
        <v>2588.5</v>
      </c>
      <c r="M3056" s="415">
        <v>837</v>
      </c>
      <c r="N3056" s="415">
        <v>0</v>
      </c>
      <c r="O3056" s="415">
        <v>1696.32</v>
      </c>
      <c r="P3056" s="415">
        <v>0</v>
      </c>
      <c r="Q3056" s="481">
        <f t="shared" si="93"/>
        <v>0</v>
      </c>
    </row>
    <row r="3057" spans="1:17" x14ac:dyDescent="0.3">
      <c r="A3057" s="366" t="str">
        <f>IFERROR(VLOOKUP(RIGHT(E3057,3)+0,[1]SchLocTable!$A$2:$B$47,2,FALSE)," ")</f>
        <v>Aquaculture</v>
      </c>
      <c r="B3057" s="366" t="str">
        <f>VLOOKUP(VALUE(D3057),$D$3:F$106,3,FALSE)</f>
        <v>Guidance Counselors</v>
      </c>
      <c r="C3057" t="s">
        <v>314</v>
      </c>
      <c r="D3057">
        <v>855</v>
      </c>
      <c r="E3057" t="s">
        <v>1011</v>
      </c>
      <c r="F3057" t="s">
        <v>316</v>
      </c>
      <c r="G3057" t="s">
        <v>319</v>
      </c>
      <c r="H3057" s="502">
        <v>51000</v>
      </c>
      <c r="I3057" s="415">
        <v>0</v>
      </c>
      <c r="J3057" s="415">
        <v>0</v>
      </c>
      <c r="K3057" s="415">
        <v>0</v>
      </c>
      <c r="L3057" s="415">
        <v>22767.16</v>
      </c>
      <c r="M3057" s="415">
        <v>21848.82</v>
      </c>
      <c r="N3057" s="415">
        <v>19857.59</v>
      </c>
      <c r="O3057" s="415">
        <v>0</v>
      </c>
      <c r="P3057" s="415">
        <v>0</v>
      </c>
      <c r="Q3057" s="481">
        <f t="shared" si="93"/>
        <v>0</v>
      </c>
    </row>
    <row r="3058" spans="1:17" x14ac:dyDescent="0.3">
      <c r="A3058" s="366" t="str">
        <f>IFERROR(VLOOKUP(RIGHT(E3058,3)+0,[1]SchLocTable!$A$2:$B$47,2,FALSE)," ")</f>
        <v>Aquaculture</v>
      </c>
      <c r="B3058" s="366" t="str">
        <f>VLOOKUP(VALUE(D3058),$D$3:F$106,3,FALSE)</f>
        <v>Guidance Counselors</v>
      </c>
      <c r="C3058" t="s">
        <v>314</v>
      </c>
      <c r="D3058">
        <v>855</v>
      </c>
      <c r="E3058" t="s">
        <v>1011</v>
      </c>
      <c r="F3058" t="s">
        <v>321</v>
      </c>
      <c r="G3058" t="s">
        <v>319</v>
      </c>
      <c r="H3058" s="502">
        <v>52917</v>
      </c>
      <c r="I3058" s="415">
        <v>0</v>
      </c>
      <c r="J3058" s="415">
        <v>0</v>
      </c>
      <c r="K3058" s="415">
        <v>0</v>
      </c>
      <c r="L3058" s="415">
        <v>4482.03</v>
      </c>
      <c r="M3058" s="415">
        <v>4211.34</v>
      </c>
      <c r="N3058" s="415">
        <v>8008.99</v>
      </c>
      <c r="O3058" s="415">
        <v>0</v>
      </c>
      <c r="P3058" s="415">
        <v>0</v>
      </c>
      <c r="Q3058" s="481">
        <f t="shared" si="93"/>
        <v>0</v>
      </c>
    </row>
    <row r="3059" spans="1:17" x14ac:dyDescent="0.3">
      <c r="A3059" s="366" t="str">
        <f>IFERROR(VLOOKUP(RIGHT(E3059,3)+0,[1]SchLocTable!$A$2:$B$47,2,FALSE)," ")</f>
        <v>Aquaculture</v>
      </c>
      <c r="B3059" s="366" t="str">
        <f>VLOOKUP(VALUE(D3059),$D$3:F$106,3,FALSE)</f>
        <v>Guidance Counselors</v>
      </c>
      <c r="C3059" t="s">
        <v>314</v>
      </c>
      <c r="D3059">
        <v>855</v>
      </c>
      <c r="E3059" t="s">
        <v>1011</v>
      </c>
      <c r="F3059" t="s">
        <v>320</v>
      </c>
      <c r="G3059" t="s">
        <v>319</v>
      </c>
      <c r="H3059" s="502">
        <v>52360</v>
      </c>
      <c r="I3059" s="415">
        <v>0</v>
      </c>
      <c r="J3059" s="415">
        <v>0</v>
      </c>
      <c r="K3059" s="415">
        <v>0</v>
      </c>
      <c r="L3059" s="415">
        <v>311.3</v>
      </c>
      <c r="M3059" s="415">
        <v>299.56</v>
      </c>
      <c r="N3059" s="415">
        <v>266.43</v>
      </c>
      <c r="O3059" s="415">
        <v>0</v>
      </c>
      <c r="P3059" s="415">
        <v>0</v>
      </c>
      <c r="Q3059" s="481">
        <f t="shared" si="93"/>
        <v>0</v>
      </c>
    </row>
    <row r="3060" spans="1:17" x14ac:dyDescent="0.3">
      <c r="A3060" s="366" t="str">
        <f>IFERROR(VLOOKUP(RIGHT(E3060,3)+0,[1]SchLocTable!$A$2:$B$47,2,FALSE)," ")</f>
        <v xml:space="preserve"> </v>
      </c>
      <c r="B3060" s="366" t="str">
        <f>VLOOKUP(VALUE(D3060),$D$3:F$106,3,FALSE)</f>
        <v>Speech/Language</v>
      </c>
      <c r="C3060" t="s">
        <v>314</v>
      </c>
      <c r="D3060">
        <v>856</v>
      </c>
      <c r="E3060" t="s">
        <v>1012</v>
      </c>
      <c r="F3060" t="s">
        <v>316</v>
      </c>
      <c r="G3060">
        <v>16</v>
      </c>
      <c r="H3060" s="502">
        <v>51000</v>
      </c>
      <c r="I3060" s="415">
        <v>1428815.2246599998</v>
      </c>
      <c r="J3060" s="415">
        <v>1124082</v>
      </c>
      <c r="K3060" s="415">
        <v>1133835.18</v>
      </c>
      <c r="L3060" s="415">
        <v>1122686.79</v>
      </c>
      <c r="M3060" s="415">
        <v>993465.7</v>
      </c>
      <c r="N3060" s="415">
        <v>808081.74</v>
      </c>
      <c r="O3060" s="415">
        <v>692506.28</v>
      </c>
      <c r="P3060" s="415">
        <v>696728.86</v>
      </c>
      <c r="Q3060" s="481">
        <f t="shared" si="93"/>
        <v>-304733.22465999983</v>
      </c>
    </row>
    <row r="3061" spans="1:17" x14ac:dyDescent="0.3">
      <c r="A3061" s="366" t="str">
        <f>IFERROR(VLOOKUP(RIGHT(E3061,3)+0,[1]SchLocTable!$A$2:$B$47,2,FALSE)," ")</f>
        <v xml:space="preserve"> </v>
      </c>
      <c r="B3061" s="366" t="str">
        <f>VLOOKUP(VALUE(D3061),$D$3:F$106,3,FALSE)</f>
        <v>Speech/Language</v>
      </c>
      <c r="C3061" t="s">
        <v>314</v>
      </c>
      <c r="D3061">
        <v>856</v>
      </c>
      <c r="E3061" t="s">
        <v>1012</v>
      </c>
      <c r="F3061" t="s">
        <v>321</v>
      </c>
      <c r="G3061" t="s">
        <v>319</v>
      </c>
      <c r="H3061" s="502">
        <v>52917</v>
      </c>
      <c r="I3061" s="415">
        <v>324219.16799999995</v>
      </c>
      <c r="J3061" s="415">
        <v>270182.64</v>
      </c>
      <c r="K3061" s="415">
        <v>200129.62</v>
      </c>
      <c r="L3061" s="415">
        <v>178658.65</v>
      </c>
      <c r="M3061" s="415">
        <v>130688.87</v>
      </c>
      <c r="N3061" s="415">
        <v>77796.25</v>
      </c>
      <c r="O3061" s="415">
        <v>66690.25</v>
      </c>
      <c r="P3061" s="415">
        <v>66608.429999999993</v>
      </c>
      <c r="Q3061" s="481">
        <f t="shared" si="93"/>
        <v>-54036.527999999933</v>
      </c>
    </row>
    <row r="3062" spans="1:17" x14ac:dyDescent="0.3">
      <c r="A3062" s="366" t="str">
        <f>IFERROR(VLOOKUP(RIGHT(E3062,3)+0,[1]SchLocTable!$A$2:$B$47,2,FALSE)," ")</f>
        <v xml:space="preserve"> </v>
      </c>
      <c r="B3062" s="366" t="str">
        <f>VLOOKUP(VALUE(D3062),$D$3:F$106,3,FALSE)</f>
        <v>Speech/Language</v>
      </c>
      <c r="C3062" t="s">
        <v>314</v>
      </c>
      <c r="D3062">
        <v>856</v>
      </c>
      <c r="E3062" t="s">
        <v>1012</v>
      </c>
      <c r="F3062" t="s">
        <v>318</v>
      </c>
      <c r="G3062" t="s">
        <v>319</v>
      </c>
      <c r="H3062" s="502">
        <v>51140</v>
      </c>
      <c r="I3062" s="415">
        <v>2400</v>
      </c>
      <c r="J3062" s="415">
        <v>0</v>
      </c>
      <c r="K3062" s="415">
        <v>2200</v>
      </c>
      <c r="L3062" s="415">
        <v>2200</v>
      </c>
      <c r="M3062" s="415">
        <v>2200</v>
      </c>
      <c r="N3062" s="415">
        <v>2200</v>
      </c>
      <c r="O3062" s="415">
        <v>2200</v>
      </c>
      <c r="P3062" s="415">
        <v>1800</v>
      </c>
      <c r="Q3062" s="481">
        <f t="shared" si="93"/>
        <v>-2400</v>
      </c>
    </row>
    <row r="3063" spans="1:17" x14ac:dyDescent="0.3">
      <c r="A3063" s="366" t="str">
        <f>IFERROR(VLOOKUP(RIGHT(E3063,3)+0,[1]SchLocTable!$A$2:$B$47,2,FALSE)," ")</f>
        <v xml:space="preserve"> </v>
      </c>
      <c r="B3063" s="366" t="str">
        <f>VLOOKUP(VALUE(D3063),$D$3:F$106,3,FALSE)</f>
        <v>Speech/Language</v>
      </c>
      <c r="C3063" t="s">
        <v>314</v>
      </c>
      <c r="D3063">
        <v>856</v>
      </c>
      <c r="E3063" t="s">
        <v>1012</v>
      </c>
      <c r="F3063" t="s">
        <v>320</v>
      </c>
      <c r="G3063" t="s">
        <v>319</v>
      </c>
      <c r="H3063" s="502">
        <v>52360</v>
      </c>
      <c r="I3063" s="415">
        <v>20915.934257569999</v>
      </c>
      <c r="J3063" s="415">
        <v>15100</v>
      </c>
      <c r="K3063" s="415">
        <v>15597.89</v>
      </c>
      <c r="L3063" s="415">
        <v>15580.21</v>
      </c>
      <c r="M3063" s="415">
        <v>13887.62</v>
      </c>
      <c r="N3063" s="415">
        <v>11453.09</v>
      </c>
      <c r="O3063" s="415">
        <v>9841.25</v>
      </c>
      <c r="P3063" s="415">
        <v>10297.799999999999</v>
      </c>
      <c r="Q3063" s="481">
        <f t="shared" si="93"/>
        <v>-5815.9342575699993</v>
      </c>
    </row>
    <row r="3064" spans="1:17" x14ac:dyDescent="0.3">
      <c r="A3064" s="366" t="str">
        <f>IFERROR(VLOOKUP(RIGHT(E3064,3)+0,[1]SchLocTable!$A$2:$B$47,2,FALSE)," ")</f>
        <v xml:space="preserve"> </v>
      </c>
      <c r="B3064" s="366" t="str">
        <f>VLOOKUP(VALUE(D3064),$D$3:F$106,3,FALSE)</f>
        <v>Speech/Language</v>
      </c>
      <c r="C3064" t="s">
        <v>314</v>
      </c>
      <c r="D3064">
        <v>856</v>
      </c>
      <c r="E3064" t="s">
        <v>1012</v>
      </c>
      <c r="F3064" t="s">
        <v>457</v>
      </c>
      <c r="G3064" t="s">
        <v>319</v>
      </c>
      <c r="H3064" s="502">
        <v>54580</v>
      </c>
      <c r="I3064" s="415">
        <v>6255.9213</v>
      </c>
      <c r="J3064" s="415">
        <v>6073.71</v>
      </c>
      <c r="K3064" s="415">
        <v>0</v>
      </c>
      <c r="L3064" s="415">
        <v>0</v>
      </c>
      <c r="M3064" s="415">
        <v>0.05</v>
      </c>
      <c r="N3064" s="415">
        <v>701.8</v>
      </c>
      <c r="O3064" s="415">
        <v>0</v>
      </c>
      <c r="P3064" s="415">
        <v>6054.37</v>
      </c>
      <c r="Q3064" s="481">
        <f t="shared" si="93"/>
        <v>-182.21129999999994</v>
      </c>
    </row>
    <row r="3065" spans="1:17" x14ac:dyDescent="0.3">
      <c r="A3065" s="366" t="str">
        <f>IFERROR(VLOOKUP(RIGHT(E3065,3)+0,[1]SchLocTable!$A$2:$B$47,2,FALSE)," ")</f>
        <v xml:space="preserve"> </v>
      </c>
      <c r="B3065" s="366" t="str">
        <f>VLOOKUP(VALUE(D3065),$D$3:F$106,3,FALSE)</f>
        <v>Speech/Language</v>
      </c>
      <c r="C3065" t="s">
        <v>314</v>
      </c>
      <c r="D3065">
        <v>856</v>
      </c>
      <c r="E3065" t="s">
        <v>1012</v>
      </c>
      <c r="F3065" t="s">
        <v>324</v>
      </c>
      <c r="G3065" t="s">
        <v>319</v>
      </c>
      <c r="H3065" s="502">
        <v>52385</v>
      </c>
      <c r="I3065" s="415">
        <v>0</v>
      </c>
      <c r="J3065" s="415">
        <v>155</v>
      </c>
      <c r="K3065" s="415">
        <v>0</v>
      </c>
      <c r="L3065" s="415">
        <v>573.5</v>
      </c>
      <c r="M3065" s="415">
        <v>155</v>
      </c>
      <c r="N3065" s="415">
        <v>0</v>
      </c>
      <c r="O3065" s="415">
        <v>0</v>
      </c>
      <c r="P3065" s="415">
        <v>0</v>
      </c>
      <c r="Q3065" s="481">
        <f t="shared" si="93"/>
        <v>155</v>
      </c>
    </row>
    <row r="3066" spans="1:17" x14ac:dyDescent="0.3">
      <c r="A3066" s="366" t="str">
        <f>IFERROR(VLOOKUP(RIGHT(E3066,3)+0,[1]SchLocTable!$A$2:$B$47,2,FALSE)," ")</f>
        <v xml:space="preserve"> </v>
      </c>
      <c r="B3066" s="366" t="str">
        <f>VLOOKUP(VALUE(D3066),$D$3:F$106,3,FALSE)</f>
        <v>Speech/Language</v>
      </c>
      <c r="C3066" t="s">
        <v>314</v>
      </c>
      <c r="D3066">
        <v>856</v>
      </c>
      <c r="E3066" t="s">
        <v>1012</v>
      </c>
      <c r="F3066" t="s">
        <v>560</v>
      </c>
      <c r="G3066" t="s">
        <v>319</v>
      </c>
      <c r="H3066" s="502">
        <v>51404</v>
      </c>
      <c r="I3066" s="415">
        <v>13663</v>
      </c>
      <c r="J3066" s="415">
        <v>0</v>
      </c>
      <c r="K3066" s="415">
        <v>900</v>
      </c>
      <c r="L3066" s="415">
        <v>1670</v>
      </c>
      <c r="M3066" s="415">
        <v>1630</v>
      </c>
      <c r="N3066" s="415">
        <v>375</v>
      </c>
      <c r="O3066" s="415">
        <v>1290</v>
      </c>
      <c r="P3066" s="415">
        <v>1250</v>
      </c>
      <c r="Q3066" s="481">
        <f t="shared" si="93"/>
        <v>-13663</v>
      </c>
    </row>
    <row r="3067" spans="1:17" x14ac:dyDescent="0.3">
      <c r="A3067" s="366" t="str">
        <f>IFERROR(VLOOKUP(RIGHT(E3067,3)+0,[1]SchLocTable!$A$2:$B$47,2,FALSE)," ")</f>
        <v>Barnum</v>
      </c>
      <c r="B3067" s="366" t="str">
        <f>VLOOKUP(VALUE(D3067),$D$3:F$106,3,FALSE)</f>
        <v>Speech/Language</v>
      </c>
      <c r="C3067" t="s">
        <v>314</v>
      </c>
      <c r="D3067">
        <v>856</v>
      </c>
      <c r="E3067" t="s">
        <v>1013</v>
      </c>
      <c r="F3067" t="s">
        <v>316</v>
      </c>
      <c r="G3067">
        <v>1</v>
      </c>
      <c r="H3067" s="502">
        <v>51000</v>
      </c>
      <c r="I3067" s="415">
        <v>88218.711880000003</v>
      </c>
      <c r="J3067" s="415">
        <v>50363</v>
      </c>
      <c r="K3067" s="415">
        <v>75259.070000000007</v>
      </c>
      <c r="L3067" s="415">
        <v>43651.92</v>
      </c>
      <c r="M3067" s="415">
        <v>41083.9</v>
      </c>
      <c r="N3067" s="415">
        <v>45729.65</v>
      </c>
      <c r="O3067" s="415">
        <v>59913.88</v>
      </c>
      <c r="P3067" s="415">
        <v>58811.56</v>
      </c>
      <c r="Q3067" s="481">
        <f t="shared" si="93"/>
        <v>-37855.711880000003</v>
      </c>
    </row>
    <row r="3068" spans="1:17" x14ac:dyDescent="0.3">
      <c r="A3068" s="366" t="str">
        <f>IFERROR(VLOOKUP(RIGHT(E3068,3)+0,[1]SchLocTable!$A$2:$B$47,2,FALSE)," ")</f>
        <v>Barnum</v>
      </c>
      <c r="B3068" s="366" t="str">
        <f>VLOOKUP(VALUE(D3068),$D$3:F$106,3,FALSE)</f>
        <v>Speech/Language</v>
      </c>
      <c r="C3068" t="s">
        <v>314</v>
      </c>
      <c r="D3068">
        <v>856</v>
      </c>
      <c r="E3068" t="s">
        <v>1013</v>
      </c>
      <c r="F3068" t="s">
        <v>321</v>
      </c>
      <c r="G3068" t="s">
        <v>319</v>
      </c>
      <c r="H3068" s="502">
        <v>52917</v>
      </c>
      <c r="I3068" s="415">
        <v>0</v>
      </c>
      <c r="J3068" s="415">
        <v>38437</v>
      </c>
      <c r="K3068" s="415">
        <v>33405.599999999999</v>
      </c>
      <c r="L3068" s="415">
        <v>34606.949999999997</v>
      </c>
      <c r="M3068" s="415">
        <v>32449.200000000001</v>
      </c>
      <c r="N3068" s="415">
        <v>23092.32</v>
      </c>
      <c r="O3068" s="415">
        <v>29077.5</v>
      </c>
      <c r="P3068" s="415">
        <v>26394.81</v>
      </c>
      <c r="Q3068" s="481">
        <f t="shared" si="93"/>
        <v>38437</v>
      </c>
    </row>
    <row r="3069" spans="1:17" x14ac:dyDescent="0.3">
      <c r="A3069" s="366" t="str">
        <f>IFERROR(VLOOKUP(RIGHT(E3069,3)+0,[1]SchLocTable!$A$2:$B$47,2,FALSE)," ")</f>
        <v>Barnum</v>
      </c>
      <c r="B3069" s="366" t="str">
        <f>VLOOKUP(VALUE(D3069),$D$3:F$106,3,FALSE)</f>
        <v>Speech/Language</v>
      </c>
      <c r="C3069" t="s">
        <v>314</v>
      </c>
      <c r="D3069">
        <v>856</v>
      </c>
      <c r="E3069" t="s">
        <v>1013</v>
      </c>
      <c r="F3069" t="s">
        <v>320</v>
      </c>
      <c r="G3069" t="s">
        <v>319</v>
      </c>
      <c r="H3069" s="502">
        <v>52360</v>
      </c>
      <c r="I3069" s="415">
        <v>1279.1713222600001</v>
      </c>
      <c r="J3069" s="415">
        <v>561</v>
      </c>
      <c r="K3069" s="415">
        <v>950.84</v>
      </c>
      <c r="L3069" s="415">
        <v>493.27</v>
      </c>
      <c r="M3069" s="415">
        <v>464.97</v>
      </c>
      <c r="N3069" s="415">
        <v>572.92999999999995</v>
      </c>
      <c r="O3069" s="415">
        <v>758.32</v>
      </c>
      <c r="P3069" s="415">
        <v>753.86</v>
      </c>
      <c r="Q3069" s="481">
        <f t="shared" si="93"/>
        <v>-718.17132226000012</v>
      </c>
    </row>
    <row r="3070" spans="1:17" x14ac:dyDescent="0.3">
      <c r="A3070" s="366" t="str">
        <f>IFERROR(VLOOKUP(RIGHT(E3070,3)+0,[1]SchLocTable!$A$2:$B$47,2,FALSE)," ")</f>
        <v>Barnum</v>
      </c>
      <c r="B3070" s="366" t="str">
        <f>VLOOKUP(VALUE(D3070),$D$3:F$106,3,FALSE)</f>
        <v>Speech/Language</v>
      </c>
      <c r="C3070" t="s">
        <v>314</v>
      </c>
      <c r="D3070">
        <v>856</v>
      </c>
      <c r="E3070" t="s">
        <v>1013</v>
      </c>
      <c r="F3070" t="s">
        <v>560</v>
      </c>
      <c r="G3070" t="s">
        <v>319</v>
      </c>
      <c r="H3070" s="502">
        <v>51404</v>
      </c>
      <c r="I3070" s="415">
        <v>0</v>
      </c>
      <c r="J3070" s="415">
        <v>0</v>
      </c>
      <c r="K3070" s="415">
        <v>150</v>
      </c>
      <c r="L3070" s="415">
        <v>250</v>
      </c>
      <c r="M3070" s="415">
        <v>0</v>
      </c>
      <c r="N3070" s="415">
        <v>0</v>
      </c>
      <c r="O3070" s="415">
        <v>0</v>
      </c>
      <c r="P3070" s="415">
        <v>0</v>
      </c>
      <c r="Q3070" s="481">
        <f t="shared" si="93"/>
        <v>0</v>
      </c>
    </row>
    <row r="3071" spans="1:17" x14ac:dyDescent="0.3">
      <c r="A3071" s="366" t="str">
        <f>IFERROR(VLOOKUP(RIGHT(E3071,3)+0,[1]SchLocTable!$A$2:$B$47,2,FALSE)," ")</f>
        <v>Black Rock</v>
      </c>
      <c r="B3071" s="366" t="str">
        <f>VLOOKUP(VALUE(D3071),$D$3:F$106,3,FALSE)</f>
        <v>Speech/Language</v>
      </c>
      <c r="C3071" t="s">
        <v>314</v>
      </c>
      <c r="D3071">
        <v>856</v>
      </c>
      <c r="E3071" t="s">
        <v>1014</v>
      </c>
      <c r="F3071" t="s">
        <v>316</v>
      </c>
      <c r="G3071" t="s">
        <v>319</v>
      </c>
      <c r="H3071" s="502">
        <v>51000</v>
      </c>
      <c r="I3071" s="415">
        <v>0</v>
      </c>
      <c r="J3071" s="415">
        <v>0</v>
      </c>
      <c r="K3071" s="415">
        <v>0</v>
      </c>
      <c r="L3071" s="415">
        <v>0</v>
      </c>
      <c r="M3071" s="415">
        <v>73627.460000000006</v>
      </c>
      <c r="N3071" s="415">
        <v>66921.84</v>
      </c>
      <c r="O3071" s="415">
        <v>56917.9</v>
      </c>
      <c r="P3071" s="415">
        <v>56021.94</v>
      </c>
      <c r="Q3071" s="481">
        <f t="shared" ref="Q3071:Q3134" si="94">J3071-I3071</f>
        <v>0</v>
      </c>
    </row>
    <row r="3072" spans="1:17" x14ac:dyDescent="0.3">
      <c r="A3072" s="366" t="str">
        <f>IFERROR(VLOOKUP(RIGHT(E3072,3)+0,[1]SchLocTable!$A$2:$B$47,2,FALSE)," ")</f>
        <v>Black Rock</v>
      </c>
      <c r="B3072" s="366" t="str">
        <f>VLOOKUP(VALUE(D3072),$D$3:F$106,3,FALSE)</f>
        <v>Speech/Language</v>
      </c>
      <c r="C3072" t="s">
        <v>314</v>
      </c>
      <c r="D3072">
        <v>856</v>
      </c>
      <c r="E3072" t="s">
        <v>1014</v>
      </c>
      <c r="F3072" t="s">
        <v>321</v>
      </c>
      <c r="G3072" t="s">
        <v>319</v>
      </c>
      <c r="H3072" s="502">
        <v>52917</v>
      </c>
      <c r="I3072" s="415">
        <v>0</v>
      </c>
      <c r="J3072" s="415">
        <v>0</v>
      </c>
      <c r="K3072" s="415">
        <v>0</v>
      </c>
      <c r="L3072" s="415">
        <v>0</v>
      </c>
      <c r="M3072" s="415">
        <v>10956.75</v>
      </c>
      <c r="N3072" s="415">
        <v>10232.879999999999</v>
      </c>
      <c r="O3072" s="415">
        <v>5666.88</v>
      </c>
      <c r="P3072" s="415">
        <v>0</v>
      </c>
      <c r="Q3072" s="481">
        <f t="shared" si="94"/>
        <v>0</v>
      </c>
    </row>
    <row r="3073" spans="1:17" x14ac:dyDescent="0.3">
      <c r="A3073" s="366" t="str">
        <f>IFERROR(VLOOKUP(RIGHT(E3073,3)+0,[1]SchLocTable!$A$2:$B$47,2,FALSE)," ")</f>
        <v>Black Rock</v>
      </c>
      <c r="B3073" s="366" t="str">
        <f>VLOOKUP(VALUE(D3073),$D$3:F$106,3,FALSE)</f>
        <v>Speech/Language</v>
      </c>
      <c r="C3073" t="s">
        <v>314</v>
      </c>
      <c r="D3073">
        <v>856</v>
      </c>
      <c r="E3073" t="s">
        <v>1014</v>
      </c>
      <c r="F3073" t="s">
        <v>320</v>
      </c>
      <c r="G3073" t="s">
        <v>319</v>
      </c>
      <c r="H3073" s="502">
        <v>52360</v>
      </c>
      <c r="I3073" s="415">
        <v>0</v>
      </c>
      <c r="J3073" s="415">
        <v>0</v>
      </c>
      <c r="K3073" s="415">
        <v>0</v>
      </c>
      <c r="L3073" s="415">
        <v>0</v>
      </c>
      <c r="M3073" s="415">
        <v>1027.79</v>
      </c>
      <c r="N3073" s="415">
        <v>934.04</v>
      </c>
      <c r="O3073" s="415">
        <v>807.4</v>
      </c>
      <c r="P3073" s="415">
        <v>815.95</v>
      </c>
      <c r="Q3073" s="481">
        <f t="shared" si="94"/>
        <v>0</v>
      </c>
    </row>
    <row r="3074" spans="1:17" x14ac:dyDescent="0.3">
      <c r="A3074" s="366" t="str">
        <f>IFERROR(VLOOKUP(RIGHT(E3074,3)+0,[1]SchLocTable!$A$2:$B$47,2,FALSE)," ")</f>
        <v>Black Rock</v>
      </c>
      <c r="B3074" s="366" t="str">
        <f>VLOOKUP(VALUE(D3074),$D$3:F$106,3,FALSE)</f>
        <v>Speech/Language</v>
      </c>
      <c r="C3074" t="s">
        <v>314</v>
      </c>
      <c r="D3074">
        <v>856</v>
      </c>
      <c r="E3074" t="s">
        <v>1014</v>
      </c>
      <c r="F3074" t="s">
        <v>560</v>
      </c>
      <c r="G3074" t="s">
        <v>319</v>
      </c>
      <c r="H3074" s="502">
        <v>51404</v>
      </c>
      <c r="I3074" s="415">
        <v>0</v>
      </c>
      <c r="J3074" s="415">
        <v>0</v>
      </c>
      <c r="K3074" s="415">
        <v>0</v>
      </c>
      <c r="L3074" s="415">
        <v>0</v>
      </c>
      <c r="M3074" s="415">
        <v>300</v>
      </c>
      <c r="N3074" s="415">
        <v>250</v>
      </c>
      <c r="O3074" s="415">
        <v>250</v>
      </c>
      <c r="P3074" s="415">
        <v>250</v>
      </c>
      <c r="Q3074" s="481">
        <f t="shared" si="94"/>
        <v>0</v>
      </c>
    </row>
    <row r="3075" spans="1:17" x14ac:dyDescent="0.3">
      <c r="A3075" s="366" t="str">
        <f>IFERROR(VLOOKUP(RIGHT(E3075,3)+0,[1]SchLocTable!$A$2:$B$47,2,FALSE)," ")</f>
        <v>Bryant</v>
      </c>
      <c r="B3075" s="366" t="str">
        <f>VLOOKUP(VALUE(D3075),$D$3:F$106,3,FALSE)</f>
        <v>Speech/Language</v>
      </c>
      <c r="C3075" t="s">
        <v>314</v>
      </c>
      <c r="D3075">
        <v>856</v>
      </c>
      <c r="E3075" t="s">
        <v>1015</v>
      </c>
      <c r="F3075" t="s">
        <v>316</v>
      </c>
      <c r="G3075" t="s">
        <v>319</v>
      </c>
      <c r="H3075" s="502">
        <v>51000</v>
      </c>
      <c r="I3075" s="415">
        <v>0</v>
      </c>
      <c r="J3075" s="415">
        <v>105070</v>
      </c>
      <c r="K3075" s="415">
        <v>94155.1</v>
      </c>
      <c r="L3075" s="415">
        <v>91860.01</v>
      </c>
      <c r="M3075" s="415">
        <v>96958.080000000002</v>
      </c>
      <c r="N3075" s="415">
        <v>82623.33</v>
      </c>
      <c r="O3075" s="415">
        <v>72752.94</v>
      </c>
      <c r="P3075" s="415">
        <v>71607.899999999994</v>
      </c>
      <c r="Q3075" s="481">
        <f t="shared" si="94"/>
        <v>105070</v>
      </c>
    </row>
    <row r="3076" spans="1:17" x14ac:dyDescent="0.3">
      <c r="A3076" s="366" t="str">
        <f>IFERROR(VLOOKUP(RIGHT(E3076,3)+0,[1]SchLocTable!$A$2:$B$47,2,FALSE)," ")</f>
        <v>Bryant</v>
      </c>
      <c r="B3076" s="366" t="str">
        <f>VLOOKUP(VALUE(D3076),$D$3:F$106,3,FALSE)</f>
        <v>Speech/Language</v>
      </c>
      <c r="C3076" t="s">
        <v>314</v>
      </c>
      <c r="D3076">
        <v>856</v>
      </c>
      <c r="E3076" t="s">
        <v>1015</v>
      </c>
      <c r="F3076" t="s">
        <v>321</v>
      </c>
      <c r="G3076" t="s">
        <v>319</v>
      </c>
      <c r="H3076" s="502">
        <v>52917</v>
      </c>
      <c r="I3076" s="415">
        <v>0</v>
      </c>
      <c r="J3076" s="415">
        <v>31370.22</v>
      </c>
      <c r="K3076" s="415">
        <v>28478.1</v>
      </c>
      <c r="L3076" s="415">
        <v>28076.37</v>
      </c>
      <c r="M3076" s="415">
        <v>26335.47</v>
      </c>
      <c r="N3076" s="415">
        <v>24562.23</v>
      </c>
      <c r="O3076" s="415">
        <v>23581.07</v>
      </c>
      <c r="P3076" s="415">
        <v>22186.29</v>
      </c>
      <c r="Q3076" s="481">
        <f t="shared" si="94"/>
        <v>31370.22</v>
      </c>
    </row>
    <row r="3077" spans="1:17" x14ac:dyDescent="0.3">
      <c r="A3077" s="366" t="str">
        <f>IFERROR(VLOOKUP(RIGHT(E3077,3)+0,[1]SchLocTable!$A$2:$B$47,2,FALSE)," ")</f>
        <v>Bryant</v>
      </c>
      <c r="B3077" s="366" t="str">
        <f>VLOOKUP(VALUE(D3077),$D$3:F$106,3,FALSE)</f>
        <v>Speech/Language</v>
      </c>
      <c r="C3077" t="s">
        <v>314</v>
      </c>
      <c r="D3077">
        <v>856</v>
      </c>
      <c r="E3077" t="s">
        <v>1015</v>
      </c>
      <c r="F3077" t="s">
        <v>320</v>
      </c>
      <c r="G3077" t="s">
        <v>319</v>
      </c>
      <c r="H3077" s="502">
        <v>52360</v>
      </c>
      <c r="I3077" s="415">
        <v>0</v>
      </c>
      <c r="J3077" s="415">
        <v>1366</v>
      </c>
      <c r="K3077" s="415">
        <v>1243.3699999999999</v>
      </c>
      <c r="L3077" s="415">
        <v>1215.3599999999999</v>
      </c>
      <c r="M3077" s="415">
        <v>1302.1099999999999</v>
      </c>
      <c r="N3077" s="415">
        <v>1101.8499999999999</v>
      </c>
      <c r="O3077" s="415">
        <v>968.75</v>
      </c>
      <c r="P3077" s="415">
        <v>954.81</v>
      </c>
      <c r="Q3077" s="481">
        <f t="shared" si="94"/>
        <v>1366</v>
      </c>
    </row>
    <row r="3078" spans="1:17" x14ac:dyDescent="0.3">
      <c r="A3078" s="366" t="str">
        <f>IFERROR(VLOOKUP(RIGHT(E3078,3)+0,[1]SchLocTable!$A$2:$B$47,2,FALSE)," ")</f>
        <v>Bryant</v>
      </c>
      <c r="B3078" s="366" t="str">
        <f>VLOOKUP(VALUE(D3078),$D$3:F$106,3,FALSE)</f>
        <v>Speech/Language</v>
      </c>
      <c r="C3078" t="s">
        <v>314</v>
      </c>
      <c r="D3078">
        <v>856</v>
      </c>
      <c r="E3078" t="s">
        <v>1015</v>
      </c>
      <c r="F3078" t="s">
        <v>560</v>
      </c>
      <c r="G3078" t="s">
        <v>319</v>
      </c>
      <c r="H3078" s="502">
        <v>51404</v>
      </c>
      <c r="I3078" s="415">
        <v>0</v>
      </c>
      <c r="J3078" s="415">
        <v>0</v>
      </c>
      <c r="K3078" s="415">
        <v>0</v>
      </c>
      <c r="L3078" s="415">
        <v>0</v>
      </c>
      <c r="M3078" s="415">
        <v>180</v>
      </c>
      <c r="N3078" s="415">
        <v>0</v>
      </c>
      <c r="O3078" s="415">
        <v>250</v>
      </c>
      <c r="P3078" s="415">
        <v>0</v>
      </c>
      <c r="Q3078" s="481">
        <f t="shared" si="94"/>
        <v>0</v>
      </c>
    </row>
    <row r="3079" spans="1:17" x14ac:dyDescent="0.3">
      <c r="A3079" s="366" t="str">
        <f>IFERROR(VLOOKUP(RIGHT(E3079,3)+0,[1]SchLocTable!$A$2:$B$47,2,FALSE)," ")</f>
        <v>Batalla</v>
      </c>
      <c r="B3079" s="366" t="str">
        <f>VLOOKUP(VALUE(D3079),$D$3:F$106,3,FALSE)</f>
        <v>Speech/Language</v>
      </c>
      <c r="C3079" t="s">
        <v>314</v>
      </c>
      <c r="D3079">
        <v>856</v>
      </c>
      <c r="E3079" t="s">
        <v>1016</v>
      </c>
      <c r="F3079" t="s">
        <v>316</v>
      </c>
      <c r="G3079">
        <v>1</v>
      </c>
      <c r="H3079" s="502">
        <v>51000</v>
      </c>
      <c r="I3079" s="415">
        <v>128833.34568</v>
      </c>
      <c r="J3079" s="415">
        <v>119883</v>
      </c>
      <c r="K3079" s="415">
        <v>119882.62</v>
      </c>
      <c r="L3079" s="415">
        <v>109322.56</v>
      </c>
      <c r="M3079" s="415">
        <v>150114.41</v>
      </c>
      <c r="N3079" s="415">
        <v>125194.47</v>
      </c>
      <c r="O3079" s="415">
        <v>177270.99</v>
      </c>
      <c r="P3079" s="415">
        <v>189187.96</v>
      </c>
      <c r="Q3079" s="481">
        <f t="shared" si="94"/>
        <v>-8950.3456799999985</v>
      </c>
    </row>
    <row r="3080" spans="1:17" x14ac:dyDescent="0.3">
      <c r="A3080" s="366" t="str">
        <f>IFERROR(VLOOKUP(RIGHT(E3080,3)+0,[1]SchLocTable!$A$2:$B$47,2,FALSE)," ")</f>
        <v>Batalla</v>
      </c>
      <c r="B3080" s="366" t="str">
        <f>VLOOKUP(VALUE(D3080),$D$3:F$106,3,FALSE)</f>
        <v>Speech/Language</v>
      </c>
      <c r="C3080" t="s">
        <v>314</v>
      </c>
      <c r="D3080">
        <v>856</v>
      </c>
      <c r="E3080" t="s">
        <v>1016</v>
      </c>
      <c r="F3080" t="s">
        <v>321</v>
      </c>
      <c r="G3080" t="s">
        <v>319</v>
      </c>
      <c r="H3080" s="502">
        <v>52917</v>
      </c>
      <c r="I3080" s="415">
        <v>46330.955999999998</v>
      </c>
      <c r="J3080" s="415">
        <v>38609.129999999997</v>
      </c>
      <c r="K3080" s="415">
        <v>35075.879999999997</v>
      </c>
      <c r="L3080" s="415">
        <v>34606.949999999997</v>
      </c>
      <c r="M3080" s="415">
        <v>36623.199999999997</v>
      </c>
      <c r="N3080" s="415">
        <v>38592.43</v>
      </c>
      <c r="O3080" s="415">
        <v>38895.18</v>
      </c>
      <c r="P3080" s="415">
        <v>36630.720000000001</v>
      </c>
      <c r="Q3080" s="481">
        <f t="shared" si="94"/>
        <v>-7721.8260000000009</v>
      </c>
    </row>
    <row r="3081" spans="1:17" x14ac:dyDescent="0.3">
      <c r="A3081" s="366" t="str">
        <f>IFERROR(VLOOKUP(RIGHT(E3081,3)+0,[1]SchLocTable!$A$2:$B$47,2,FALSE)," ")</f>
        <v>Batalla</v>
      </c>
      <c r="B3081" s="366" t="str">
        <f>VLOOKUP(VALUE(D3081),$D$3:F$106,3,FALSE)</f>
        <v>Speech/Language</v>
      </c>
      <c r="C3081" t="s">
        <v>314</v>
      </c>
      <c r="D3081">
        <v>856</v>
      </c>
      <c r="E3081" t="s">
        <v>1016</v>
      </c>
      <c r="F3081" t="s">
        <v>318</v>
      </c>
      <c r="G3081" t="s">
        <v>319</v>
      </c>
      <c r="H3081" s="502">
        <v>51140</v>
      </c>
      <c r="I3081" s="415">
        <v>1100</v>
      </c>
      <c r="J3081" s="415">
        <v>0</v>
      </c>
      <c r="K3081" s="415">
        <v>1100</v>
      </c>
      <c r="L3081" s="415">
        <v>900</v>
      </c>
      <c r="M3081" s="415">
        <v>900</v>
      </c>
      <c r="N3081" s="415">
        <v>900</v>
      </c>
      <c r="O3081" s="415">
        <v>900</v>
      </c>
      <c r="P3081" s="415">
        <v>900</v>
      </c>
      <c r="Q3081" s="481">
        <f t="shared" si="94"/>
        <v>-1100</v>
      </c>
    </row>
    <row r="3082" spans="1:17" x14ac:dyDescent="0.3">
      <c r="A3082" s="366" t="str">
        <f>IFERROR(VLOOKUP(RIGHT(E3082,3)+0,[1]SchLocTable!$A$2:$B$47,2,FALSE)," ")</f>
        <v>Batalla</v>
      </c>
      <c r="B3082" s="366" t="str">
        <f>VLOOKUP(VALUE(D3082),$D$3:F$106,3,FALSE)</f>
        <v>Speech/Language</v>
      </c>
      <c r="C3082" t="s">
        <v>314</v>
      </c>
      <c r="D3082">
        <v>856</v>
      </c>
      <c r="E3082" t="s">
        <v>1016</v>
      </c>
      <c r="F3082" t="s">
        <v>320</v>
      </c>
      <c r="G3082" t="s">
        <v>319</v>
      </c>
      <c r="H3082" s="502">
        <v>52360</v>
      </c>
      <c r="I3082" s="415">
        <v>1907.7062123599999</v>
      </c>
      <c r="J3082" s="415">
        <v>1545</v>
      </c>
      <c r="K3082" s="415">
        <v>1607.8</v>
      </c>
      <c r="L3082" s="415">
        <v>1458.55</v>
      </c>
      <c r="M3082" s="415">
        <v>2046.5</v>
      </c>
      <c r="N3082" s="415">
        <v>2307.06</v>
      </c>
      <c r="O3082" s="415">
        <v>2658.84</v>
      </c>
      <c r="P3082" s="415">
        <v>2622.72</v>
      </c>
      <c r="Q3082" s="481">
        <f t="shared" si="94"/>
        <v>-362.70621235999988</v>
      </c>
    </row>
    <row r="3083" spans="1:17" x14ac:dyDescent="0.3">
      <c r="A3083" s="366" t="str">
        <f>IFERROR(VLOOKUP(RIGHT(E3083,3)+0,[1]SchLocTable!$A$2:$B$47,2,FALSE)," ")</f>
        <v>Batalla</v>
      </c>
      <c r="B3083" s="366" t="str">
        <f>VLOOKUP(VALUE(D3083),$D$3:F$106,3,FALSE)</f>
        <v>Speech/Language</v>
      </c>
      <c r="C3083" t="s">
        <v>314</v>
      </c>
      <c r="D3083">
        <v>856</v>
      </c>
      <c r="E3083" t="s">
        <v>1016</v>
      </c>
      <c r="F3083" t="s">
        <v>560</v>
      </c>
      <c r="G3083" t="s">
        <v>319</v>
      </c>
      <c r="H3083" s="502">
        <v>51404</v>
      </c>
      <c r="I3083" s="415">
        <v>2732.6</v>
      </c>
      <c r="J3083" s="415">
        <v>0</v>
      </c>
      <c r="K3083" s="415">
        <v>225</v>
      </c>
      <c r="L3083" s="415">
        <v>250</v>
      </c>
      <c r="M3083" s="415">
        <v>300</v>
      </c>
      <c r="N3083" s="415">
        <v>250</v>
      </c>
      <c r="O3083" s="415">
        <v>250</v>
      </c>
      <c r="P3083" s="415">
        <v>250</v>
      </c>
      <c r="Q3083" s="481">
        <f t="shared" si="94"/>
        <v>-2732.6</v>
      </c>
    </row>
    <row r="3084" spans="1:17" x14ac:dyDescent="0.3">
      <c r="A3084" s="366" t="str">
        <f>IFERROR(VLOOKUP(RIGHT(E3084,3)+0,[1]SchLocTable!$A$2:$B$47,2,FALSE)," ")</f>
        <v>Park City Magnet</v>
      </c>
      <c r="B3084" s="366" t="str">
        <f>VLOOKUP(VALUE(D3084),$D$3:F$106,3,FALSE)</f>
        <v>Speech/Language</v>
      </c>
      <c r="C3084" t="s">
        <v>314</v>
      </c>
      <c r="D3084">
        <v>856</v>
      </c>
      <c r="E3084" t="s">
        <v>1017</v>
      </c>
      <c r="F3084" t="s">
        <v>316</v>
      </c>
      <c r="G3084">
        <v>1</v>
      </c>
      <c r="H3084" s="502">
        <v>51000</v>
      </c>
      <c r="I3084" s="415">
        <v>95398.345119999984</v>
      </c>
      <c r="J3084" s="415">
        <v>85727</v>
      </c>
      <c r="K3084" s="415">
        <v>85727.45</v>
      </c>
      <c r="L3084" s="415">
        <v>77603</v>
      </c>
      <c r="M3084" s="415">
        <v>74892.899999999994</v>
      </c>
      <c r="N3084" s="415">
        <v>66892.72</v>
      </c>
      <c r="O3084" s="415">
        <v>57091.75</v>
      </c>
      <c r="P3084" s="415">
        <v>55848.1</v>
      </c>
      <c r="Q3084" s="481">
        <f t="shared" si="94"/>
        <v>-9671.3451199999836</v>
      </c>
    </row>
    <row r="3085" spans="1:17" x14ac:dyDescent="0.3">
      <c r="A3085" s="366" t="str">
        <f>IFERROR(VLOOKUP(RIGHT(E3085,3)+0,[1]SchLocTable!$A$2:$B$47,2,FALSE)," ")</f>
        <v>Park City Magnet</v>
      </c>
      <c r="B3085" s="366" t="str">
        <f>VLOOKUP(VALUE(D3085),$D$3:F$106,3,FALSE)</f>
        <v>Speech/Language</v>
      </c>
      <c r="C3085" t="s">
        <v>314</v>
      </c>
      <c r="D3085">
        <v>856</v>
      </c>
      <c r="E3085" t="s">
        <v>1017</v>
      </c>
      <c r="F3085" t="s">
        <v>321</v>
      </c>
      <c r="G3085" t="s">
        <v>319</v>
      </c>
      <c r="H3085" s="502">
        <v>52917</v>
      </c>
      <c r="I3085" s="415">
        <v>15644.663999999999</v>
      </c>
      <c r="J3085" s="415">
        <v>13037.22</v>
      </c>
      <c r="K3085" s="415">
        <v>11844</v>
      </c>
      <c r="L3085" s="415">
        <v>11684.82</v>
      </c>
      <c r="M3085" s="415">
        <v>10956.75</v>
      </c>
      <c r="N3085" s="415">
        <v>10232.879999999999</v>
      </c>
      <c r="O3085" s="415">
        <v>9817.68</v>
      </c>
      <c r="P3085" s="415">
        <v>9245.67</v>
      </c>
      <c r="Q3085" s="481">
        <f t="shared" si="94"/>
        <v>-2607.4439999999995</v>
      </c>
    </row>
    <row r="3086" spans="1:17" x14ac:dyDescent="0.3">
      <c r="A3086" s="366" t="str">
        <f>IFERROR(VLOOKUP(RIGHT(E3086,3)+0,[1]SchLocTable!$A$2:$B$47,2,FALSE)," ")</f>
        <v>Park City Magnet</v>
      </c>
      <c r="B3086" s="366" t="str">
        <f>VLOOKUP(VALUE(D3086),$D$3:F$106,3,FALSE)</f>
        <v>Speech/Language</v>
      </c>
      <c r="C3086" t="s">
        <v>314</v>
      </c>
      <c r="D3086">
        <v>856</v>
      </c>
      <c r="E3086" t="s">
        <v>1017</v>
      </c>
      <c r="F3086" t="s">
        <v>320</v>
      </c>
      <c r="G3086" t="s">
        <v>319</v>
      </c>
      <c r="H3086" s="502">
        <v>52360</v>
      </c>
      <c r="I3086" s="415">
        <v>1383.2760042399998</v>
      </c>
      <c r="J3086" s="415">
        <v>1172</v>
      </c>
      <c r="K3086" s="415">
        <v>1192.49</v>
      </c>
      <c r="L3086" s="415">
        <v>1080.49</v>
      </c>
      <c r="M3086" s="415">
        <v>1046.1400000000001</v>
      </c>
      <c r="N3086" s="415">
        <v>931.07</v>
      </c>
      <c r="O3086" s="415">
        <v>794.16</v>
      </c>
      <c r="P3086" s="415">
        <v>775.17</v>
      </c>
      <c r="Q3086" s="481">
        <f t="shared" si="94"/>
        <v>-211.27600423999979</v>
      </c>
    </row>
    <row r="3087" spans="1:17" x14ac:dyDescent="0.3">
      <c r="A3087" s="366" t="str">
        <f>IFERROR(VLOOKUP(RIGHT(E3087,3)+0,[1]SchLocTable!$A$2:$B$47,2,FALSE)," ")</f>
        <v>Park City Magnet</v>
      </c>
      <c r="B3087" s="366" t="str">
        <f>VLOOKUP(VALUE(D3087),$D$3:F$106,3,FALSE)</f>
        <v>Speech/Language</v>
      </c>
      <c r="C3087" t="s">
        <v>314</v>
      </c>
      <c r="D3087">
        <v>856</v>
      </c>
      <c r="E3087" t="s">
        <v>1017</v>
      </c>
      <c r="F3087" t="s">
        <v>560</v>
      </c>
      <c r="G3087" t="s">
        <v>319</v>
      </c>
      <c r="H3087" s="502">
        <v>51404</v>
      </c>
      <c r="I3087" s="415">
        <v>0</v>
      </c>
      <c r="J3087" s="415">
        <v>0</v>
      </c>
      <c r="K3087" s="415">
        <v>0</v>
      </c>
      <c r="L3087" s="415">
        <v>250</v>
      </c>
      <c r="M3087" s="415">
        <v>300</v>
      </c>
      <c r="N3087" s="415">
        <v>75</v>
      </c>
      <c r="O3087" s="415">
        <v>250</v>
      </c>
      <c r="P3087" s="415">
        <v>0</v>
      </c>
      <c r="Q3087" s="481">
        <f t="shared" si="94"/>
        <v>0</v>
      </c>
    </row>
    <row r="3088" spans="1:17" x14ac:dyDescent="0.3">
      <c r="A3088" s="366" t="str">
        <f>IFERROR(VLOOKUP(RIGHT(E3088,3)+0,[1]SchLocTable!$A$2:$B$47,2,FALSE)," ")</f>
        <v>Tisdale</v>
      </c>
      <c r="B3088" s="366" t="str">
        <f>VLOOKUP(VALUE(D3088),$D$3:F$106,3,FALSE)</f>
        <v>Speech/Language</v>
      </c>
      <c r="C3088" t="s">
        <v>314</v>
      </c>
      <c r="D3088">
        <v>856</v>
      </c>
      <c r="E3088" t="s">
        <v>1018</v>
      </c>
      <c r="F3088" t="s">
        <v>316</v>
      </c>
      <c r="G3088">
        <v>2</v>
      </c>
      <c r="H3088" s="502">
        <v>51000</v>
      </c>
      <c r="I3088" s="415">
        <v>183113.43881999998</v>
      </c>
      <c r="J3088" s="415">
        <v>69158</v>
      </c>
      <c r="K3088" s="415">
        <v>64835.94</v>
      </c>
      <c r="L3088" s="415">
        <v>26206.73</v>
      </c>
      <c r="M3088" s="415">
        <v>68473.08</v>
      </c>
      <c r="N3088" s="415">
        <v>82759.8</v>
      </c>
      <c r="O3088" s="415">
        <v>111524.92</v>
      </c>
      <c r="P3088" s="415">
        <v>153564.06</v>
      </c>
      <c r="Q3088" s="481">
        <f t="shared" si="94"/>
        <v>-113955.43881999998</v>
      </c>
    </row>
    <row r="3089" spans="1:17" x14ac:dyDescent="0.3">
      <c r="A3089" s="366" t="str">
        <f>IFERROR(VLOOKUP(RIGHT(E3089,3)+0,[1]SchLocTable!$A$2:$B$47,2,FALSE)," ")</f>
        <v>Tisdale</v>
      </c>
      <c r="B3089" s="366" t="str">
        <f>VLOOKUP(VALUE(D3089),$D$3:F$106,3,FALSE)</f>
        <v>Speech/Language</v>
      </c>
      <c r="C3089" t="s">
        <v>314</v>
      </c>
      <c r="D3089">
        <v>856</v>
      </c>
      <c r="E3089" t="s">
        <v>1018</v>
      </c>
      <c r="F3089" t="s">
        <v>321</v>
      </c>
      <c r="G3089" t="s">
        <v>319</v>
      </c>
      <c r="H3089" s="502">
        <v>52917</v>
      </c>
      <c r="I3089" s="415">
        <v>53288.927999999993</v>
      </c>
      <c r="J3089" s="415">
        <v>13037.22</v>
      </c>
      <c r="K3089" s="415">
        <v>11884.32</v>
      </c>
      <c r="L3089" s="415">
        <v>3894.94</v>
      </c>
      <c r="M3089" s="415">
        <v>10956.75</v>
      </c>
      <c r="N3089" s="415">
        <v>12171.4</v>
      </c>
      <c r="O3089" s="415">
        <v>18439.14</v>
      </c>
      <c r="P3089" s="415">
        <v>31431.96</v>
      </c>
      <c r="Q3089" s="481">
        <f t="shared" si="94"/>
        <v>-40251.707999999991</v>
      </c>
    </row>
    <row r="3090" spans="1:17" x14ac:dyDescent="0.3">
      <c r="A3090" s="366" t="str">
        <f>IFERROR(VLOOKUP(RIGHT(E3090,3)+0,[1]SchLocTable!$A$2:$B$47,2,FALSE)," ")</f>
        <v>Tisdale</v>
      </c>
      <c r="B3090" s="366" t="str">
        <f>VLOOKUP(VALUE(D3090),$D$3:F$106,3,FALSE)</f>
        <v>Speech/Language</v>
      </c>
      <c r="C3090" t="s">
        <v>314</v>
      </c>
      <c r="D3090">
        <v>856</v>
      </c>
      <c r="E3090" t="s">
        <v>1018</v>
      </c>
      <c r="F3090" t="s">
        <v>318</v>
      </c>
      <c r="G3090" t="s">
        <v>319</v>
      </c>
      <c r="H3090" s="502">
        <v>51140</v>
      </c>
      <c r="I3090" s="415">
        <v>900</v>
      </c>
      <c r="J3090" s="415">
        <v>0</v>
      </c>
      <c r="K3090" s="415">
        <v>0</v>
      </c>
      <c r="L3090" s="415">
        <v>0</v>
      </c>
      <c r="M3090" s="415">
        <v>0</v>
      </c>
      <c r="N3090" s="415">
        <v>0</v>
      </c>
      <c r="O3090" s="415">
        <v>0</v>
      </c>
      <c r="P3090" s="415">
        <v>2600</v>
      </c>
      <c r="Q3090" s="481">
        <f t="shared" si="94"/>
        <v>-900</v>
      </c>
    </row>
    <row r="3091" spans="1:17" x14ac:dyDescent="0.3">
      <c r="A3091" s="366" t="str">
        <f>IFERROR(VLOOKUP(RIGHT(E3091,3)+0,[1]SchLocTable!$A$2:$B$47,2,FALSE)," ")</f>
        <v>Tisdale</v>
      </c>
      <c r="B3091" s="366" t="str">
        <f>VLOOKUP(VALUE(D3091),$D$3:F$106,3,FALSE)</f>
        <v>Speech/Language</v>
      </c>
      <c r="C3091" t="s">
        <v>314</v>
      </c>
      <c r="D3091">
        <v>856</v>
      </c>
      <c r="E3091" t="s">
        <v>1018</v>
      </c>
      <c r="F3091" t="s">
        <v>320</v>
      </c>
      <c r="G3091" t="s">
        <v>319</v>
      </c>
      <c r="H3091" s="502">
        <v>52360</v>
      </c>
      <c r="I3091" s="415">
        <v>2655.1448628899998</v>
      </c>
      <c r="J3091" s="415">
        <v>932</v>
      </c>
      <c r="K3091" s="415">
        <v>889.49</v>
      </c>
      <c r="L3091" s="415">
        <v>363.87</v>
      </c>
      <c r="M3091" s="415">
        <v>948.7</v>
      </c>
      <c r="N3091" s="415">
        <v>1156.74</v>
      </c>
      <c r="O3091" s="415">
        <v>1549.38</v>
      </c>
      <c r="P3091" s="415">
        <v>820.43</v>
      </c>
      <c r="Q3091" s="481">
        <f t="shared" si="94"/>
        <v>-1723.1448628899998</v>
      </c>
    </row>
    <row r="3092" spans="1:17" x14ac:dyDescent="0.3">
      <c r="A3092" s="366" t="str">
        <f>IFERROR(VLOOKUP(RIGHT(E3092,3)+0,[1]SchLocTable!$A$2:$B$47,2,FALSE)," ")</f>
        <v>Read</v>
      </c>
      <c r="B3092" s="366" t="str">
        <f>VLOOKUP(VALUE(D3092),$D$3:F$106,3,FALSE)</f>
        <v>Speech/Language</v>
      </c>
      <c r="C3092" t="s">
        <v>314</v>
      </c>
      <c r="D3092">
        <v>856</v>
      </c>
      <c r="E3092" t="s">
        <v>1019</v>
      </c>
      <c r="F3092" t="s">
        <v>316</v>
      </c>
      <c r="G3092">
        <v>1</v>
      </c>
      <c r="H3092" s="502">
        <v>51000</v>
      </c>
      <c r="I3092" s="415">
        <v>60418.87904</v>
      </c>
      <c r="J3092" s="415">
        <v>57487</v>
      </c>
      <c r="K3092" s="415">
        <v>55168.1</v>
      </c>
      <c r="L3092" s="415">
        <v>56252.58</v>
      </c>
      <c r="M3092" s="415">
        <v>39781.25</v>
      </c>
      <c r="N3092" s="415">
        <v>28399.32</v>
      </c>
      <c r="O3092" s="415">
        <v>0</v>
      </c>
      <c r="P3092" s="415">
        <v>0</v>
      </c>
      <c r="Q3092" s="481">
        <f t="shared" si="94"/>
        <v>-2931.8790399999998</v>
      </c>
    </row>
    <row r="3093" spans="1:17" x14ac:dyDescent="0.3">
      <c r="A3093" s="366" t="str">
        <f>IFERROR(VLOOKUP(RIGHT(E3093,3)+0,[1]SchLocTable!$A$2:$B$47,2,FALSE)," ")</f>
        <v>Read</v>
      </c>
      <c r="B3093" s="366" t="str">
        <f>VLOOKUP(VALUE(D3093),$D$3:F$106,3,FALSE)</f>
        <v>Speech/Language</v>
      </c>
      <c r="C3093" t="s">
        <v>314</v>
      </c>
      <c r="D3093">
        <v>856</v>
      </c>
      <c r="E3093" t="s">
        <v>1019</v>
      </c>
      <c r="F3093" t="s">
        <v>321</v>
      </c>
      <c r="G3093" t="s">
        <v>319</v>
      </c>
      <c r="H3093" s="502">
        <v>52917</v>
      </c>
      <c r="I3093" s="415">
        <v>15644.663999999999</v>
      </c>
      <c r="J3093" s="415">
        <v>13037.22</v>
      </c>
      <c r="K3093" s="415">
        <v>11823.08</v>
      </c>
      <c r="L3093" s="415">
        <v>0</v>
      </c>
      <c r="M3093" s="415">
        <v>0</v>
      </c>
      <c r="N3093" s="415">
        <v>1938.52</v>
      </c>
      <c r="O3093" s="415">
        <v>0</v>
      </c>
      <c r="P3093" s="415">
        <v>0</v>
      </c>
      <c r="Q3093" s="481">
        <f t="shared" si="94"/>
        <v>-2607.4439999999995</v>
      </c>
    </row>
    <row r="3094" spans="1:17" x14ac:dyDescent="0.3">
      <c r="A3094" s="366" t="str">
        <f>IFERROR(VLOOKUP(RIGHT(E3094,3)+0,[1]SchLocTable!$A$2:$B$47,2,FALSE)," ")</f>
        <v>Read</v>
      </c>
      <c r="B3094" s="366" t="str">
        <f>VLOOKUP(VALUE(D3094),$D$3:F$106,3,FALSE)</f>
        <v>Speech/Language</v>
      </c>
      <c r="C3094" t="s">
        <v>314</v>
      </c>
      <c r="D3094">
        <v>856</v>
      </c>
      <c r="E3094" t="s">
        <v>1019</v>
      </c>
      <c r="F3094" t="s">
        <v>320</v>
      </c>
      <c r="G3094" t="s">
        <v>319</v>
      </c>
      <c r="H3094" s="502">
        <v>52360</v>
      </c>
      <c r="I3094" s="415">
        <v>876.07374608000009</v>
      </c>
      <c r="J3094" s="415">
        <v>763</v>
      </c>
      <c r="K3094" s="415">
        <v>749.42</v>
      </c>
      <c r="L3094" s="415">
        <v>815.67</v>
      </c>
      <c r="M3094" s="415">
        <v>576.83000000000004</v>
      </c>
      <c r="N3094" s="415">
        <v>404.21</v>
      </c>
      <c r="O3094" s="415">
        <v>0</v>
      </c>
      <c r="P3094" s="415">
        <v>0</v>
      </c>
      <c r="Q3094" s="481">
        <f t="shared" si="94"/>
        <v>-113.07374608000009</v>
      </c>
    </row>
    <row r="3095" spans="1:17" x14ac:dyDescent="0.3">
      <c r="A3095" s="366" t="str">
        <f>IFERROR(VLOOKUP(RIGHT(E3095,3)+0,[1]SchLocTable!$A$2:$B$47,2,FALSE)," ")</f>
        <v>Read</v>
      </c>
      <c r="B3095" s="366" t="str">
        <f>VLOOKUP(VALUE(D3095),$D$3:F$106,3,FALSE)</f>
        <v>Speech/Language</v>
      </c>
      <c r="C3095" t="s">
        <v>314</v>
      </c>
      <c r="D3095">
        <v>856</v>
      </c>
      <c r="E3095" t="s">
        <v>1019</v>
      </c>
      <c r="F3095" t="s">
        <v>324</v>
      </c>
      <c r="G3095" t="s">
        <v>319</v>
      </c>
      <c r="H3095" s="502">
        <v>52385</v>
      </c>
      <c r="I3095" s="415">
        <v>0</v>
      </c>
      <c r="J3095" s="415">
        <v>0</v>
      </c>
      <c r="K3095" s="415">
        <v>0</v>
      </c>
      <c r="L3095" s="415">
        <v>2487.75</v>
      </c>
      <c r="M3095" s="415">
        <v>0</v>
      </c>
      <c r="N3095" s="415">
        <v>0</v>
      </c>
      <c r="O3095" s="415">
        <v>0</v>
      </c>
      <c r="P3095" s="415">
        <v>0</v>
      </c>
      <c r="Q3095" s="481">
        <f t="shared" si="94"/>
        <v>0</v>
      </c>
    </row>
    <row r="3096" spans="1:17" x14ac:dyDescent="0.3">
      <c r="A3096" s="366" t="str">
        <f>IFERROR(VLOOKUP(RIGHT(E3096,3)+0,[1]SchLocTable!$A$2:$B$47,2,FALSE)," ")</f>
        <v>Johnson</v>
      </c>
      <c r="B3096" s="366" t="str">
        <f>VLOOKUP(VALUE(D3096),$D$3:F$106,3,FALSE)</f>
        <v>Speech/Language</v>
      </c>
      <c r="C3096" t="s">
        <v>314</v>
      </c>
      <c r="D3096">
        <v>856</v>
      </c>
      <c r="E3096" t="s">
        <v>1020</v>
      </c>
      <c r="F3096" t="s">
        <v>316</v>
      </c>
      <c r="G3096">
        <v>1</v>
      </c>
      <c r="H3096" s="502">
        <v>51000</v>
      </c>
      <c r="I3096" s="415">
        <v>110092.62835999999</v>
      </c>
      <c r="J3096" s="415">
        <v>89786</v>
      </c>
      <c r="K3096" s="415">
        <v>83938</v>
      </c>
      <c r="L3096" s="415">
        <v>96842.79</v>
      </c>
      <c r="M3096" s="415">
        <v>129279.69</v>
      </c>
      <c r="N3096" s="415">
        <v>119415.6</v>
      </c>
      <c r="O3096" s="415">
        <v>127993.31</v>
      </c>
      <c r="P3096" s="415">
        <v>149064.24</v>
      </c>
      <c r="Q3096" s="481">
        <f t="shared" si="94"/>
        <v>-20306.628359999988</v>
      </c>
    </row>
    <row r="3097" spans="1:17" x14ac:dyDescent="0.3">
      <c r="A3097" s="366" t="str">
        <f>IFERROR(VLOOKUP(RIGHT(E3097,3)+0,[1]SchLocTable!$A$2:$B$47,2,FALSE)," ")</f>
        <v>Johnson</v>
      </c>
      <c r="B3097" s="366" t="str">
        <f>VLOOKUP(VALUE(D3097),$D$3:F$106,3,FALSE)</f>
        <v>Speech/Language</v>
      </c>
      <c r="C3097" t="s">
        <v>314</v>
      </c>
      <c r="D3097">
        <v>856</v>
      </c>
      <c r="E3097" t="s">
        <v>1020</v>
      </c>
      <c r="F3097" t="s">
        <v>321</v>
      </c>
      <c r="G3097" t="s">
        <v>319</v>
      </c>
      <c r="H3097" s="502">
        <v>52917</v>
      </c>
      <c r="I3097" s="415">
        <v>46330.955999999998</v>
      </c>
      <c r="J3097" s="415">
        <v>38609.129999999997</v>
      </c>
      <c r="K3097" s="415">
        <v>35075.879999999997</v>
      </c>
      <c r="L3097" s="415">
        <v>36268.26</v>
      </c>
      <c r="M3097" s="415">
        <v>43401.75</v>
      </c>
      <c r="N3097" s="415">
        <v>38547.379999999997</v>
      </c>
      <c r="O3097" s="415">
        <v>48572.51</v>
      </c>
      <c r="P3097" s="415">
        <v>49571.34</v>
      </c>
      <c r="Q3097" s="481">
        <f t="shared" si="94"/>
        <v>-7721.8260000000009</v>
      </c>
    </row>
    <row r="3098" spans="1:17" x14ac:dyDescent="0.3">
      <c r="A3098" s="366" t="str">
        <f>IFERROR(VLOOKUP(RIGHT(E3098,3)+0,[1]SchLocTable!$A$2:$B$47,2,FALSE)," ")</f>
        <v>Johnson</v>
      </c>
      <c r="B3098" s="366" t="str">
        <f>VLOOKUP(VALUE(D3098),$D$3:F$106,3,FALSE)</f>
        <v>Speech/Language</v>
      </c>
      <c r="C3098" t="s">
        <v>314</v>
      </c>
      <c r="D3098">
        <v>856</v>
      </c>
      <c r="E3098" t="s">
        <v>1020</v>
      </c>
      <c r="F3098" t="s">
        <v>320</v>
      </c>
      <c r="G3098" t="s">
        <v>319</v>
      </c>
      <c r="H3098" s="502">
        <v>52360</v>
      </c>
      <c r="I3098" s="415">
        <v>1596.3431112199999</v>
      </c>
      <c r="J3098" s="415">
        <v>1093</v>
      </c>
      <c r="K3098" s="415">
        <v>1067.3800000000001</v>
      </c>
      <c r="L3098" s="415">
        <v>1255.7</v>
      </c>
      <c r="M3098" s="415">
        <v>1699.66</v>
      </c>
      <c r="N3098" s="415">
        <v>1580.97</v>
      </c>
      <c r="O3098" s="415">
        <v>1684.38</v>
      </c>
      <c r="P3098" s="415">
        <v>1988.44</v>
      </c>
      <c r="Q3098" s="481">
        <f t="shared" si="94"/>
        <v>-503.34311121999986</v>
      </c>
    </row>
    <row r="3099" spans="1:17" x14ac:dyDescent="0.3">
      <c r="A3099" s="366" t="str">
        <f>IFERROR(VLOOKUP(RIGHT(E3099,3)+0,[1]SchLocTable!$A$2:$B$47,2,FALSE)," ")</f>
        <v>Winthrop</v>
      </c>
      <c r="B3099" s="366" t="str">
        <f>VLOOKUP(VALUE(D3099),$D$3:F$106,3,FALSE)</f>
        <v>Speech/Language</v>
      </c>
      <c r="C3099" t="s">
        <v>314</v>
      </c>
      <c r="D3099">
        <v>856</v>
      </c>
      <c r="E3099" t="s">
        <v>1021</v>
      </c>
      <c r="F3099" t="s">
        <v>316</v>
      </c>
      <c r="G3099" t="s">
        <v>319</v>
      </c>
      <c r="H3099" s="502">
        <v>51000</v>
      </c>
      <c r="I3099" s="415">
        <v>0</v>
      </c>
      <c r="J3099" s="415">
        <v>0</v>
      </c>
      <c r="K3099" s="415">
        <v>0</v>
      </c>
      <c r="L3099" s="415">
        <v>46076.46</v>
      </c>
      <c r="M3099" s="415">
        <v>0</v>
      </c>
      <c r="N3099" s="415">
        <v>0</v>
      </c>
      <c r="O3099" s="415">
        <v>0</v>
      </c>
      <c r="P3099" s="415">
        <v>0</v>
      </c>
      <c r="Q3099" s="481">
        <f t="shared" si="94"/>
        <v>0</v>
      </c>
    </row>
    <row r="3100" spans="1:17" x14ac:dyDescent="0.3">
      <c r="A3100" s="366" t="str">
        <f>IFERROR(VLOOKUP(RIGHT(E3100,3)+0,[1]SchLocTable!$A$2:$B$47,2,FALSE)," ")</f>
        <v>Winthrop</v>
      </c>
      <c r="B3100" s="366" t="str">
        <f>VLOOKUP(VALUE(D3100),$D$3:F$106,3,FALSE)</f>
        <v>Speech/Language</v>
      </c>
      <c r="C3100" t="s">
        <v>314</v>
      </c>
      <c r="D3100">
        <v>856</v>
      </c>
      <c r="E3100" t="s">
        <v>1021</v>
      </c>
      <c r="F3100" t="s">
        <v>320</v>
      </c>
      <c r="G3100" t="s">
        <v>319</v>
      </c>
      <c r="H3100" s="502">
        <v>52360</v>
      </c>
      <c r="I3100" s="415">
        <v>0</v>
      </c>
      <c r="J3100" s="415">
        <v>0</v>
      </c>
      <c r="K3100" s="415">
        <v>0</v>
      </c>
      <c r="L3100" s="415">
        <v>668.11</v>
      </c>
      <c r="M3100" s="415">
        <v>0</v>
      </c>
      <c r="N3100" s="415">
        <v>0</v>
      </c>
      <c r="O3100" s="415">
        <v>0</v>
      </c>
      <c r="P3100" s="415">
        <v>0</v>
      </c>
      <c r="Q3100" s="481">
        <f t="shared" si="94"/>
        <v>0</v>
      </c>
    </row>
    <row r="3101" spans="1:17" x14ac:dyDescent="0.3">
      <c r="A3101" s="366" t="str">
        <f>IFERROR(VLOOKUP(RIGHT(E3101,3)+0,[1]SchLocTable!$A$2:$B$47,2,FALSE)," ")</f>
        <v>Cross</v>
      </c>
      <c r="B3101" s="366" t="str">
        <f>VLOOKUP(VALUE(D3101),$D$3:F$106,3,FALSE)</f>
        <v>Speech/Language</v>
      </c>
      <c r="C3101" t="s">
        <v>314</v>
      </c>
      <c r="D3101">
        <v>856</v>
      </c>
      <c r="E3101" t="s">
        <v>1022</v>
      </c>
      <c r="F3101" t="s">
        <v>316</v>
      </c>
      <c r="G3101" t="s">
        <v>319</v>
      </c>
      <c r="H3101" s="502">
        <v>51000</v>
      </c>
      <c r="I3101" s="415">
        <v>0</v>
      </c>
      <c r="J3101" s="415">
        <v>0</v>
      </c>
      <c r="K3101" s="415">
        <v>0</v>
      </c>
      <c r="L3101" s="415">
        <v>0</v>
      </c>
      <c r="M3101" s="415">
        <v>5364.2</v>
      </c>
      <c r="N3101" s="415">
        <v>0</v>
      </c>
      <c r="O3101" s="415">
        <v>0</v>
      </c>
      <c r="P3101" s="415">
        <v>0</v>
      </c>
      <c r="Q3101" s="481">
        <f t="shared" si="94"/>
        <v>0</v>
      </c>
    </row>
    <row r="3102" spans="1:17" x14ac:dyDescent="0.3">
      <c r="A3102" s="366" t="str">
        <f>IFERROR(VLOOKUP(RIGHT(E3102,3)+0,[1]SchLocTable!$A$2:$B$47,2,FALSE)," ")</f>
        <v>Cross</v>
      </c>
      <c r="B3102" s="366" t="str">
        <f>VLOOKUP(VALUE(D3102),$D$3:F$106,3,FALSE)</f>
        <v>Speech/Language</v>
      </c>
      <c r="C3102" t="s">
        <v>314</v>
      </c>
      <c r="D3102">
        <v>856</v>
      </c>
      <c r="E3102" t="s">
        <v>1022</v>
      </c>
      <c r="F3102" t="s">
        <v>321</v>
      </c>
      <c r="G3102" t="s">
        <v>319</v>
      </c>
      <c r="H3102" s="502">
        <v>52917</v>
      </c>
      <c r="I3102" s="415">
        <v>0</v>
      </c>
      <c r="J3102" s="415">
        <v>0</v>
      </c>
      <c r="K3102" s="415">
        <v>0</v>
      </c>
      <c r="L3102" s="415">
        <v>0</v>
      </c>
      <c r="M3102" s="415">
        <v>610.03</v>
      </c>
      <c r="N3102" s="415">
        <v>0</v>
      </c>
      <c r="O3102" s="415">
        <v>0</v>
      </c>
      <c r="P3102" s="415">
        <v>0</v>
      </c>
      <c r="Q3102" s="481">
        <f t="shared" si="94"/>
        <v>0</v>
      </c>
    </row>
    <row r="3103" spans="1:17" x14ac:dyDescent="0.3">
      <c r="A3103" s="366" t="str">
        <f>IFERROR(VLOOKUP(RIGHT(E3103,3)+0,[1]SchLocTable!$A$2:$B$47,2,FALSE)," ")</f>
        <v>Cross</v>
      </c>
      <c r="B3103" s="366" t="str">
        <f>VLOOKUP(VALUE(D3103),$D$3:F$106,3,FALSE)</f>
        <v>Speech/Language</v>
      </c>
      <c r="C3103" t="s">
        <v>314</v>
      </c>
      <c r="D3103">
        <v>856</v>
      </c>
      <c r="E3103" t="s">
        <v>1022</v>
      </c>
      <c r="F3103" t="s">
        <v>320</v>
      </c>
      <c r="G3103" t="s">
        <v>319</v>
      </c>
      <c r="H3103" s="502">
        <v>52360</v>
      </c>
      <c r="I3103" s="415">
        <v>0</v>
      </c>
      <c r="J3103" s="415">
        <v>0</v>
      </c>
      <c r="K3103" s="415">
        <v>0</v>
      </c>
      <c r="L3103" s="415">
        <v>0</v>
      </c>
      <c r="M3103" s="415">
        <v>75.319999999999993</v>
      </c>
      <c r="N3103" s="415">
        <v>0</v>
      </c>
      <c r="O3103" s="415">
        <v>0</v>
      </c>
      <c r="P3103" s="415">
        <v>0</v>
      </c>
      <c r="Q3103" s="481">
        <f t="shared" si="94"/>
        <v>0</v>
      </c>
    </row>
    <row r="3104" spans="1:17" x14ac:dyDescent="0.3">
      <c r="A3104" s="366" t="str">
        <f>IFERROR(VLOOKUP(RIGHT(E3104,3)+0,[1]SchLocTable!$A$2:$B$47,2,FALSE)," ")</f>
        <v>Skane</v>
      </c>
      <c r="B3104" s="366" t="str">
        <f>VLOOKUP(VALUE(D3104),$D$3:F$106,3,FALSE)</f>
        <v>Speech/Language</v>
      </c>
      <c r="C3104" t="s">
        <v>314</v>
      </c>
      <c r="D3104">
        <v>856</v>
      </c>
      <c r="E3104" t="s">
        <v>1023</v>
      </c>
      <c r="F3104" t="s">
        <v>316</v>
      </c>
      <c r="G3104">
        <v>1</v>
      </c>
      <c r="H3104" s="502">
        <v>51000</v>
      </c>
      <c r="I3104" s="415">
        <v>149912.34882000001</v>
      </c>
      <c r="J3104" s="415">
        <v>77802</v>
      </c>
      <c r="K3104" s="415">
        <v>73480.94</v>
      </c>
      <c r="L3104" s="415">
        <v>68473.08</v>
      </c>
      <c r="M3104" s="415">
        <v>152495.04999999999</v>
      </c>
      <c r="N3104" s="415">
        <v>240120.7</v>
      </c>
      <c r="O3104" s="415">
        <v>179646.57</v>
      </c>
      <c r="P3104" s="415">
        <v>189202.68</v>
      </c>
      <c r="Q3104" s="481">
        <f t="shared" si="94"/>
        <v>-72110.348820000014</v>
      </c>
    </row>
    <row r="3105" spans="1:17" x14ac:dyDescent="0.3">
      <c r="A3105" s="366" t="str">
        <f>IFERROR(VLOOKUP(RIGHT(E3105,3)+0,[1]SchLocTable!$A$2:$B$47,2,FALSE)," ")</f>
        <v>Skane</v>
      </c>
      <c r="B3105" s="366" t="str">
        <f>VLOOKUP(VALUE(D3105),$D$3:F$106,3,FALSE)</f>
        <v>Speech/Language</v>
      </c>
      <c r="C3105" t="s">
        <v>314</v>
      </c>
      <c r="D3105">
        <v>856</v>
      </c>
      <c r="E3105" t="s">
        <v>1023</v>
      </c>
      <c r="F3105" t="s">
        <v>321</v>
      </c>
      <c r="G3105" t="s">
        <v>319</v>
      </c>
      <c r="H3105" s="502">
        <v>52917</v>
      </c>
      <c r="I3105" s="415">
        <v>31289.327999999998</v>
      </c>
      <c r="J3105" s="415">
        <v>16070</v>
      </c>
      <c r="K3105" s="415">
        <v>11844</v>
      </c>
      <c r="L3105" s="415">
        <v>11684.82</v>
      </c>
      <c r="M3105" s="415">
        <v>31596.720000000001</v>
      </c>
      <c r="N3105" s="415">
        <v>70898.78</v>
      </c>
      <c r="O3105" s="415">
        <v>41728.620000000003</v>
      </c>
      <c r="P3105" s="415">
        <v>45876.39</v>
      </c>
      <c r="Q3105" s="481">
        <f t="shared" si="94"/>
        <v>-15219.327999999998</v>
      </c>
    </row>
    <row r="3106" spans="1:17" x14ac:dyDescent="0.3">
      <c r="A3106" s="366" t="str">
        <f>IFERROR(VLOOKUP(RIGHT(E3106,3)+0,[1]SchLocTable!$A$2:$B$47,2,FALSE)," ")</f>
        <v>Skane</v>
      </c>
      <c r="B3106" s="366" t="str">
        <f>VLOOKUP(VALUE(D3106),$D$3:F$106,3,FALSE)</f>
        <v>Speech/Language</v>
      </c>
      <c r="C3106" t="s">
        <v>314</v>
      </c>
      <c r="D3106">
        <v>856</v>
      </c>
      <c r="E3106" t="s">
        <v>1023</v>
      </c>
      <c r="F3106" t="s">
        <v>320</v>
      </c>
      <c r="G3106" t="s">
        <v>319</v>
      </c>
      <c r="H3106" s="502">
        <v>52360</v>
      </c>
      <c r="I3106" s="415">
        <v>2173.7290578900001</v>
      </c>
      <c r="J3106" s="415">
        <v>1058</v>
      </c>
      <c r="K3106" s="415">
        <v>1014.91</v>
      </c>
      <c r="L3106" s="415">
        <v>944.46</v>
      </c>
      <c r="M3106" s="415">
        <v>2071.1799999999998</v>
      </c>
      <c r="N3106" s="415">
        <v>3204.23</v>
      </c>
      <c r="O3106" s="415">
        <v>2446.39</v>
      </c>
      <c r="P3106" s="415">
        <v>2571.63</v>
      </c>
      <c r="Q3106" s="481">
        <f t="shared" si="94"/>
        <v>-1115.7290578900001</v>
      </c>
    </row>
    <row r="3107" spans="1:17" x14ac:dyDescent="0.3">
      <c r="A3107" s="366" t="str">
        <f>IFERROR(VLOOKUP(RIGHT(E3107,3)+0,[1]SchLocTable!$A$2:$B$47,2,FALSE)," ")</f>
        <v xml:space="preserve"> </v>
      </c>
      <c r="B3107" s="366" t="str">
        <f>VLOOKUP(VALUE(D3107),$D$3:F$106,3,FALSE)</f>
        <v>Speech/Language Paras</v>
      </c>
      <c r="C3107" t="s">
        <v>314</v>
      </c>
      <c r="D3107">
        <v>857</v>
      </c>
      <c r="E3107" t="s">
        <v>1024</v>
      </c>
      <c r="F3107" t="s">
        <v>316</v>
      </c>
      <c r="G3107">
        <v>2</v>
      </c>
      <c r="H3107" s="502">
        <v>51000</v>
      </c>
      <c r="I3107" s="415">
        <v>102419.43316499999</v>
      </c>
      <c r="J3107" s="415">
        <v>92378</v>
      </c>
      <c r="K3107" s="415">
        <v>74191.850000000006</v>
      </c>
      <c r="L3107" s="415">
        <v>71277.02</v>
      </c>
      <c r="M3107" s="415">
        <v>90361.77</v>
      </c>
      <c r="N3107" s="415">
        <v>88550.11</v>
      </c>
      <c r="O3107" s="415">
        <v>88984.89</v>
      </c>
      <c r="P3107" s="415">
        <v>85797.9</v>
      </c>
      <c r="Q3107" s="481">
        <f t="shared" si="94"/>
        <v>-10041.433164999995</v>
      </c>
    </row>
    <row r="3108" spans="1:17" x14ac:dyDescent="0.3">
      <c r="A3108" s="366" t="str">
        <f>IFERROR(VLOOKUP(RIGHT(E3108,3)+0,[1]SchLocTable!$A$2:$B$47,2,FALSE)," ")</f>
        <v xml:space="preserve"> </v>
      </c>
      <c r="B3108" s="366" t="str">
        <f>VLOOKUP(VALUE(D3108),$D$3:F$106,3,FALSE)</f>
        <v>Speech/Language Paras</v>
      </c>
      <c r="C3108" t="s">
        <v>314</v>
      </c>
      <c r="D3108">
        <v>857</v>
      </c>
      <c r="E3108" t="s">
        <v>1024</v>
      </c>
      <c r="F3108" t="s">
        <v>321</v>
      </c>
      <c r="G3108" t="s">
        <v>319</v>
      </c>
      <c r="H3108" s="502">
        <v>52917</v>
      </c>
      <c r="I3108" s="415">
        <v>73902.527999999991</v>
      </c>
      <c r="J3108" s="415">
        <v>61274</v>
      </c>
      <c r="K3108" s="415">
        <v>51251.34</v>
      </c>
      <c r="L3108" s="415">
        <v>38258.42</v>
      </c>
      <c r="M3108" s="415">
        <v>42340.59</v>
      </c>
      <c r="N3108" s="415">
        <v>39081.75</v>
      </c>
      <c r="O3108" s="415">
        <v>37085.71</v>
      </c>
      <c r="P3108" s="415">
        <v>35387.06</v>
      </c>
      <c r="Q3108" s="481">
        <f t="shared" si="94"/>
        <v>-12628.527999999991</v>
      </c>
    </row>
    <row r="3109" spans="1:17" x14ac:dyDescent="0.3">
      <c r="A3109" s="366" t="str">
        <f>IFERROR(VLOOKUP(RIGHT(E3109,3)+0,[1]SchLocTable!$A$2:$B$47,2,FALSE)," ")</f>
        <v xml:space="preserve"> </v>
      </c>
      <c r="B3109" s="366" t="str">
        <f>VLOOKUP(VALUE(D3109),$D$3:F$106,3,FALSE)</f>
        <v>Speech/Language Paras</v>
      </c>
      <c r="C3109" t="s">
        <v>314</v>
      </c>
      <c r="D3109">
        <v>857</v>
      </c>
      <c r="E3109" t="s">
        <v>1024</v>
      </c>
      <c r="F3109" t="s">
        <v>318</v>
      </c>
      <c r="G3109" t="s">
        <v>319</v>
      </c>
      <c r="H3109" s="502">
        <v>51140</v>
      </c>
      <c r="I3109" s="415">
        <v>3600</v>
      </c>
      <c r="J3109" s="415">
        <v>0</v>
      </c>
      <c r="K3109" s="415">
        <v>3500</v>
      </c>
      <c r="L3109" s="415">
        <v>3930</v>
      </c>
      <c r="M3109" s="415">
        <v>3410</v>
      </c>
      <c r="N3109" s="415">
        <v>3340</v>
      </c>
      <c r="O3109" s="415">
        <v>3270</v>
      </c>
      <c r="P3109" s="415">
        <v>3200</v>
      </c>
      <c r="Q3109" s="481">
        <f t="shared" si="94"/>
        <v>-3600</v>
      </c>
    </row>
    <row r="3110" spans="1:17" x14ac:dyDescent="0.3">
      <c r="A3110" s="366" t="str">
        <f>IFERROR(VLOOKUP(RIGHT(E3110,3)+0,[1]SchLocTable!$A$2:$B$47,2,FALSE)," ")</f>
        <v xml:space="preserve"> </v>
      </c>
      <c r="B3110" s="366" t="str">
        <f>VLOOKUP(VALUE(D3110),$D$3:F$106,3,FALSE)</f>
        <v>Speech/Language Paras</v>
      </c>
      <c r="C3110" t="s">
        <v>314</v>
      </c>
      <c r="D3110">
        <v>857</v>
      </c>
      <c r="E3110" t="s">
        <v>1024</v>
      </c>
      <c r="F3110" t="s">
        <v>320</v>
      </c>
      <c r="G3110" t="s">
        <v>319</v>
      </c>
      <c r="H3110" s="502">
        <v>52360</v>
      </c>
      <c r="I3110" s="415">
        <v>1485.0817808925001</v>
      </c>
      <c r="J3110" s="415">
        <v>1248</v>
      </c>
      <c r="K3110" s="415">
        <v>1150.3499999999999</v>
      </c>
      <c r="L3110" s="415">
        <v>709.95</v>
      </c>
      <c r="M3110" s="415">
        <v>701.58</v>
      </c>
      <c r="N3110" s="415">
        <v>686.3</v>
      </c>
      <c r="O3110" s="415">
        <v>688.15</v>
      </c>
      <c r="P3110" s="415">
        <v>663.59</v>
      </c>
      <c r="Q3110" s="481">
        <f t="shared" si="94"/>
        <v>-237.08178089250009</v>
      </c>
    </row>
    <row r="3111" spans="1:17" x14ac:dyDescent="0.3">
      <c r="A3111" s="366" t="str">
        <f>IFERROR(VLOOKUP(RIGHT(E3111,3)+0,[1]SchLocTable!$A$2:$B$47,2,FALSE)," ")</f>
        <v xml:space="preserve"> </v>
      </c>
      <c r="B3111" s="366" t="str">
        <f>VLOOKUP(VALUE(D3111),$D$3:F$106,3,FALSE)</f>
        <v>Speech/Language Paras</v>
      </c>
      <c r="C3111" t="s">
        <v>314</v>
      </c>
      <c r="D3111">
        <v>857</v>
      </c>
      <c r="E3111" t="s">
        <v>1024</v>
      </c>
      <c r="F3111" t="s">
        <v>392</v>
      </c>
      <c r="G3111" t="s">
        <v>319</v>
      </c>
      <c r="H3111" s="502">
        <v>52504</v>
      </c>
      <c r="I3111" s="415">
        <v>21282.758211687003</v>
      </c>
      <c r="J3111" s="415">
        <v>19945</v>
      </c>
      <c r="K3111" s="415">
        <v>17202.919999999998</v>
      </c>
      <c r="L3111" s="415">
        <v>15338.35</v>
      </c>
      <c r="M3111" s="415">
        <v>20194.59</v>
      </c>
      <c r="N3111" s="415">
        <v>17547.36</v>
      </c>
      <c r="O3111" s="415">
        <v>15173.35</v>
      </c>
      <c r="P3111" s="415">
        <v>12692.4</v>
      </c>
      <c r="Q3111" s="481">
        <f t="shared" si="94"/>
        <v>-1337.7582116870035</v>
      </c>
    </row>
    <row r="3112" spans="1:17" x14ac:dyDescent="0.3">
      <c r="A3112" s="366" t="str">
        <f>IFERROR(VLOOKUP(RIGHT(E3112,3)+0,[1]SchLocTable!$A$2:$B$47,2,FALSE)," ")</f>
        <v xml:space="preserve"> </v>
      </c>
      <c r="B3112" s="366" t="str">
        <f>VLOOKUP(VALUE(D3112),$D$3:F$106,3,FALSE)</f>
        <v>Speech/Language Paras</v>
      </c>
      <c r="C3112" t="s">
        <v>314</v>
      </c>
      <c r="D3112">
        <v>857</v>
      </c>
      <c r="E3112" t="s">
        <v>1024</v>
      </c>
      <c r="F3112" t="s">
        <v>419</v>
      </c>
      <c r="G3112" t="s">
        <v>319</v>
      </c>
      <c r="H3112" s="502">
        <v>51318</v>
      </c>
      <c r="I3112" s="415">
        <v>0</v>
      </c>
      <c r="J3112" s="415">
        <v>0</v>
      </c>
      <c r="K3112" s="415">
        <v>0</v>
      </c>
      <c r="L3112" s="415">
        <v>909.74</v>
      </c>
      <c r="M3112" s="415">
        <v>0</v>
      </c>
      <c r="N3112" s="415">
        <v>0</v>
      </c>
      <c r="O3112" s="415">
        <v>0</v>
      </c>
      <c r="P3112" s="415">
        <v>0</v>
      </c>
      <c r="Q3112" s="481">
        <f t="shared" si="94"/>
        <v>0</v>
      </c>
    </row>
    <row r="3113" spans="1:17" x14ac:dyDescent="0.3">
      <c r="A3113" s="366" t="str">
        <f>IFERROR(VLOOKUP(RIGHT(E3113,3)+0,[1]SchLocTable!$A$2:$B$47,2,FALSE)," ")</f>
        <v xml:space="preserve"> </v>
      </c>
      <c r="B3113" s="366" t="str">
        <f>VLOOKUP(VALUE(D3113),$D$3:F$106,3,FALSE)</f>
        <v>Speech/Language Paras</v>
      </c>
      <c r="C3113" t="s">
        <v>314</v>
      </c>
      <c r="D3113">
        <v>857</v>
      </c>
      <c r="E3113" t="s">
        <v>1024</v>
      </c>
      <c r="F3113" t="s">
        <v>560</v>
      </c>
      <c r="G3113" t="s">
        <v>319</v>
      </c>
      <c r="H3113" s="502">
        <v>51404</v>
      </c>
      <c r="I3113" s="415">
        <v>0</v>
      </c>
      <c r="J3113" s="415">
        <v>0</v>
      </c>
      <c r="K3113" s="415">
        <v>0</v>
      </c>
      <c r="L3113" s="415">
        <v>659.6</v>
      </c>
      <c r="M3113" s="415">
        <v>853.6</v>
      </c>
      <c r="N3113" s="415">
        <v>796.4</v>
      </c>
      <c r="O3113" s="415">
        <v>708</v>
      </c>
      <c r="P3113" s="415">
        <v>728</v>
      </c>
      <c r="Q3113" s="481">
        <f t="shared" si="94"/>
        <v>0</v>
      </c>
    </row>
    <row r="3114" spans="1:17" x14ac:dyDescent="0.3">
      <c r="A3114" s="366" t="str">
        <f>IFERROR(VLOOKUP(RIGHT(E3114,3)+0,[1]SchLocTable!$A$2:$B$47,2,FALSE)," ")</f>
        <v xml:space="preserve"> </v>
      </c>
      <c r="B3114" s="366" t="str">
        <f>VLOOKUP(VALUE(D3114),$D$3:F$106,3,FALSE)</f>
        <v>Speech/Language Paras</v>
      </c>
      <c r="C3114" t="s">
        <v>314</v>
      </c>
      <c r="D3114">
        <v>857</v>
      </c>
      <c r="E3114" t="s">
        <v>1024</v>
      </c>
      <c r="F3114" t="s">
        <v>329</v>
      </c>
      <c r="G3114" t="s">
        <v>319</v>
      </c>
      <c r="H3114" s="502">
        <v>51154</v>
      </c>
      <c r="I3114" s="415">
        <v>0</v>
      </c>
      <c r="J3114" s="415">
        <v>0</v>
      </c>
      <c r="K3114" s="415">
        <v>0</v>
      </c>
      <c r="L3114" s="415">
        <v>23900.79</v>
      </c>
      <c r="M3114" s="415">
        <v>0</v>
      </c>
      <c r="N3114" s="415">
        <v>0</v>
      </c>
      <c r="O3114" s="415">
        <v>0</v>
      </c>
      <c r="P3114" s="415">
        <v>0</v>
      </c>
      <c r="Q3114" s="481">
        <f t="shared" si="94"/>
        <v>0</v>
      </c>
    </row>
    <row r="3115" spans="1:17" x14ac:dyDescent="0.3">
      <c r="A3115" s="366" t="str">
        <f>IFERROR(VLOOKUP(RIGHT(E3115,3)+0,[1]SchLocTable!$A$2:$B$47,2,FALSE)," ")</f>
        <v>Tisdale</v>
      </c>
      <c r="B3115" s="366" t="str">
        <f>VLOOKUP(VALUE(D3115),$D$3:F$106,3,FALSE)</f>
        <v>Speech/Language Paras</v>
      </c>
      <c r="C3115" t="s">
        <v>314</v>
      </c>
      <c r="D3115">
        <v>857</v>
      </c>
      <c r="E3115" t="s">
        <v>1025</v>
      </c>
      <c r="F3115" t="s">
        <v>316</v>
      </c>
      <c r="G3115">
        <v>1</v>
      </c>
      <c r="H3115" s="502">
        <v>51000</v>
      </c>
      <c r="I3115" s="415">
        <v>52525.771200000003</v>
      </c>
      <c r="J3115" s="415">
        <v>47376</v>
      </c>
      <c r="K3115" s="415">
        <v>44162.12</v>
      </c>
      <c r="L3115" s="415">
        <v>46933.64</v>
      </c>
      <c r="M3115" s="415">
        <v>45570.82</v>
      </c>
      <c r="N3115" s="415">
        <v>46363.37</v>
      </c>
      <c r="O3115" s="415">
        <v>0</v>
      </c>
      <c r="P3115" s="415">
        <v>0</v>
      </c>
      <c r="Q3115" s="481">
        <f t="shared" si="94"/>
        <v>-5149.7712000000029</v>
      </c>
    </row>
    <row r="3116" spans="1:17" x14ac:dyDescent="0.3">
      <c r="A3116" s="366" t="str">
        <f>IFERROR(VLOOKUP(RIGHT(E3116,3)+0,[1]SchLocTable!$A$2:$B$47,2,FALSE)," ")</f>
        <v>Tisdale</v>
      </c>
      <c r="B3116" s="366" t="str">
        <f>VLOOKUP(VALUE(D3116),$D$3:F$106,3,FALSE)</f>
        <v>Speech/Language Paras</v>
      </c>
      <c r="C3116" t="s">
        <v>314</v>
      </c>
      <c r="D3116">
        <v>857</v>
      </c>
      <c r="E3116" t="s">
        <v>1025</v>
      </c>
      <c r="F3116" t="s">
        <v>321</v>
      </c>
      <c r="G3116" t="s">
        <v>319</v>
      </c>
      <c r="H3116" s="502">
        <v>52917</v>
      </c>
      <c r="I3116" s="415">
        <v>45487.764000000003</v>
      </c>
      <c r="J3116" s="415">
        <v>37716</v>
      </c>
      <c r="K3116" s="415">
        <v>34332.480000000003</v>
      </c>
      <c r="L3116" s="415">
        <v>33556.18</v>
      </c>
      <c r="M3116" s="415">
        <v>31425.24</v>
      </c>
      <c r="N3116" s="415">
        <v>29048.46</v>
      </c>
      <c r="O3116" s="415">
        <v>0</v>
      </c>
      <c r="P3116" s="415">
        <v>0</v>
      </c>
      <c r="Q3116" s="481">
        <f t="shared" si="94"/>
        <v>-7771.7640000000029</v>
      </c>
    </row>
    <row r="3117" spans="1:17" x14ac:dyDescent="0.3">
      <c r="A3117" s="366" t="str">
        <f>IFERROR(VLOOKUP(RIGHT(E3117,3)+0,[1]SchLocTable!$A$2:$B$47,2,FALSE)," ")</f>
        <v>Tisdale</v>
      </c>
      <c r="B3117" s="366" t="str">
        <f>VLOOKUP(VALUE(D3117),$D$3:F$106,3,FALSE)</f>
        <v>Speech/Language Paras</v>
      </c>
      <c r="C3117" t="s">
        <v>314</v>
      </c>
      <c r="D3117">
        <v>857</v>
      </c>
      <c r="E3117" t="s">
        <v>1025</v>
      </c>
      <c r="F3117" t="s">
        <v>318</v>
      </c>
      <c r="G3117" t="s">
        <v>319</v>
      </c>
      <c r="H3117" s="502">
        <v>51140</v>
      </c>
      <c r="I3117" s="415">
        <v>1800</v>
      </c>
      <c r="J3117" s="415">
        <v>0</v>
      </c>
      <c r="K3117" s="415">
        <v>1800</v>
      </c>
      <c r="L3117" s="415">
        <v>1750</v>
      </c>
      <c r="M3117" s="415">
        <v>1680</v>
      </c>
      <c r="N3117" s="415">
        <v>1610</v>
      </c>
      <c r="O3117" s="415">
        <v>0</v>
      </c>
      <c r="P3117" s="415">
        <v>0</v>
      </c>
      <c r="Q3117" s="481">
        <f t="shared" si="94"/>
        <v>-1800</v>
      </c>
    </row>
    <row r="3118" spans="1:17" x14ac:dyDescent="0.3">
      <c r="A3118" s="366" t="str">
        <f>IFERROR(VLOOKUP(RIGHT(E3118,3)+0,[1]SchLocTable!$A$2:$B$47,2,FALSE)," ")</f>
        <v>Tisdale</v>
      </c>
      <c r="B3118" s="366" t="str">
        <f>VLOOKUP(VALUE(D3118),$D$3:F$106,3,FALSE)</f>
        <v>Speech/Language Paras</v>
      </c>
      <c r="C3118" t="s">
        <v>314</v>
      </c>
      <c r="D3118">
        <v>857</v>
      </c>
      <c r="E3118" t="s">
        <v>1025</v>
      </c>
      <c r="F3118" t="s">
        <v>320</v>
      </c>
      <c r="G3118" t="s">
        <v>319</v>
      </c>
      <c r="H3118" s="502">
        <v>52360</v>
      </c>
      <c r="I3118" s="415">
        <v>761.62368240000012</v>
      </c>
      <c r="J3118" s="415">
        <v>704.62</v>
      </c>
      <c r="K3118" s="415">
        <v>713.05</v>
      </c>
      <c r="L3118" s="415">
        <v>705.91</v>
      </c>
      <c r="M3118" s="415">
        <v>685.13</v>
      </c>
      <c r="N3118" s="415">
        <v>695.61</v>
      </c>
      <c r="O3118" s="415">
        <v>0</v>
      </c>
      <c r="P3118" s="415">
        <v>0</v>
      </c>
      <c r="Q3118" s="481">
        <f t="shared" si="94"/>
        <v>-57.003682400000116</v>
      </c>
    </row>
    <row r="3119" spans="1:17" x14ac:dyDescent="0.3">
      <c r="A3119" s="366" t="str">
        <f>IFERROR(VLOOKUP(RIGHT(E3119,3)+0,[1]SchLocTable!$A$2:$B$47,2,FALSE)," ")</f>
        <v>Tisdale</v>
      </c>
      <c r="B3119" s="366" t="str">
        <f>VLOOKUP(VALUE(D3119),$D$3:F$106,3,FALSE)</f>
        <v>Speech/Language Paras</v>
      </c>
      <c r="C3119" t="s">
        <v>314</v>
      </c>
      <c r="D3119">
        <v>857</v>
      </c>
      <c r="E3119" t="s">
        <v>1025</v>
      </c>
      <c r="F3119" t="s">
        <v>392</v>
      </c>
      <c r="G3119" t="s">
        <v>319</v>
      </c>
      <c r="H3119" s="502">
        <v>52504</v>
      </c>
      <c r="I3119" s="415">
        <v>10914.855255360002</v>
      </c>
      <c r="J3119" s="415">
        <v>10097.89</v>
      </c>
      <c r="K3119" s="415">
        <v>10125.33</v>
      </c>
      <c r="L3119" s="415">
        <v>9926.6200000000008</v>
      </c>
      <c r="M3119" s="415">
        <v>10196.780000000001</v>
      </c>
      <c r="N3119" s="415">
        <v>9124.56</v>
      </c>
      <c r="O3119" s="415">
        <v>0</v>
      </c>
      <c r="P3119" s="415">
        <v>0</v>
      </c>
      <c r="Q3119" s="481">
        <f t="shared" si="94"/>
        <v>-816.96525536000263</v>
      </c>
    </row>
    <row r="3120" spans="1:17" x14ac:dyDescent="0.3">
      <c r="A3120" s="366" t="str">
        <f>IFERROR(VLOOKUP(RIGHT(E3120,3)+0,[1]SchLocTable!$A$2:$B$47,2,FALSE)," ")</f>
        <v>Barnum</v>
      </c>
      <c r="B3120" s="366" t="str">
        <f>VLOOKUP(VALUE(D3120),$D$3:F$106,3,FALSE)</f>
        <v>School Media Specialists</v>
      </c>
      <c r="C3120" t="s">
        <v>314</v>
      </c>
      <c r="D3120">
        <v>858</v>
      </c>
      <c r="E3120" t="s">
        <v>1314</v>
      </c>
      <c r="F3120" t="s">
        <v>316</v>
      </c>
      <c r="G3120" t="s">
        <v>319</v>
      </c>
      <c r="H3120" s="502">
        <v>51000</v>
      </c>
      <c r="I3120" s="415">
        <v>0</v>
      </c>
      <c r="J3120" s="415">
        <v>0</v>
      </c>
      <c r="K3120" s="415">
        <v>0</v>
      </c>
      <c r="L3120" s="415">
        <v>0</v>
      </c>
      <c r="M3120" s="415">
        <v>0</v>
      </c>
      <c r="N3120" s="415">
        <v>0</v>
      </c>
      <c r="O3120" s="415">
        <v>0</v>
      </c>
      <c r="P3120" s="415">
        <v>0</v>
      </c>
      <c r="Q3120" s="481">
        <f t="shared" si="94"/>
        <v>0</v>
      </c>
    </row>
    <row r="3121" spans="1:17" x14ac:dyDescent="0.3">
      <c r="A3121" s="366" t="str">
        <f>IFERROR(VLOOKUP(RIGHT(E3121,3)+0,[1]SchLocTable!$A$2:$B$47,2,FALSE)," ")</f>
        <v>Barnum</v>
      </c>
      <c r="B3121" s="366" t="str">
        <f>VLOOKUP(VALUE(D3121),$D$3:F$106,3,FALSE)</f>
        <v>School Media Specialists</v>
      </c>
      <c r="C3121" t="s">
        <v>314</v>
      </c>
      <c r="D3121">
        <v>858</v>
      </c>
      <c r="E3121" t="s">
        <v>1314</v>
      </c>
      <c r="F3121" t="s">
        <v>321</v>
      </c>
      <c r="G3121" t="s">
        <v>319</v>
      </c>
      <c r="H3121" s="502">
        <v>52917</v>
      </c>
      <c r="I3121" s="415">
        <v>0</v>
      </c>
      <c r="J3121" s="415">
        <v>0</v>
      </c>
      <c r="K3121" s="415">
        <v>0</v>
      </c>
      <c r="L3121" s="415">
        <v>0</v>
      </c>
      <c r="M3121" s="415">
        <v>0</v>
      </c>
      <c r="N3121" s="415">
        <v>0</v>
      </c>
      <c r="O3121" s="415">
        <v>0</v>
      </c>
      <c r="P3121" s="415">
        <v>0</v>
      </c>
      <c r="Q3121" s="481">
        <f t="shared" si="94"/>
        <v>0</v>
      </c>
    </row>
    <row r="3122" spans="1:17" x14ac:dyDescent="0.3">
      <c r="A3122" s="366" t="str">
        <f>IFERROR(VLOOKUP(RIGHT(E3122,3)+0,[1]SchLocTable!$A$2:$B$47,2,FALSE)," ")</f>
        <v>Barnum</v>
      </c>
      <c r="B3122" s="366" t="str">
        <f>VLOOKUP(VALUE(D3122),$D$3:F$106,3,FALSE)</f>
        <v>School Media Specialists</v>
      </c>
      <c r="C3122" t="s">
        <v>314</v>
      </c>
      <c r="D3122">
        <v>858</v>
      </c>
      <c r="E3122" t="s">
        <v>1314</v>
      </c>
      <c r="F3122" t="s">
        <v>320</v>
      </c>
      <c r="G3122" t="s">
        <v>319</v>
      </c>
      <c r="H3122" s="502">
        <v>52360</v>
      </c>
      <c r="I3122" s="415">
        <v>0</v>
      </c>
      <c r="J3122" s="415">
        <v>0</v>
      </c>
      <c r="K3122" s="415">
        <v>0</v>
      </c>
      <c r="L3122" s="415">
        <v>0</v>
      </c>
      <c r="M3122" s="415">
        <v>0</v>
      </c>
      <c r="N3122" s="415">
        <v>0</v>
      </c>
      <c r="O3122" s="415">
        <v>0</v>
      </c>
      <c r="P3122" s="415">
        <v>0</v>
      </c>
      <c r="Q3122" s="481">
        <f t="shared" si="94"/>
        <v>0</v>
      </c>
    </row>
    <row r="3123" spans="1:17" x14ac:dyDescent="0.3">
      <c r="A3123" s="366" t="str">
        <f>IFERROR(VLOOKUP(RIGHT(E3123,3)+0,[1]SchLocTable!$A$2:$B$47,2,FALSE)," ")</f>
        <v>Columbus</v>
      </c>
      <c r="B3123" s="366" t="str">
        <f>VLOOKUP(VALUE(D3123),$D$3:F$106,3,FALSE)</f>
        <v>School Media Specialists</v>
      </c>
      <c r="C3123" t="s">
        <v>314</v>
      </c>
      <c r="D3123">
        <v>858</v>
      </c>
      <c r="E3123" t="s">
        <v>1026</v>
      </c>
      <c r="F3123" t="s">
        <v>316</v>
      </c>
      <c r="G3123" t="s">
        <v>319</v>
      </c>
      <c r="H3123" s="502">
        <v>51000</v>
      </c>
      <c r="I3123" s="415">
        <v>0</v>
      </c>
      <c r="J3123" s="415">
        <v>0</v>
      </c>
      <c r="K3123" s="415">
        <v>0</v>
      </c>
      <c r="L3123" s="415">
        <v>0</v>
      </c>
      <c r="M3123" s="415">
        <v>0</v>
      </c>
      <c r="N3123" s="415">
        <v>0</v>
      </c>
      <c r="O3123" s="415">
        <v>0</v>
      </c>
      <c r="P3123" s="415">
        <v>0</v>
      </c>
      <c r="Q3123" s="481">
        <f t="shared" si="94"/>
        <v>0</v>
      </c>
    </row>
    <row r="3124" spans="1:17" x14ac:dyDescent="0.3">
      <c r="A3124" s="366" t="str">
        <f>IFERROR(VLOOKUP(RIGHT(E3124,3)+0,[1]SchLocTable!$A$2:$B$47,2,FALSE)," ")</f>
        <v>Columbus</v>
      </c>
      <c r="B3124" s="366" t="str">
        <f>VLOOKUP(VALUE(D3124),$D$3:F$106,3,FALSE)</f>
        <v>School Media Specialists</v>
      </c>
      <c r="C3124" t="s">
        <v>314</v>
      </c>
      <c r="D3124">
        <v>858</v>
      </c>
      <c r="E3124" t="s">
        <v>1026</v>
      </c>
      <c r="F3124" t="s">
        <v>321</v>
      </c>
      <c r="G3124" t="s">
        <v>319</v>
      </c>
      <c r="H3124" s="502">
        <v>52917</v>
      </c>
      <c r="I3124" s="415">
        <v>0</v>
      </c>
      <c r="J3124" s="415">
        <v>0</v>
      </c>
      <c r="K3124" s="415">
        <v>0</v>
      </c>
      <c r="L3124" s="415">
        <v>0</v>
      </c>
      <c r="M3124" s="415">
        <v>0</v>
      </c>
      <c r="N3124" s="415">
        <v>0</v>
      </c>
      <c r="O3124" s="415">
        <v>0</v>
      </c>
      <c r="P3124" s="415">
        <v>0</v>
      </c>
      <c r="Q3124" s="481">
        <f t="shared" si="94"/>
        <v>0</v>
      </c>
    </row>
    <row r="3125" spans="1:17" x14ac:dyDescent="0.3">
      <c r="A3125" s="366" t="str">
        <f>IFERROR(VLOOKUP(RIGHT(E3125,3)+0,[1]SchLocTable!$A$2:$B$47,2,FALSE)," ")</f>
        <v>Columbus</v>
      </c>
      <c r="B3125" s="366" t="str">
        <f>VLOOKUP(VALUE(D3125),$D$3:F$106,3,FALSE)</f>
        <v>School Media Specialists</v>
      </c>
      <c r="C3125" t="s">
        <v>314</v>
      </c>
      <c r="D3125">
        <v>858</v>
      </c>
      <c r="E3125" t="s">
        <v>1026</v>
      </c>
      <c r="F3125" t="s">
        <v>318</v>
      </c>
      <c r="G3125" t="s">
        <v>319</v>
      </c>
      <c r="H3125" s="502">
        <v>51140</v>
      </c>
      <c r="I3125" s="415">
        <v>0</v>
      </c>
      <c r="J3125" s="415">
        <v>0</v>
      </c>
      <c r="K3125" s="415">
        <v>0</v>
      </c>
      <c r="L3125" s="415">
        <v>1100</v>
      </c>
      <c r="M3125" s="415">
        <v>1100</v>
      </c>
      <c r="N3125" s="415">
        <v>0</v>
      </c>
      <c r="O3125" s="415">
        <v>0</v>
      </c>
      <c r="P3125" s="415">
        <v>0</v>
      </c>
      <c r="Q3125" s="481">
        <f t="shared" si="94"/>
        <v>0</v>
      </c>
    </row>
    <row r="3126" spans="1:17" x14ac:dyDescent="0.3">
      <c r="A3126" s="366" t="str">
        <f>IFERROR(VLOOKUP(RIGHT(E3126,3)+0,[1]SchLocTable!$A$2:$B$47,2,FALSE)," ")</f>
        <v>Columbus</v>
      </c>
      <c r="B3126" s="366" t="str">
        <f>VLOOKUP(VALUE(D3126),$D$3:F$106,3,FALSE)</f>
        <v>School Media Specialists</v>
      </c>
      <c r="C3126" t="s">
        <v>314</v>
      </c>
      <c r="D3126">
        <v>858</v>
      </c>
      <c r="E3126" t="s">
        <v>1026</v>
      </c>
      <c r="F3126" t="s">
        <v>320</v>
      </c>
      <c r="G3126" t="s">
        <v>319</v>
      </c>
      <c r="H3126" s="502">
        <v>52360</v>
      </c>
      <c r="I3126" s="415">
        <v>0</v>
      </c>
      <c r="J3126" s="415">
        <v>0</v>
      </c>
      <c r="K3126" s="415">
        <v>0</v>
      </c>
      <c r="L3126" s="415">
        <v>15.61</v>
      </c>
      <c r="M3126" s="415">
        <v>0</v>
      </c>
      <c r="N3126" s="415">
        <v>0</v>
      </c>
      <c r="O3126" s="415">
        <v>0</v>
      </c>
      <c r="P3126" s="415">
        <v>0</v>
      </c>
      <c r="Q3126" s="481">
        <f t="shared" si="94"/>
        <v>0</v>
      </c>
    </row>
    <row r="3127" spans="1:17" x14ac:dyDescent="0.3">
      <c r="A3127" s="366" t="str">
        <f>IFERROR(VLOOKUP(RIGHT(E3127,3)+0,[1]SchLocTable!$A$2:$B$47,2,FALSE)," ")</f>
        <v>Hall</v>
      </c>
      <c r="B3127" s="366" t="str">
        <f>VLOOKUP(VALUE(D3127),$D$3:F$106,3,FALSE)</f>
        <v>School Media Specialists</v>
      </c>
      <c r="C3127" t="s">
        <v>314</v>
      </c>
      <c r="D3127">
        <v>858</v>
      </c>
      <c r="E3127" t="s">
        <v>1027</v>
      </c>
      <c r="F3127" t="s">
        <v>318</v>
      </c>
      <c r="G3127" t="s">
        <v>319</v>
      </c>
      <c r="H3127" s="502">
        <v>51140</v>
      </c>
      <c r="I3127" s="415">
        <v>0</v>
      </c>
      <c r="J3127" s="415">
        <v>0</v>
      </c>
      <c r="K3127" s="415">
        <v>0</v>
      </c>
      <c r="L3127" s="415">
        <v>1100</v>
      </c>
      <c r="M3127" s="415">
        <v>1100</v>
      </c>
      <c r="N3127" s="415">
        <v>0</v>
      </c>
      <c r="O3127" s="415">
        <v>0</v>
      </c>
      <c r="P3127" s="415">
        <v>0</v>
      </c>
      <c r="Q3127" s="481">
        <f t="shared" si="94"/>
        <v>0</v>
      </c>
    </row>
    <row r="3128" spans="1:17" x14ac:dyDescent="0.3">
      <c r="A3128" s="366" t="str">
        <f>IFERROR(VLOOKUP(RIGHT(E3128,3)+0,[1]SchLocTable!$A$2:$B$47,2,FALSE)," ")</f>
        <v>Batalla</v>
      </c>
      <c r="B3128" s="366" t="str">
        <f>VLOOKUP(VALUE(D3128),$D$3:F$106,3,FALSE)</f>
        <v>School Media Specialists</v>
      </c>
      <c r="C3128" t="s">
        <v>314</v>
      </c>
      <c r="D3128">
        <v>858</v>
      </c>
      <c r="E3128" t="s">
        <v>1028</v>
      </c>
      <c r="F3128" t="s">
        <v>318</v>
      </c>
      <c r="G3128" t="s">
        <v>319</v>
      </c>
      <c r="H3128" s="502">
        <v>51140</v>
      </c>
      <c r="I3128" s="415">
        <v>0</v>
      </c>
      <c r="J3128" s="415">
        <v>0</v>
      </c>
      <c r="K3128" s="415">
        <v>0</v>
      </c>
      <c r="L3128" s="415">
        <v>900</v>
      </c>
      <c r="M3128" s="415">
        <v>900</v>
      </c>
      <c r="N3128" s="415">
        <v>0</v>
      </c>
      <c r="O3128" s="415">
        <v>0</v>
      </c>
      <c r="P3128" s="415">
        <v>0</v>
      </c>
      <c r="Q3128" s="481">
        <f t="shared" si="94"/>
        <v>0</v>
      </c>
    </row>
    <row r="3129" spans="1:17" x14ac:dyDescent="0.3">
      <c r="A3129" s="366" t="str">
        <f>IFERROR(VLOOKUP(RIGHT(E3129,3)+0,[1]SchLocTable!$A$2:$B$47,2,FALSE)," ")</f>
        <v>Batalla</v>
      </c>
      <c r="B3129" s="366" t="str">
        <f>VLOOKUP(VALUE(D3129),$D$3:F$106,3,FALSE)</f>
        <v>School Media Specialists</v>
      </c>
      <c r="C3129" t="s">
        <v>314</v>
      </c>
      <c r="D3129">
        <v>858</v>
      </c>
      <c r="E3129" t="s">
        <v>1028</v>
      </c>
      <c r="F3129" t="s">
        <v>320</v>
      </c>
      <c r="G3129" t="s">
        <v>319</v>
      </c>
      <c r="H3129" s="502">
        <v>52360</v>
      </c>
      <c r="I3129" s="415">
        <v>0</v>
      </c>
      <c r="J3129" s="415">
        <v>0</v>
      </c>
      <c r="K3129" s="415">
        <v>0</v>
      </c>
      <c r="L3129" s="415">
        <v>13.05</v>
      </c>
      <c r="M3129" s="415">
        <v>0</v>
      </c>
      <c r="N3129" s="415">
        <v>0</v>
      </c>
      <c r="O3129" s="415">
        <v>0</v>
      </c>
      <c r="P3129" s="415">
        <v>0</v>
      </c>
      <c r="Q3129" s="481">
        <f t="shared" si="94"/>
        <v>0</v>
      </c>
    </row>
    <row r="3130" spans="1:17" x14ac:dyDescent="0.3">
      <c r="A3130" s="366" t="str">
        <f>IFERROR(VLOOKUP(RIGHT(E3130,3)+0,[1]SchLocTable!$A$2:$B$47,2,FALSE)," ")</f>
        <v>Park City Magnet</v>
      </c>
      <c r="B3130" s="366" t="str">
        <f>VLOOKUP(VALUE(D3130),$D$3:F$106,3,FALSE)</f>
        <v>School Media Specialists</v>
      </c>
      <c r="C3130" t="s">
        <v>314</v>
      </c>
      <c r="D3130">
        <v>858</v>
      </c>
      <c r="E3130" t="s">
        <v>1029</v>
      </c>
      <c r="F3130" t="s">
        <v>318</v>
      </c>
      <c r="G3130" t="s">
        <v>319</v>
      </c>
      <c r="H3130" s="502">
        <v>51140</v>
      </c>
      <c r="I3130" s="415">
        <v>0</v>
      </c>
      <c r="J3130" s="415">
        <v>0</v>
      </c>
      <c r="K3130" s="415">
        <v>0</v>
      </c>
      <c r="L3130" s="415">
        <v>1200</v>
      </c>
      <c r="M3130" s="415">
        <v>1100</v>
      </c>
      <c r="N3130" s="415">
        <v>0</v>
      </c>
      <c r="O3130" s="415">
        <v>0</v>
      </c>
      <c r="P3130" s="415">
        <v>0</v>
      </c>
      <c r="Q3130" s="481">
        <f t="shared" si="94"/>
        <v>0</v>
      </c>
    </row>
    <row r="3131" spans="1:17" x14ac:dyDescent="0.3">
      <c r="A3131" s="366" t="str">
        <f>IFERROR(VLOOKUP(RIGHT(E3131,3)+0,[1]SchLocTable!$A$2:$B$47,2,FALSE)," ")</f>
        <v>Park City Magnet</v>
      </c>
      <c r="B3131" s="366" t="str">
        <f>VLOOKUP(VALUE(D3131),$D$3:F$106,3,FALSE)</f>
        <v>School Media Specialists</v>
      </c>
      <c r="C3131" t="s">
        <v>314</v>
      </c>
      <c r="D3131">
        <v>858</v>
      </c>
      <c r="E3131" t="s">
        <v>1029</v>
      </c>
      <c r="F3131" t="s">
        <v>320</v>
      </c>
      <c r="G3131" t="s">
        <v>319</v>
      </c>
      <c r="H3131" s="502">
        <v>52360</v>
      </c>
      <c r="I3131" s="415">
        <v>0</v>
      </c>
      <c r="J3131" s="415">
        <v>0</v>
      </c>
      <c r="K3131" s="415">
        <v>0</v>
      </c>
      <c r="L3131" s="415">
        <v>16.850000000000001</v>
      </c>
      <c r="M3131" s="415">
        <v>0</v>
      </c>
      <c r="N3131" s="415">
        <v>0</v>
      </c>
      <c r="O3131" s="415">
        <v>0</v>
      </c>
      <c r="P3131" s="415">
        <v>0</v>
      </c>
      <c r="Q3131" s="481">
        <f t="shared" si="94"/>
        <v>0</v>
      </c>
    </row>
    <row r="3132" spans="1:17" x14ac:dyDescent="0.3">
      <c r="A3132" s="366" t="str">
        <f>IFERROR(VLOOKUP(RIGHT(E3132,3)+0,[1]SchLocTable!$A$2:$B$47,2,FALSE)," ")</f>
        <v>Tisdale</v>
      </c>
      <c r="B3132" s="366" t="str">
        <f>VLOOKUP(VALUE(D3132),$D$3:F$106,3,FALSE)</f>
        <v>School Media Specialists</v>
      </c>
      <c r="C3132" t="s">
        <v>314</v>
      </c>
      <c r="D3132">
        <v>858</v>
      </c>
      <c r="E3132" t="s">
        <v>1317</v>
      </c>
      <c r="F3132" t="s">
        <v>318</v>
      </c>
      <c r="G3132" t="s">
        <v>319</v>
      </c>
      <c r="H3132" s="502">
        <v>51140</v>
      </c>
      <c r="I3132" s="415">
        <v>0</v>
      </c>
      <c r="J3132" s="415">
        <v>0</v>
      </c>
      <c r="K3132" s="415">
        <v>0</v>
      </c>
      <c r="L3132" s="415">
        <v>0</v>
      </c>
      <c r="M3132" s="415">
        <v>900</v>
      </c>
      <c r="N3132" s="415">
        <v>0</v>
      </c>
      <c r="O3132" s="415">
        <v>0</v>
      </c>
      <c r="P3132" s="415">
        <v>0</v>
      </c>
      <c r="Q3132" s="481">
        <f t="shared" si="94"/>
        <v>0</v>
      </c>
    </row>
    <row r="3133" spans="1:17" x14ac:dyDescent="0.3">
      <c r="A3133" s="366" t="str">
        <f>IFERROR(VLOOKUP(RIGHT(E3133,3)+0,[1]SchLocTable!$A$2:$B$47,2,FALSE)," ")</f>
        <v>Roosevelt</v>
      </c>
      <c r="B3133" s="366" t="str">
        <f>VLOOKUP(VALUE(D3133),$D$3:F$106,3,FALSE)</f>
        <v>School Media Specialists</v>
      </c>
      <c r="C3133" t="s">
        <v>314</v>
      </c>
      <c r="D3133">
        <v>858</v>
      </c>
      <c r="E3133" t="s">
        <v>1030</v>
      </c>
      <c r="F3133" t="s">
        <v>316</v>
      </c>
      <c r="G3133" t="s">
        <v>319</v>
      </c>
      <c r="H3133" s="502">
        <v>51000</v>
      </c>
      <c r="I3133" s="415">
        <v>0</v>
      </c>
      <c r="J3133" s="415">
        <v>0</v>
      </c>
      <c r="K3133" s="415">
        <v>0</v>
      </c>
      <c r="L3133" s="415">
        <v>0</v>
      </c>
      <c r="M3133" s="415">
        <v>0</v>
      </c>
      <c r="N3133" s="415">
        <v>0</v>
      </c>
      <c r="O3133" s="415">
        <v>0</v>
      </c>
      <c r="P3133" s="415">
        <v>0</v>
      </c>
      <c r="Q3133" s="481">
        <f t="shared" si="94"/>
        <v>0</v>
      </c>
    </row>
    <row r="3134" spans="1:17" x14ac:dyDescent="0.3">
      <c r="A3134" s="366" t="str">
        <f>IFERROR(VLOOKUP(RIGHT(E3134,3)+0,[1]SchLocTable!$A$2:$B$47,2,FALSE)," ")</f>
        <v>Roosevelt</v>
      </c>
      <c r="B3134" s="366" t="str">
        <f>VLOOKUP(VALUE(D3134),$D$3:F$106,3,FALSE)</f>
        <v>School Media Specialists</v>
      </c>
      <c r="C3134" t="s">
        <v>314</v>
      </c>
      <c r="D3134">
        <v>858</v>
      </c>
      <c r="E3134" t="s">
        <v>1030</v>
      </c>
      <c r="F3134" t="s">
        <v>318</v>
      </c>
      <c r="G3134" t="s">
        <v>319</v>
      </c>
      <c r="H3134" s="502">
        <v>51140</v>
      </c>
      <c r="I3134" s="415">
        <v>0</v>
      </c>
      <c r="J3134" s="415">
        <v>0</v>
      </c>
      <c r="K3134" s="415">
        <v>0</v>
      </c>
      <c r="L3134" s="415">
        <v>900</v>
      </c>
      <c r="M3134" s="415">
        <v>900</v>
      </c>
      <c r="N3134" s="415">
        <v>0</v>
      </c>
      <c r="O3134" s="415">
        <v>0</v>
      </c>
      <c r="P3134" s="415">
        <v>0</v>
      </c>
      <c r="Q3134" s="481">
        <f t="shared" si="94"/>
        <v>0</v>
      </c>
    </row>
    <row r="3135" spans="1:17" x14ac:dyDescent="0.3">
      <c r="A3135" s="366" t="str">
        <f>IFERROR(VLOOKUP(RIGHT(E3135,3)+0,[1]SchLocTable!$A$2:$B$47,2,FALSE)," ")</f>
        <v>Roosevelt</v>
      </c>
      <c r="B3135" s="366" t="str">
        <f>VLOOKUP(VALUE(D3135),$D$3:F$106,3,FALSE)</f>
        <v>School Media Specialists</v>
      </c>
      <c r="C3135" t="s">
        <v>314</v>
      </c>
      <c r="D3135">
        <v>858</v>
      </c>
      <c r="E3135" t="s">
        <v>1030</v>
      </c>
      <c r="F3135" t="s">
        <v>320</v>
      </c>
      <c r="G3135" t="s">
        <v>319</v>
      </c>
      <c r="H3135" s="502">
        <v>52360</v>
      </c>
      <c r="I3135" s="415">
        <v>0</v>
      </c>
      <c r="J3135" s="415">
        <v>0</v>
      </c>
      <c r="K3135" s="415">
        <v>0</v>
      </c>
      <c r="L3135" s="415">
        <v>13.05</v>
      </c>
      <c r="M3135" s="415">
        <v>0</v>
      </c>
      <c r="N3135" s="415">
        <v>0</v>
      </c>
      <c r="O3135" s="415">
        <v>0</v>
      </c>
      <c r="P3135" s="415">
        <v>0</v>
      </c>
      <c r="Q3135" s="481">
        <f t="shared" ref="Q3135:Q3198" si="95">J3135-I3135</f>
        <v>0</v>
      </c>
    </row>
    <row r="3136" spans="1:17" x14ac:dyDescent="0.3">
      <c r="A3136" s="366" t="str">
        <f>IFERROR(VLOOKUP(RIGHT(E3136,3)+0,[1]SchLocTable!$A$2:$B$47,2,FALSE)," ")</f>
        <v>Johnson</v>
      </c>
      <c r="B3136" s="366" t="str">
        <f>VLOOKUP(VALUE(D3136),$D$3:F$106,3,FALSE)</f>
        <v>School Media Specialists</v>
      </c>
      <c r="C3136" t="s">
        <v>314</v>
      </c>
      <c r="D3136">
        <v>858</v>
      </c>
      <c r="E3136" t="s">
        <v>1031</v>
      </c>
      <c r="F3136" t="s">
        <v>318</v>
      </c>
      <c r="G3136" t="s">
        <v>319</v>
      </c>
      <c r="H3136" s="502">
        <v>51140</v>
      </c>
      <c r="I3136" s="415">
        <v>0</v>
      </c>
      <c r="J3136" s="415">
        <v>0</v>
      </c>
      <c r="K3136" s="415">
        <v>0</v>
      </c>
      <c r="L3136" s="415">
        <v>900</v>
      </c>
      <c r="M3136" s="415">
        <v>900</v>
      </c>
      <c r="N3136" s="415">
        <v>0</v>
      </c>
      <c r="O3136" s="415">
        <v>0</v>
      </c>
      <c r="P3136" s="415">
        <v>0</v>
      </c>
      <c r="Q3136" s="481">
        <f t="shared" si="95"/>
        <v>0</v>
      </c>
    </row>
    <row r="3137" spans="1:17" x14ac:dyDescent="0.3">
      <c r="A3137" s="366" t="str">
        <f>IFERROR(VLOOKUP(RIGHT(E3137,3)+0,[1]SchLocTable!$A$2:$B$47,2,FALSE)," ")</f>
        <v>Johnson</v>
      </c>
      <c r="B3137" s="366" t="str">
        <f>VLOOKUP(VALUE(D3137),$D$3:F$106,3,FALSE)</f>
        <v>School Media Specialists</v>
      </c>
      <c r="C3137" t="s">
        <v>314</v>
      </c>
      <c r="D3137">
        <v>858</v>
      </c>
      <c r="E3137" t="s">
        <v>1031</v>
      </c>
      <c r="F3137" t="s">
        <v>320</v>
      </c>
      <c r="G3137" t="s">
        <v>319</v>
      </c>
      <c r="H3137" s="502">
        <v>52360</v>
      </c>
      <c r="I3137" s="415">
        <v>0</v>
      </c>
      <c r="J3137" s="415">
        <v>0</v>
      </c>
      <c r="K3137" s="415">
        <v>0</v>
      </c>
      <c r="L3137" s="415">
        <v>13.05</v>
      </c>
      <c r="M3137" s="415">
        <v>0</v>
      </c>
      <c r="N3137" s="415">
        <v>0</v>
      </c>
      <c r="O3137" s="415">
        <v>0</v>
      </c>
      <c r="P3137" s="415">
        <v>0</v>
      </c>
      <c r="Q3137" s="481">
        <f t="shared" si="95"/>
        <v>0</v>
      </c>
    </row>
    <row r="3138" spans="1:17" x14ac:dyDescent="0.3">
      <c r="A3138" s="366" t="str">
        <f>IFERROR(VLOOKUP(RIGHT(E3138,3)+0,[1]SchLocTable!$A$2:$B$47,2,FALSE)," ")</f>
        <v>Winthrop</v>
      </c>
      <c r="B3138" s="366" t="str">
        <f>VLOOKUP(VALUE(D3138),$D$3:F$106,3,FALSE)</f>
        <v>School Media Specialists</v>
      </c>
      <c r="C3138" t="s">
        <v>314</v>
      </c>
      <c r="D3138">
        <v>858</v>
      </c>
      <c r="E3138" t="s">
        <v>1032</v>
      </c>
      <c r="F3138" t="s">
        <v>318</v>
      </c>
      <c r="G3138" t="s">
        <v>319</v>
      </c>
      <c r="H3138" s="502">
        <v>51140</v>
      </c>
      <c r="I3138" s="415">
        <v>0</v>
      </c>
      <c r="J3138" s="415">
        <v>0</v>
      </c>
      <c r="K3138" s="415">
        <v>0</v>
      </c>
      <c r="L3138" s="415">
        <v>900</v>
      </c>
      <c r="M3138" s="415">
        <v>0</v>
      </c>
      <c r="N3138" s="415">
        <v>0</v>
      </c>
      <c r="O3138" s="415">
        <v>0</v>
      </c>
      <c r="P3138" s="415">
        <v>0</v>
      </c>
      <c r="Q3138" s="481">
        <f t="shared" si="95"/>
        <v>0</v>
      </c>
    </row>
    <row r="3139" spans="1:17" x14ac:dyDescent="0.3">
      <c r="A3139" s="366" t="str">
        <f>IFERROR(VLOOKUP(RIGHT(E3139,3)+0,[1]SchLocTable!$A$2:$B$47,2,FALSE)," ")</f>
        <v>Winthrop</v>
      </c>
      <c r="B3139" s="366" t="str">
        <f>VLOOKUP(VALUE(D3139),$D$3:F$106,3,FALSE)</f>
        <v>School Media Specialists</v>
      </c>
      <c r="C3139" t="s">
        <v>314</v>
      </c>
      <c r="D3139">
        <v>858</v>
      </c>
      <c r="E3139" t="s">
        <v>1032</v>
      </c>
      <c r="F3139" t="s">
        <v>320</v>
      </c>
      <c r="G3139" t="s">
        <v>319</v>
      </c>
      <c r="H3139" s="502">
        <v>52360</v>
      </c>
      <c r="I3139" s="415">
        <v>0</v>
      </c>
      <c r="J3139" s="415">
        <v>0</v>
      </c>
      <c r="K3139" s="415">
        <v>0</v>
      </c>
      <c r="L3139" s="415">
        <v>13.05</v>
      </c>
      <c r="M3139" s="415">
        <v>0</v>
      </c>
      <c r="N3139" s="415">
        <v>0</v>
      </c>
      <c r="O3139" s="415">
        <v>0</v>
      </c>
      <c r="P3139" s="415">
        <v>0</v>
      </c>
      <c r="Q3139" s="481">
        <f t="shared" si="95"/>
        <v>0</v>
      </c>
    </row>
    <row r="3140" spans="1:17" x14ac:dyDescent="0.3">
      <c r="A3140" s="366" t="str">
        <f>IFERROR(VLOOKUP(RIGHT(E3140,3)+0,[1]SchLocTable!$A$2:$B$47,2,FALSE)," ")</f>
        <v>Central HS</v>
      </c>
      <c r="B3140" s="366" t="str">
        <f>VLOOKUP(VALUE(D3140),$D$3:F$106,3,FALSE)</f>
        <v>School Media Specialists</v>
      </c>
      <c r="C3140" t="s">
        <v>314</v>
      </c>
      <c r="D3140">
        <v>858</v>
      </c>
      <c r="E3140" t="s">
        <v>1033</v>
      </c>
      <c r="F3140" t="s">
        <v>316</v>
      </c>
      <c r="G3140" t="s">
        <v>319</v>
      </c>
      <c r="H3140" s="502">
        <v>51000</v>
      </c>
      <c r="I3140" s="415">
        <v>0</v>
      </c>
      <c r="J3140" s="415">
        <v>0</v>
      </c>
      <c r="K3140" s="415">
        <v>43386.67</v>
      </c>
      <c r="L3140" s="415">
        <v>0</v>
      </c>
      <c r="M3140" s="415">
        <v>0</v>
      </c>
      <c r="N3140" s="415">
        <v>0</v>
      </c>
      <c r="O3140" s="415">
        <v>0</v>
      </c>
      <c r="P3140" s="415">
        <v>0</v>
      </c>
      <c r="Q3140" s="481">
        <f t="shared" si="95"/>
        <v>0</v>
      </c>
    </row>
    <row r="3141" spans="1:17" x14ac:dyDescent="0.3">
      <c r="A3141" s="366" t="str">
        <f>IFERROR(VLOOKUP(RIGHT(E3141,3)+0,[1]SchLocTable!$A$2:$B$47,2,FALSE)," ")</f>
        <v>Central HS</v>
      </c>
      <c r="B3141" s="366" t="str">
        <f>VLOOKUP(VALUE(D3141),$D$3:F$106,3,FALSE)</f>
        <v>School Media Specialists</v>
      </c>
      <c r="C3141" t="s">
        <v>314</v>
      </c>
      <c r="D3141">
        <v>858</v>
      </c>
      <c r="E3141" t="s">
        <v>1033</v>
      </c>
      <c r="F3141" t="s">
        <v>321</v>
      </c>
      <c r="G3141" t="s">
        <v>319</v>
      </c>
      <c r="H3141" s="502">
        <v>52917</v>
      </c>
      <c r="I3141" s="415">
        <v>0</v>
      </c>
      <c r="J3141" s="415">
        <v>0</v>
      </c>
      <c r="K3141" s="415">
        <v>6204</v>
      </c>
      <c r="L3141" s="415">
        <v>0</v>
      </c>
      <c r="M3141" s="415">
        <v>0</v>
      </c>
      <c r="N3141" s="415">
        <v>0</v>
      </c>
      <c r="O3141" s="415">
        <v>0</v>
      </c>
      <c r="P3141" s="415">
        <v>0</v>
      </c>
      <c r="Q3141" s="481">
        <f t="shared" si="95"/>
        <v>0</v>
      </c>
    </row>
    <row r="3142" spans="1:17" x14ac:dyDescent="0.3">
      <c r="A3142" s="366" t="str">
        <f>IFERROR(VLOOKUP(RIGHT(E3142,3)+0,[1]SchLocTable!$A$2:$B$47,2,FALSE)," ")</f>
        <v>Central HS</v>
      </c>
      <c r="B3142" s="366" t="str">
        <f>VLOOKUP(VALUE(D3142),$D$3:F$106,3,FALSE)</f>
        <v>School Media Specialists</v>
      </c>
      <c r="C3142" t="s">
        <v>314</v>
      </c>
      <c r="D3142">
        <v>858</v>
      </c>
      <c r="E3142" t="s">
        <v>1033</v>
      </c>
      <c r="F3142" t="s">
        <v>320</v>
      </c>
      <c r="G3142" t="s">
        <v>319</v>
      </c>
      <c r="H3142" s="502">
        <v>52360</v>
      </c>
      <c r="I3142" s="415">
        <v>0</v>
      </c>
      <c r="J3142" s="415">
        <v>0</v>
      </c>
      <c r="K3142" s="415">
        <v>602.62</v>
      </c>
      <c r="L3142" s="415">
        <v>0</v>
      </c>
      <c r="M3142" s="415">
        <v>0</v>
      </c>
      <c r="N3142" s="415">
        <v>0</v>
      </c>
      <c r="O3142" s="415">
        <v>0</v>
      </c>
      <c r="P3142" s="415">
        <v>0</v>
      </c>
      <c r="Q3142" s="481">
        <f t="shared" si="95"/>
        <v>0</v>
      </c>
    </row>
    <row r="3143" spans="1:17" x14ac:dyDescent="0.3">
      <c r="A3143" s="366" t="str">
        <f>IFERROR(VLOOKUP(RIGHT(E3143,3)+0,[1]SchLocTable!$A$2:$B$47,2,FALSE)," ")</f>
        <v>Harding HS</v>
      </c>
      <c r="B3143" s="366" t="str">
        <f>VLOOKUP(VALUE(D3143),$D$3:F$106,3,FALSE)</f>
        <v>School Media Specialists</v>
      </c>
      <c r="C3143" t="s">
        <v>314</v>
      </c>
      <c r="D3143">
        <v>858</v>
      </c>
      <c r="E3143" t="s">
        <v>1034</v>
      </c>
      <c r="F3143" t="s">
        <v>318</v>
      </c>
      <c r="G3143" t="s">
        <v>319</v>
      </c>
      <c r="H3143" s="502">
        <v>51140</v>
      </c>
      <c r="I3143" s="415">
        <v>0</v>
      </c>
      <c r="J3143" s="415">
        <v>0</v>
      </c>
      <c r="K3143" s="415">
        <v>0</v>
      </c>
      <c r="L3143" s="415">
        <v>900</v>
      </c>
      <c r="M3143" s="415">
        <v>900</v>
      </c>
      <c r="N3143" s="415">
        <v>0</v>
      </c>
      <c r="O3143" s="415">
        <v>0</v>
      </c>
      <c r="P3143" s="415">
        <v>0</v>
      </c>
      <c r="Q3143" s="481">
        <f t="shared" si="95"/>
        <v>0</v>
      </c>
    </row>
    <row r="3144" spans="1:17" x14ac:dyDescent="0.3">
      <c r="A3144" s="366" t="str">
        <f>IFERROR(VLOOKUP(RIGHT(E3144,3)+0,[1]SchLocTable!$A$2:$B$47,2,FALSE)," ")</f>
        <v>Harding HS</v>
      </c>
      <c r="B3144" s="366" t="str">
        <f>VLOOKUP(VALUE(D3144),$D$3:F$106,3,FALSE)</f>
        <v>School Media Specialists</v>
      </c>
      <c r="C3144" t="s">
        <v>314</v>
      </c>
      <c r="D3144">
        <v>858</v>
      </c>
      <c r="E3144" t="s">
        <v>1034</v>
      </c>
      <c r="F3144" t="s">
        <v>320</v>
      </c>
      <c r="G3144" t="s">
        <v>319</v>
      </c>
      <c r="H3144" s="502">
        <v>52360</v>
      </c>
      <c r="I3144" s="415">
        <v>0</v>
      </c>
      <c r="J3144" s="415">
        <v>0</v>
      </c>
      <c r="K3144" s="415">
        <v>0</v>
      </c>
      <c r="L3144" s="415">
        <v>13.05</v>
      </c>
      <c r="M3144" s="415">
        <v>0</v>
      </c>
      <c r="N3144" s="415">
        <v>0</v>
      </c>
      <c r="O3144" s="415">
        <v>0</v>
      </c>
      <c r="P3144" s="415">
        <v>0</v>
      </c>
      <c r="Q3144" s="481">
        <f t="shared" si="95"/>
        <v>0</v>
      </c>
    </row>
    <row r="3145" spans="1:17" x14ac:dyDescent="0.3">
      <c r="A3145" s="366" t="str">
        <f>IFERROR(VLOOKUP(RIGHT(E3145,3)+0,[1]SchLocTable!$A$2:$B$47,2,FALSE)," ")</f>
        <v xml:space="preserve"> </v>
      </c>
      <c r="B3145" s="366" t="str">
        <f>VLOOKUP(VALUE(D3145),$D$3:F$106,3,FALSE)</f>
        <v>School Nurses</v>
      </c>
      <c r="C3145" t="s">
        <v>314</v>
      </c>
      <c r="D3145">
        <v>860</v>
      </c>
      <c r="E3145" t="s">
        <v>1035</v>
      </c>
      <c r="F3145" t="s">
        <v>1036</v>
      </c>
      <c r="G3145" t="s">
        <v>319</v>
      </c>
      <c r="H3145" s="502">
        <v>53905</v>
      </c>
      <c r="I3145" s="415">
        <v>1122.0408000000002</v>
      </c>
      <c r="J3145" s="415">
        <v>1089.3599999999999</v>
      </c>
      <c r="K3145" s="415">
        <v>2050</v>
      </c>
      <c r="L3145" s="415">
        <v>2400</v>
      </c>
      <c r="M3145" s="415">
        <v>350</v>
      </c>
      <c r="N3145" s="415">
        <v>700</v>
      </c>
      <c r="O3145" s="415">
        <v>0</v>
      </c>
      <c r="P3145" s="415">
        <v>500</v>
      </c>
      <c r="Q3145" s="481">
        <f t="shared" si="95"/>
        <v>-32.680800000000318</v>
      </c>
    </row>
    <row r="3146" spans="1:17" x14ac:dyDescent="0.3">
      <c r="A3146" s="366" t="str">
        <f>IFERROR(VLOOKUP(RIGHT(E3146,3)+0,[1]SchLocTable!$A$2:$B$47,2,FALSE)," ")</f>
        <v xml:space="preserve"> </v>
      </c>
      <c r="B3146" s="366" t="str">
        <f>VLOOKUP(VALUE(D3146),$D$3:F$106,3,FALSE)</f>
        <v>School Nurses</v>
      </c>
      <c r="C3146" t="s">
        <v>314</v>
      </c>
      <c r="D3146">
        <v>860</v>
      </c>
      <c r="E3146" t="s">
        <v>1035</v>
      </c>
      <c r="F3146" t="s">
        <v>316</v>
      </c>
      <c r="G3146">
        <v>4</v>
      </c>
      <c r="H3146" s="502">
        <v>51000</v>
      </c>
      <c r="I3146" s="415">
        <v>432501.96219999995</v>
      </c>
      <c r="J3146" s="415">
        <v>264318.63</v>
      </c>
      <c r="K3146" s="415">
        <v>306269.65000000002</v>
      </c>
      <c r="L3146" s="415">
        <v>344584.03</v>
      </c>
      <c r="M3146" s="415">
        <v>462263.68</v>
      </c>
      <c r="N3146" s="415">
        <v>192530.48</v>
      </c>
      <c r="O3146" s="415">
        <v>169059.67</v>
      </c>
      <c r="P3146" s="415">
        <v>116667.75</v>
      </c>
      <c r="Q3146" s="481">
        <f t="shared" si="95"/>
        <v>-168183.33219999995</v>
      </c>
    </row>
    <row r="3147" spans="1:17" x14ac:dyDescent="0.3">
      <c r="A3147" s="366" t="str">
        <f>IFERROR(VLOOKUP(RIGHT(E3147,3)+0,[1]SchLocTable!$A$2:$B$47,2,FALSE)," ")</f>
        <v xml:space="preserve"> </v>
      </c>
      <c r="B3147" s="366" t="str">
        <f>VLOOKUP(VALUE(D3147),$D$3:F$106,3,FALSE)</f>
        <v>School Nurses</v>
      </c>
      <c r="C3147" t="s">
        <v>314</v>
      </c>
      <c r="D3147">
        <v>860</v>
      </c>
      <c r="E3147" t="s">
        <v>1035</v>
      </c>
      <c r="F3147" t="s">
        <v>360</v>
      </c>
      <c r="G3147" t="s">
        <v>319</v>
      </c>
      <c r="H3147" s="502">
        <v>52920</v>
      </c>
      <c r="I3147" s="415">
        <v>2000</v>
      </c>
      <c r="J3147" s="415">
        <v>0</v>
      </c>
      <c r="K3147" s="415">
        <v>0</v>
      </c>
      <c r="L3147" s="415">
        <v>1000</v>
      </c>
      <c r="M3147" s="415">
        <v>5500.05</v>
      </c>
      <c r="N3147" s="415">
        <v>666.68</v>
      </c>
      <c r="O3147" s="415">
        <v>0</v>
      </c>
      <c r="P3147" s="415">
        <v>0</v>
      </c>
      <c r="Q3147" s="481">
        <f t="shared" si="95"/>
        <v>-2000</v>
      </c>
    </row>
    <row r="3148" spans="1:17" x14ac:dyDescent="0.3">
      <c r="A3148" s="366" t="str">
        <f>IFERROR(VLOOKUP(RIGHT(E3148,3)+0,[1]SchLocTable!$A$2:$B$47,2,FALSE)," ")</f>
        <v xml:space="preserve"> </v>
      </c>
      <c r="B3148" s="366" t="str">
        <f>VLOOKUP(VALUE(D3148),$D$3:F$106,3,FALSE)</f>
        <v>School Nurses</v>
      </c>
      <c r="C3148" t="s">
        <v>314</v>
      </c>
      <c r="D3148">
        <v>860</v>
      </c>
      <c r="E3148" t="s">
        <v>1035</v>
      </c>
      <c r="F3148" t="s">
        <v>321</v>
      </c>
      <c r="G3148" t="s">
        <v>319</v>
      </c>
      <c r="H3148" s="502">
        <v>52917</v>
      </c>
      <c r="I3148" s="415">
        <v>106457.90400000001</v>
      </c>
      <c r="J3148" s="415">
        <v>60118.16</v>
      </c>
      <c r="K3148" s="415">
        <v>73315.91</v>
      </c>
      <c r="L3148" s="415">
        <v>69511.350000000006</v>
      </c>
      <c r="M3148" s="415">
        <v>88688.66</v>
      </c>
      <c r="N3148" s="415">
        <v>28338.76</v>
      </c>
      <c r="O3148" s="415">
        <v>19531.72</v>
      </c>
      <c r="P3148" s="415">
        <v>18623.73</v>
      </c>
      <c r="Q3148" s="481">
        <f t="shared" si="95"/>
        <v>-46339.744000000006</v>
      </c>
    </row>
    <row r="3149" spans="1:17" x14ac:dyDescent="0.3">
      <c r="A3149" s="366" t="str">
        <f>IFERROR(VLOOKUP(RIGHT(E3149,3)+0,[1]SchLocTable!$A$2:$B$47,2,FALSE)," ")</f>
        <v xml:space="preserve"> </v>
      </c>
      <c r="B3149" s="366" t="str">
        <f>VLOOKUP(VALUE(D3149),$D$3:F$106,3,FALSE)</f>
        <v>School Nurses</v>
      </c>
      <c r="C3149" t="s">
        <v>314</v>
      </c>
      <c r="D3149">
        <v>860</v>
      </c>
      <c r="E3149" t="s">
        <v>1035</v>
      </c>
      <c r="F3149" t="s">
        <v>390</v>
      </c>
      <c r="G3149" t="s">
        <v>319</v>
      </c>
      <c r="H3149" s="502">
        <v>56115</v>
      </c>
      <c r="I3149" s="415">
        <v>716900</v>
      </c>
      <c r="J3149" s="415">
        <v>670000</v>
      </c>
      <c r="K3149" s="415">
        <v>666276.55000000005</v>
      </c>
      <c r="L3149" s="415">
        <v>898383.75</v>
      </c>
      <c r="M3149" s="415">
        <v>493731.6</v>
      </c>
      <c r="N3149" s="415">
        <v>446061.23</v>
      </c>
      <c r="O3149" s="415">
        <v>0</v>
      </c>
      <c r="P3149" s="415">
        <v>0</v>
      </c>
      <c r="Q3149" s="481">
        <f t="shared" si="95"/>
        <v>-46900</v>
      </c>
    </row>
    <row r="3150" spans="1:17" x14ac:dyDescent="0.3">
      <c r="A3150" s="366" t="str">
        <f>IFERROR(VLOOKUP(RIGHT(E3150,3)+0,[1]SchLocTable!$A$2:$B$47,2,FALSE)," ")</f>
        <v xml:space="preserve"> </v>
      </c>
      <c r="B3150" s="366" t="str">
        <f>VLOOKUP(VALUE(D3150),$D$3:F$106,3,FALSE)</f>
        <v>School Nurses</v>
      </c>
      <c r="C3150" t="s">
        <v>314</v>
      </c>
      <c r="D3150">
        <v>860</v>
      </c>
      <c r="E3150" t="s">
        <v>1035</v>
      </c>
      <c r="F3150" t="s">
        <v>318</v>
      </c>
      <c r="G3150" t="s">
        <v>319</v>
      </c>
      <c r="H3150" s="502">
        <v>51140</v>
      </c>
      <c r="I3150" s="415">
        <v>1950</v>
      </c>
      <c r="J3150" s="415">
        <v>0</v>
      </c>
      <c r="K3150" s="415">
        <v>2855</v>
      </c>
      <c r="L3150" s="415">
        <v>3550</v>
      </c>
      <c r="M3150" s="415">
        <v>3965</v>
      </c>
      <c r="N3150" s="415">
        <v>2420</v>
      </c>
      <c r="O3150" s="415">
        <v>2275</v>
      </c>
      <c r="P3150" s="415">
        <v>1500</v>
      </c>
      <c r="Q3150" s="481">
        <f t="shared" si="95"/>
        <v>-1950</v>
      </c>
    </row>
    <row r="3151" spans="1:17" x14ac:dyDescent="0.3">
      <c r="A3151" s="366" t="str">
        <f>IFERROR(VLOOKUP(RIGHT(E3151,3)+0,[1]SchLocTable!$A$2:$B$47,2,FALSE)," ")</f>
        <v xml:space="preserve"> </v>
      </c>
      <c r="B3151" s="366" t="str">
        <f>VLOOKUP(VALUE(D3151),$D$3:F$106,3,FALSE)</f>
        <v>School Nurses</v>
      </c>
      <c r="C3151" t="s">
        <v>314</v>
      </c>
      <c r="D3151">
        <v>860</v>
      </c>
      <c r="E3151" t="s">
        <v>1035</v>
      </c>
      <c r="F3151" t="s">
        <v>897</v>
      </c>
      <c r="G3151" t="s">
        <v>319</v>
      </c>
      <c r="H3151" s="502">
        <v>54670</v>
      </c>
      <c r="I3151" s="415">
        <v>15957.4192</v>
      </c>
      <c r="J3151" s="415">
        <v>15492.64</v>
      </c>
      <c r="K3151" s="415">
        <v>14734.03</v>
      </c>
      <c r="L3151" s="415">
        <v>27488.29</v>
      </c>
      <c r="M3151" s="415">
        <v>16254.83</v>
      </c>
      <c r="N3151" s="415">
        <v>18971.55</v>
      </c>
      <c r="O3151" s="415">
        <v>14658.5</v>
      </c>
      <c r="P3151" s="415">
        <v>15318.61</v>
      </c>
      <c r="Q3151" s="481">
        <f t="shared" si="95"/>
        <v>-464.77920000000086</v>
      </c>
    </row>
    <row r="3152" spans="1:17" x14ac:dyDescent="0.3">
      <c r="A3152" s="366" t="str">
        <f>IFERROR(VLOOKUP(RIGHT(E3152,3)+0,[1]SchLocTable!$A$2:$B$47,2,FALSE)," ")</f>
        <v xml:space="preserve"> </v>
      </c>
      <c r="B3152" s="366" t="str">
        <f>VLOOKUP(VALUE(D3152),$D$3:F$106,3,FALSE)</f>
        <v>School Nurses</v>
      </c>
      <c r="C3152" t="s">
        <v>314</v>
      </c>
      <c r="D3152">
        <v>860</v>
      </c>
      <c r="E3152" t="s">
        <v>1035</v>
      </c>
      <c r="F3152" t="s">
        <v>320</v>
      </c>
      <c r="G3152" t="s">
        <v>319</v>
      </c>
      <c r="H3152" s="502">
        <v>52360</v>
      </c>
      <c r="I3152" s="415">
        <v>6300.2784519000006</v>
      </c>
      <c r="J3152" s="415">
        <v>4319</v>
      </c>
      <c r="K3152" s="415">
        <v>4241.38</v>
      </c>
      <c r="L3152" s="415">
        <v>4838.42</v>
      </c>
      <c r="M3152" s="415">
        <v>6517.53</v>
      </c>
      <c r="N3152" s="415">
        <v>2787.65</v>
      </c>
      <c r="O3152" s="415">
        <v>2463.1999999999998</v>
      </c>
      <c r="P3152" s="415">
        <v>2522.63</v>
      </c>
      <c r="Q3152" s="481">
        <f t="shared" si="95"/>
        <v>-1981.2784519000006</v>
      </c>
    </row>
    <row r="3153" spans="1:17" x14ac:dyDescent="0.3">
      <c r="A3153" s="366" t="str">
        <f>IFERROR(VLOOKUP(RIGHT(E3153,3)+0,[1]SchLocTable!$A$2:$B$47,2,FALSE)," ")</f>
        <v xml:space="preserve"> </v>
      </c>
      <c r="B3153" s="366" t="str">
        <f>VLOOKUP(VALUE(D3153),$D$3:F$106,3,FALSE)</f>
        <v>School Nurses</v>
      </c>
      <c r="C3153" t="s">
        <v>314</v>
      </c>
      <c r="D3153">
        <v>860</v>
      </c>
      <c r="E3153" t="s">
        <v>1035</v>
      </c>
      <c r="F3153" t="s">
        <v>392</v>
      </c>
      <c r="G3153" t="s">
        <v>319</v>
      </c>
      <c r="H3153" s="502">
        <v>52504</v>
      </c>
      <c r="I3153" s="415">
        <v>90289.507745159994</v>
      </c>
      <c r="J3153" s="415">
        <v>68054</v>
      </c>
      <c r="K3153" s="415">
        <v>63659.9</v>
      </c>
      <c r="L3153" s="415">
        <v>63272.53</v>
      </c>
      <c r="M3153" s="415">
        <v>79293.64</v>
      </c>
      <c r="N3153" s="415">
        <v>37289.99</v>
      </c>
      <c r="O3153" s="415">
        <v>27818.49</v>
      </c>
      <c r="P3153" s="415">
        <v>24993.23</v>
      </c>
      <c r="Q3153" s="481">
        <f t="shared" si="95"/>
        <v>-22235.507745159994</v>
      </c>
    </row>
    <row r="3154" spans="1:17" x14ac:dyDescent="0.3">
      <c r="A3154" s="366" t="str">
        <f>IFERROR(VLOOKUP(RIGHT(E3154,3)+0,[1]SchLocTable!$A$2:$B$47,2,FALSE)," ")</f>
        <v xml:space="preserve"> </v>
      </c>
      <c r="B3154" s="366" t="str">
        <f>VLOOKUP(VALUE(D3154),$D$3:F$106,3,FALSE)</f>
        <v>School Nurses</v>
      </c>
      <c r="C3154" t="s">
        <v>314</v>
      </c>
      <c r="D3154">
        <v>860</v>
      </c>
      <c r="E3154" t="s">
        <v>1035</v>
      </c>
      <c r="F3154" t="s">
        <v>458</v>
      </c>
      <c r="G3154" t="s">
        <v>319</v>
      </c>
      <c r="H3154" s="502">
        <v>54675</v>
      </c>
      <c r="I3154" s="415">
        <v>420.29150000000004</v>
      </c>
      <c r="J3154" s="415">
        <v>408.05</v>
      </c>
      <c r="K3154" s="415">
        <v>8022.69</v>
      </c>
      <c r="L3154" s="415">
        <v>821.25</v>
      </c>
      <c r="M3154" s="415">
        <v>0</v>
      </c>
      <c r="N3154" s="415">
        <v>790.67</v>
      </c>
      <c r="O3154" s="415">
        <v>297.27999999999997</v>
      </c>
      <c r="P3154" s="415">
        <v>684.95</v>
      </c>
      <c r="Q3154" s="481">
        <f t="shared" si="95"/>
        <v>-12.24150000000003</v>
      </c>
    </row>
    <row r="3155" spans="1:17" x14ac:dyDescent="0.3">
      <c r="A3155" s="366" t="str">
        <f>IFERROR(VLOOKUP(RIGHT(E3155,3)+0,[1]SchLocTable!$A$2:$B$47,2,FALSE)," ")</f>
        <v xml:space="preserve"> </v>
      </c>
      <c r="B3155" s="366" t="str">
        <f>VLOOKUP(VALUE(D3155),$D$3:F$106,3,FALSE)</f>
        <v>School Nurses</v>
      </c>
      <c r="C3155" t="s">
        <v>314</v>
      </c>
      <c r="D3155">
        <v>860</v>
      </c>
      <c r="E3155" t="s">
        <v>1035</v>
      </c>
      <c r="F3155" t="s">
        <v>464</v>
      </c>
      <c r="G3155" t="s">
        <v>319</v>
      </c>
      <c r="H3155" s="502">
        <v>56180</v>
      </c>
      <c r="I3155" s="415">
        <v>70298.53</v>
      </c>
      <c r="J3155" s="415">
        <v>68251</v>
      </c>
      <c r="K3155" s="415">
        <v>215.46</v>
      </c>
      <c r="L3155" s="415">
        <v>456.45</v>
      </c>
      <c r="M3155" s="415">
        <v>0</v>
      </c>
      <c r="N3155" s="415">
        <v>125</v>
      </c>
      <c r="O3155" s="415">
        <v>1350</v>
      </c>
      <c r="P3155" s="415">
        <v>0</v>
      </c>
      <c r="Q3155" s="481">
        <f t="shared" si="95"/>
        <v>-2047.5299999999988</v>
      </c>
    </row>
    <row r="3156" spans="1:17" x14ac:dyDescent="0.3">
      <c r="A3156" s="366" t="str">
        <f>IFERROR(VLOOKUP(RIGHT(E3156,3)+0,[1]SchLocTable!$A$2:$B$47,2,FALSE)," ")</f>
        <v xml:space="preserve"> </v>
      </c>
      <c r="B3156" s="366" t="str">
        <f>VLOOKUP(VALUE(D3156),$D$3:F$106,3,FALSE)</f>
        <v>School Nurses</v>
      </c>
      <c r="C3156" t="s">
        <v>314</v>
      </c>
      <c r="D3156">
        <v>860</v>
      </c>
      <c r="E3156" t="s">
        <v>1035</v>
      </c>
      <c r="F3156" t="s">
        <v>419</v>
      </c>
      <c r="G3156" t="s">
        <v>319</v>
      </c>
      <c r="H3156" s="502">
        <v>51318</v>
      </c>
      <c r="I3156" s="415">
        <v>0</v>
      </c>
      <c r="J3156" s="415">
        <v>0</v>
      </c>
      <c r="K3156" s="415">
        <v>0</v>
      </c>
      <c r="L3156" s="415">
        <v>0</v>
      </c>
      <c r="M3156" s="415">
        <v>1414.34</v>
      </c>
      <c r="N3156" s="415">
        <v>0</v>
      </c>
      <c r="O3156" s="415">
        <v>0</v>
      </c>
      <c r="P3156" s="415">
        <v>0</v>
      </c>
      <c r="Q3156" s="481">
        <f t="shared" si="95"/>
        <v>0</v>
      </c>
    </row>
    <row r="3157" spans="1:17" x14ac:dyDescent="0.3">
      <c r="A3157" s="366" t="str">
        <f>IFERROR(VLOOKUP(RIGHT(E3157,3)+0,[1]SchLocTable!$A$2:$B$47,2,FALSE)," ")</f>
        <v xml:space="preserve"> </v>
      </c>
      <c r="B3157" s="366" t="str">
        <f>VLOOKUP(VALUE(D3157),$D$3:F$106,3,FALSE)</f>
        <v>School Nurses</v>
      </c>
      <c r="C3157" t="s">
        <v>314</v>
      </c>
      <c r="D3157">
        <v>860</v>
      </c>
      <c r="E3157" t="s">
        <v>1035</v>
      </c>
      <c r="F3157" t="s">
        <v>317</v>
      </c>
      <c r="G3157" t="s">
        <v>319</v>
      </c>
      <c r="H3157" s="502">
        <v>51100</v>
      </c>
      <c r="I3157" s="415">
        <v>0</v>
      </c>
      <c r="J3157" s="415">
        <v>0</v>
      </c>
      <c r="K3157" s="415">
        <v>0</v>
      </c>
      <c r="L3157" s="415">
        <v>150</v>
      </c>
      <c r="M3157" s="415">
        <v>0</v>
      </c>
      <c r="N3157" s="415">
        <v>0</v>
      </c>
      <c r="O3157" s="415">
        <v>0</v>
      </c>
      <c r="P3157" s="415">
        <v>0</v>
      </c>
      <c r="Q3157" s="481">
        <f t="shared" si="95"/>
        <v>0</v>
      </c>
    </row>
    <row r="3158" spans="1:17" x14ac:dyDescent="0.3">
      <c r="A3158" s="366" t="str">
        <f>IFERROR(VLOOKUP(RIGHT(E3158,3)+0,[1]SchLocTable!$A$2:$B$47,2,FALSE)," ")</f>
        <v xml:space="preserve"> </v>
      </c>
      <c r="B3158" s="366" t="str">
        <f>VLOOKUP(VALUE(D3158),$D$3:F$106,3,FALSE)</f>
        <v>School Nurses</v>
      </c>
      <c r="C3158" t="s">
        <v>314</v>
      </c>
      <c r="D3158">
        <v>860</v>
      </c>
      <c r="E3158" t="s">
        <v>1035</v>
      </c>
      <c r="F3158" t="s">
        <v>324</v>
      </c>
      <c r="G3158" t="s">
        <v>319</v>
      </c>
      <c r="H3158" s="502">
        <v>52385</v>
      </c>
      <c r="I3158" s="415">
        <v>0</v>
      </c>
      <c r="J3158" s="415">
        <v>0</v>
      </c>
      <c r="K3158" s="415">
        <v>0</v>
      </c>
      <c r="L3158" s="415">
        <v>2120.5700000000002</v>
      </c>
      <c r="M3158" s="415">
        <v>6077.43</v>
      </c>
      <c r="N3158" s="415">
        <v>0</v>
      </c>
      <c r="O3158" s="415">
        <v>0</v>
      </c>
      <c r="P3158" s="415">
        <v>0</v>
      </c>
      <c r="Q3158" s="481">
        <f t="shared" si="95"/>
        <v>0</v>
      </c>
    </row>
    <row r="3159" spans="1:17" x14ac:dyDescent="0.3">
      <c r="A3159" s="366" t="str">
        <f>IFERROR(VLOOKUP(RIGHT(E3159,3)+0,[1]SchLocTable!$A$2:$B$47,2,FALSE)," ")</f>
        <v xml:space="preserve"> </v>
      </c>
      <c r="B3159" s="366" t="str">
        <f>VLOOKUP(VALUE(D3159),$D$3:F$106,3,FALSE)</f>
        <v>School Nurses</v>
      </c>
      <c r="C3159" t="s">
        <v>314</v>
      </c>
      <c r="D3159">
        <v>860</v>
      </c>
      <c r="E3159" t="s">
        <v>1035</v>
      </c>
      <c r="F3159" t="s">
        <v>502</v>
      </c>
      <c r="G3159" t="s">
        <v>319</v>
      </c>
      <c r="H3159" s="502">
        <v>53610</v>
      </c>
      <c r="I3159" s="415">
        <v>0</v>
      </c>
      <c r="J3159" s="415">
        <v>0</v>
      </c>
      <c r="K3159" s="415">
        <v>1305</v>
      </c>
      <c r="L3159" s="415">
        <v>0</v>
      </c>
      <c r="M3159" s="415">
        <v>0</v>
      </c>
      <c r="N3159" s="415">
        <v>0</v>
      </c>
      <c r="O3159" s="415">
        <v>249.99</v>
      </c>
      <c r="P3159" s="415">
        <v>0</v>
      </c>
      <c r="Q3159" s="481">
        <f t="shared" si="95"/>
        <v>0</v>
      </c>
    </row>
    <row r="3160" spans="1:17" x14ac:dyDescent="0.3">
      <c r="A3160" s="366" t="str">
        <f>IFERROR(VLOOKUP(RIGHT(E3160,3)+0,[1]SchLocTable!$A$2:$B$47,2,FALSE)," ")</f>
        <v xml:space="preserve"> </v>
      </c>
      <c r="B3160" s="366" t="str">
        <f>VLOOKUP(VALUE(D3160),$D$3:F$106,3,FALSE)</f>
        <v>School Nurses</v>
      </c>
      <c r="C3160" t="s">
        <v>314</v>
      </c>
      <c r="D3160">
        <v>860</v>
      </c>
      <c r="E3160" t="s">
        <v>1035</v>
      </c>
      <c r="F3160" t="s">
        <v>560</v>
      </c>
      <c r="G3160" t="s">
        <v>319</v>
      </c>
      <c r="H3160" s="502">
        <v>51404</v>
      </c>
      <c r="I3160" s="415">
        <v>0</v>
      </c>
      <c r="J3160" s="415">
        <v>140</v>
      </c>
      <c r="K3160" s="415">
        <v>610</v>
      </c>
      <c r="L3160" s="415">
        <v>550</v>
      </c>
      <c r="M3160" s="415">
        <v>610</v>
      </c>
      <c r="N3160" s="415">
        <v>640</v>
      </c>
      <c r="O3160" s="415">
        <v>500</v>
      </c>
      <c r="P3160" s="415">
        <v>600</v>
      </c>
      <c r="Q3160" s="481">
        <f t="shared" si="95"/>
        <v>140</v>
      </c>
    </row>
    <row r="3161" spans="1:17" x14ac:dyDescent="0.3">
      <c r="A3161" s="366" t="str">
        <f>IFERROR(VLOOKUP(RIGHT(E3161,3)+0,[1]SchLocTable!$A$2:$B$47,2,FALSE)," ")</f>
        <v xml:space="preserve"> </v>
      </c>
      <c r="B3161" s="366" t="str">
        <f>VLOOKUP(VALUE(D3161),$D$3:F$106,3,FALSE)</f>
        <v>School Nurses</v>
      </c>
      <c r="C3161" t="s">
        <v>314</v>
      </c>
      <c r="D3161">
        <v>860</v>
      </c>
      <c r="E3161" t="s">
        <v>1035</v>
      </c>
      <c r="F3161" t="s">
        <v>356</v>
      </c>
      <c r="G3161" t="s">
        <v>319</v>
      </c>
      <c r="H3161" s="502">
        <v>51156</v>
      </c>
      <c r="I3161" s="415">
        <v>0</v>
      </c>
      <c r="J3161" s="415">
        <v>0</v>
      </c>
      <c r="K3161" s="415">
        <v>4665.1000000000004</v>
      </c>
      <c r="L3161" s="415">
        <v>4397.3</v>
      </c>
      <c r="M3161" s="415">
        <v>4370.25</v>
      </c>
      <c r="N3161" s="415">
        <v>3969.6</v>
      </c>
      <c r="O3161" s="415">
        <v>3969.42</v>
      </c>
      <c r="P3161" s="415">
        <v>3853.43</v>
      </c>
      <c r="Q3161" s="481">
        <f t="shared" si="95"/>
        <v>0</v>
      </c>
    </row>
    <row r="3162" spans="1:17" x14ac:dyDescent="0.3">
      <c r="A3162" s="366" t="str">
        <f>IFERROR(VLOOKUP(RIGHT(E3162,3)+0,[1]SchLocTable!$A$2:$B$47,2,FALSE)," ")</f>
        <v xml:space="preserve"> </v>
      </c>
      <c r="B3162" s="366" t="str">
        <f>VLOOKUP(VALUE(D3162),$D$3:F$106,3,FALSE)</f>
        <v>School Nurses</v>
      </c>
      <c r="C3162" t="s">
        <v>314</v>
      </c>
      <c r="D3162">
        <v>860</v>
      </c>
      <c r="E3162" t="s">
        <v>1037</v>
      </c>
      <c r="F3162" t="s">
        <v>1036</v>
      </c>
      <c r="G3162" t="s">
        <v>319</v>
      </c>
      <c r="H3162" s="502">
        <v>53905</v>
      </c>
      <c r="I3162" s="415">
        <v>1586.2</v>
      </c>
      <c r="J3162" s="415">
        <v>1540</v>
      </c>
      <c r="K3162" s="415">
        <v>0</v>
      </c>
      <c r="L3162" s="415">
        <v>0</v>
      </c>
      <c r="M3162" s="415">
        <v>0</v>
      </c>
      <c r="N3162" s="415">
        <v>0</v>
      </c>
      <c r="O3162" s="415">
        <v>1540</v>
      </c>
      <c r="P3162" s="415">
        <v>1540</v>
      </c>
      <c r="Q3162" s="481">
        <f t="shared" si="95"/>
        <v>-46.200000000000045</v>
      </c>
    </row>
    <row r="3163" spans="1:17" x14ac:dyDescent="0.3">
      <c r="A3163" s="366" t="str">
        <f>IFERROR(VLOOKUP(RIGHT(E3163,3)+0,[1]SchLocTable!$A$2:$B$47,2,FALSE)," ")</f>
        <v xml:space="preserve"> </v>
      </c>
      <c r="B3163" s="366" t="str">
        <f>VLOOKUP(VALUE(D3163),$D$3:F$106,3,FALSE)</f>
        <v>School Nurses</v>
      </c>
      <c r="C3163" t="s">
        <v>314</v>
      </c>
      <c r="D3163">
        <v>860</v>
      </c>
      <c r="E3163" t="s">
        <v>1037</v>
      </c>
      <c r="F3163" t="s">
        <v>316</v>
      </c>
      <c r="G3163" t="s">
        <v>319</v>
      </c>
      <c r="H3163" s="502">
        <v>51000</v>
      </c>
      <c r="I3163" s="415">
        <v>0</v>
      </c>
      <c r="J3163" s="415">
        <v>0</v>
      </c>
      <c r="K3163" s="415">
        <v>0</v>
      </c>
      <c r="L3163" s="415">
        <v>0</v>
      </c>
      <c r="M3163" s="415">
        <v>7978.09</v>
      </c>
      <c r="N3163" s="415">
        <v>54847.54</v>
      </c>
      <c r="O3163" s="415">
        <v>195638.64</v>
      </c>
      <c r="P3163" s="415">
        <v>191192.98</v>
      </c>
      <c r="Q3163" s="481">
        <f t="shared" si="95"/>
        <v>0</v>
      </c>
    </row>
    <row r="3164" spans="1:17" x14ac:dyDescent="0.3">
      <c r="A3164" s="366" t="str">
        <f>IFERROR(VLOOKUP(RIGHT(E3164,3)+0,[1]SchLocTable!$A$2:$B$47,2,FALSE)," ")</f>
        <v xml:space="preserve"> </v>
      </c>
      <c r="B3164" s="366" t="str">
        <f>VLOOKUP(VALUE(D3164),$D$3:F$106,3,FALSE)</f>
        <v>School Nurses</v>
      </c>
      <c r="C3164" t="s">
        <v>314</v>
      </c>
      <c r="D3164">
        <v>860</v>
      </c>
      <c r="E3164" t="s">
        <v>1037</v>
      </c>
      <c r="F3164" t="s">
        <v>321</v>
      </c>
      <c r="G3164" t="s">
        <v>319</v>
      </c>
      <c r="H3164" s="502">
        <v>52917</v>
      </c>
      <c r="I3164" s="415">
        <v>0</v>
      </c>
      <c r="J3164" s="415">
        <v>0</v>
      </c>
      <c r="K3164" s="415">
        <v>0</v>
      </c>
      <c r="L3164" s="415">
        <v>0</v>
      </c>
      <c r="M3164" s="415">
        <v>2158.4299999999998</v>
      </c>
      <c r="N3164" s="415">
        <v>15285.71</v>
      </c>
      <c r="O3164" s="415">
        <v>43011.8</v>
      </c>
      <c r="P3164" s="415">
        <v>38295.730000000003</v>
      </c>
      <c r="Q3164" s="481">
        <f t="shared" si="95"/>
        <v>0</v>
      </c>
    </row>
    <row r="3165" spans="1:17" x14ac:dyDescent="0.3">
      <c r="A3165" s="366" t="str">
        <f>IFERROR(VLOOKUP(RIGHT(E3165,3)+0,[1]SchLocTable!$A$2:$B$47,2,FALSE)," ")</f>
        <v xml:space="preserve"> </v>
      </c>
      <c r="B3165" s="366" t="str">
        <f>VLOOKUP(VALUE(D3165),$D$3:F$106,3,FALSE)</f>
        <v>School Nurses</v>
      </c>
      <c r="C3165" t="s">
        <v>314</v>
      </c>
      <c r="D3165">
        <v>860</v>
      </c>
      <c r="E3165" t="s">
        <v>1037</v>
      </c>
      <c r="F3165" t="s">
        <v>318</v>
      </c>
      <c r="G3165" t="s">
        <v>319</v>
      </c>
      <c r="H3165" s="502">
        <v>51140</v>
      </c>
      <c r="I3165" s="415">
        <v>0</v>
      </c>
      <c r="J3165" s="415">
        <v>0</v>
      </c>
      <c r="K3165" s="415">
        <v>0</v>
      </c>
      <c r="L3165" s="415">
        <v>0</v>
      </c>
      <c r="M3165" s="415">
        <v>686</v>
      </c>
      <c r="N3165" s="415">
        <v>908.83</v>
      </c>
      <c r="O3165" s="415">
        <v>826</v>
      </c>
      <c r="P3165" s="415">
        <v>224</v>
      </c>
      <c r="Q3165" s="481">
        <f t="shared" si="95"/>
        <v>0</v>
      </c>
    </row>
    <row r="3166" spans="1:17" x14ac:dyDescent="0.3">
      <c r="A3166" s="366" t="str">
        <f>IFERROR(VLOOKUP(RIGHT(E3166,3)+0,[1]SchLocTable!$A$2:$B$47,2,FALSE)," ")</f>
        <v xml:space="preserve"> </v>
      </c>
      <c r="B3166" s="366" t="str">
        <f>VLOOKUP(VALUE(D3166),$D$3:F$106,3,FALSE)</f>
        <v>School Nurses</v>
      </c>
      <c r="C3166" t="s">
        <v>314</v>
      </c>
      <c r="D3166">
        <v>860</v>
      </c>
      <c r="E3166" t="s">
        <v>1037</v>
      </c>
      <c r="F3166" t="s">
        <v>320</v>
      </c>
      <c r="G3166" t="s">
        <v>319</v>
      </c>
      <c r="H3166" s="502">
        <v>52360</v>
      </c>
      <c r="I3166" s="415">
        <v>0</v>
      </c>
      <c r="J3166" s="415">
        <v>0</v>
      </c>
      <c r="K3166" s="415">
        <v>0</v>
      </c>
      <c r="L3166" s="415">
        <v>0</v>
      </c>
      <c r="M3166" s="415">
        <v>115.08</v>
      </c>
      <c r="N3166" s="415">
        <v>723.55</v>
      </c>
      <c r="O3166" s="415">
        <v>2681.84</v>
      </c>
      <c r="P3166" s="415">
        <v>2665.01</v>
      </c>
      <c r="Q3166" s="481">
        <f t="shared" si="95"/>
        <v>0</v>
      </c>
    </row>
    <row r="3167" spans="1:17" x14ac:dyDescent="0.3">
      <c r="A3167" s="366" t="str">
        <f>IFERROR(VLOOKUP(RIGHT(E3167,3)+0,[1]SchLocTable!$A$2:$B$47,2,FALSE)," ")</f>
        <v xml:space="preserve"> </v>
      </c>
      <c r="B3167" s="366" t="str">
        <f>VLOOKUP(VALUE(D3167),$D$3:F$106,3,FALSE)</f>
        <v>School Nurses</v>
      </c>
      <c r="C3167" t="s">
        <v>314</v>
      </c>
      <c r="D3167">
        <v>860</v>
      </c>
      <c r="E3167" t="s">
        <v>1037</v>
      </c>
      <c r="F3167" t="s">
        <v>392</v>
      </c>
      <c r="G3167" t="s">
        <v>319</v>
      </c>
      <c r="H3167" s="502">
        <v>52504</v>
      </c>
      <c r="I3167" s="415">
        <v>0</v>
      </c>
      <c r="J3167" s="415">
        <v>0</v>
      </c>
      <c r="K3167" s="415">
        <v>0</v>
      </c>
      <c r="L3167" s="415">
        <v>0</v>
      </c>
      <c r="M3167" s="415">
        <v>1570.94</v>
      </c>
      <c r="N3167" s="415">
        <v>10628.68</v>
      </c>
      <c r="O3167" s="415">
        <v>32100.44</v>
      </c>
      <c r="P3167" s="415">
        <v>27355.45</v>
      </c>
      <c r="Q3167" s="481">
        <f t="shared" si="95"/>
        <v>0</v>
      </c>
    </row>
    <row r="3168" spans="1:17" x14ac:dyDescent="0.3">
      <c r="A3168" s="366" t="str">
        <f>IFERROR(VLOOKUP(RIGHT(E3168,3)+0,[1]SchLocTable!$A$2:$B$47,2,FALSE)," ")</f>
        <v>Barnum</v>
      </c>
      <c r="B3168" s="366" t="str">
        <f>VLOOKUP(VALUE(D3168),$D$3:F$106,3,FALSE)</f>
        <v>School Nurses</v>
      </c>
      <c r="C3168" t="s">
        <v>314</v>
      </c>
      <c r="D3168">
        <v>860</v>
      </c>
      <c r="E3168" t="s">
        <v>1038</v>
      </c>
      <c r="F3168" t="s">
        <v>1036</v>
      </c>
      <c r="G3168" t="s">
        <v>319</v>
      </c>
      <c r="H3168" s="502">
        <v>53905</v>
      </c>
      <c r="I3168" s="415">
        <v>360.5</v>
      </c>
      <c r="J3168" s="415">
        <v>350</v>
      </c>
      <c r="K3168" s="415">
        <v>0</v>
      </c>
      <c r="L3168" s="415">
        <v>500</v>
      </c>
      <c r="M3168" s="415">
        <v>350</v>
      </c>
      <c r="N3168" s="415">
        <v>350</v>
      </c>
      <c r="O3168" s="415">
        <v>350</v>
      </c>
      <c r="P3168" s="415">
        <v>350</v>
      </c>
      <c r="Q3168" s="481">
        <f t="shared" si="95"/>
        <v>-10.5</v>
      </c>
    </row>
    <row r="3169" spans="1:17" x14ac:dyDescent="0.3">
      <c r="A3169" s="366" t="str">
        <f>IFERROR(VLOOKUP(RIGHT(E3169,3)+0,[1]SchLocTable!$A$2:$B$47,2,FALSE)," ")</f>
        <v>Barnum</v>
      </c>
      <c r="B3169" s="366" t="str">
        <f>VLOOKUP(VALUE(D3169),$D$3:F$106,3,FALSE)</f>
        <v>School Nurses</v>
      </c>
      <c r="C3169" t="s">
        <v>314</v>
      </c>
      <c r="D3169">
        <v>860</v>
      </c>
      <c r="E3169" t="s">
        <v>1038</v>
      </c>
      <c r="F3169" t="s">
        <v>316</v>
      </c>
      <c r="G3169">
        <v>1</v>
      </c>
      <c r="H3169" s="502">
        <v>51000</v>
      </c>
      <c r="I3169" s="415">
        <v>69294.326399999991</v>
      </c>
      <c r="J3169" s="415">
        <v>66951</v>
      </c>
      <c r="K3169" s="415">
        <v>56135.87</v>
      </c>
      <c r="L3169" s="415">
        <v>79419.23</v>
      </c>
      <c r="M3169" s="415">
        <v>76854.83</v>
      </c>
      <c r="N3169" s="415">
        <v>69924.52</v>
      </c>
      <c r="O3169" s="415">
        <v>68754.539999999994</v>
      </c>
      <c r="P3169" s="415">
        <v>61393.2</v>
      </c>
      <c r="Q3169" s="481">
        <f t="shared" si="95"/>
        <v>-2343.3263999999908</v>
      </c>
    </row>
    <row r="3170" spans="1:17" x14ac:dyDescent="0.3">
      <c r="A3170" s="366" t="str">
        <f>IFERROR(VLOOKUP(RIGHT(E3170,3)+0,[1]SchLocTable!$A$2:$B$47,2,FALSE)," ")</f>
        <v>Barnum</v>
      </c>
      <c r="B3170" s="366" t="str">
        <f>VLOOKUP(VALUE(D3170),$D$3:F$106,3,FALSE)</f>
        <v>School Nurses</v>
      </c>
      <c r="C3170" t="s">
        <v>314</v>
      </c>
      <c r="D3170">
        <v>860</v>
      </c>
      <c r="E3170" t="s">
        <v>1038</v>
      </c>
      <c r="F3170" t="s">
        <v>321</v>
      </c>
      <c r="G3170" t="s">
        <v>319</v>
      </c>
      <c r="H3170" s="502">
        <v>52917</v>
      </c>
      <c r="I3170" s="415">
        <v>15095.807999999999</v>
      </c>
      <c r="J3170" s="415">
        <v>16399.16</v>
      </c>
      <c r="K3170" s="415">
        <v>20136.84</v>
      </c>
      <c r="L3170" s="415">
        <v>9085.1200000000008</v>
      </c>
      <c r="M3170" s="415">
        <v>11787.15</v>
      </c>
      <c r="N3170" s="415">
        <v>9389.7099999999991</v>
      </c>
      <c r="O3170" s="415">
        <v>8259.75</v>
      </c>
      <c r="P3170" s="415">
        <v>7852.07</v>
      </c>
      <c r="Q3170" s="481">
        <f t="shared" si="95"/>
        <v>1303.3520000000008</v>
      </c>
    </row>
    <row r="3171" spans="1:17" x14ac:dyDescent="0.3">
      <c r="A3171" s="366" t="str">
        <f>IFERROR(VLOOKUP(RIGHT(E3171,3)+0,[1]SchLocTable!$A$2:$B$47,2,FALSE)," ")</f>
        <v>Barnum</v>
      </c>
      <c r="B3171" s="366" t="str">
        <f>VLOOKUP(VALUE(D3171),$D$3:F$106,3,FALSE)</f>
        <v>School Nurses</v>
      </c>
      <c r="C3171" t="s">
        <v>314</v>
      </c>
      <c r="D3171">
        <v>860</v>
      </c>
      <c r="E3171" t="s">
        <v>1038</v>
      </c>
      <c r="F3171" t="s">
        <v>318</v>
      </c>
      <c r="G3171" t="s">
        <v>319</v>
      </c>
      <c r="H3171" s="502">
        <v>51140</v>
      </c>
      <c r="I3171" s="415">
        <v>0</v>
      </c>
      <c r="J3171" s="415">
        <v>0</v>
      </c>
      <c r="K3171" s="415">
        <v>0</v>
      </c>
      <c r="L3171" s="415">
        <v>2496.67</v>
      </c>
      <c r="M3171" s="415">
        <v>490</v>
      </c>
      <c r="N3171" s="415">
        <v>420</v>
      </c>
      <c r="O3171" s="415">
        <v>350</v>
      </c>
      <c r="P3171" s="415">
        <v>0</v>
      </c>
      <c r="Q3171" s="481">
        <f t="shared" si="95"/>
        <v>0</v>
      </c>
    </row>
    <row r="3172" spans="1:17" x14ac:dyDescent="0.3">
      <c r="A3172" s="366" t="str">
        <f>IFERROR(VLOOKUP(RIGHT(E3172,3)+0,[1]SchLocTable!$A$2:$B$47,2,FALSE)," ")</f>
        <v>Barnum</v>
      </c>
      <c r="B3172" s="366" t="str">
        <f>VLOOKUP(VALUE(D3172),$D$3:F$106,3,FALSE)</f>
        <v>School Nurses</v>
      </c>
      <c r="C3172" t="s">
        <v>314</v>
      </c>
      <c r="D3172">
        <v>860</v>
      </c>
      <c r="E3172" t="s">
        <v>1038</v>
      </c>
      <c r="F3172" t="s">
        <v>320</v>
      </c>
      <c r="G3172" t="s">
        <v>319</v>
      </c>
      <c r="H3172" s="502">
        <v>52360</v>
      </c>
      <c r="I3172" s="415">
        <v>1004.7677327999999</v>
      </c>
      <c r="J3172" s="415">
        <v>804</v>
      </c>
      <c r="K3172" s="415">
        <v>704.18</v>
      </c>
      <c r="L3172" s="415">
        <v>1154.72</v>
      </c>
      <c r="M3172" s="415">
        <v>1068.98</v>
      </c>
      <c r="N3172" s="415">
        <v>973.29</v>
      </c>
      <c r="O3172" s="415">
        <v>948.65</v>
      </c>
      <c r="P3172" s="415">
        <v>839.95</v>
      </c>
      <c r="Q3172" s="481">
        <f t="shared" si="95"/>
        <v>-200.76773279999986</v>
      </c>
    </row>
    <row r="3173" spans="1:17" x14ac:dyDescent="0.3">
      <c r="A3173" s="366" t="str">
        <f>IFERROR(VLOOKUP(RIGHT(E3173,3)+0,[1]SchLocTable!$A$2:$B$47,2,FALSE)," ")</f>
        <v>Barnum</v>
      </c>
      <c r="B3173" s="366" t="str">
        <f>VLOOKUP(VALUE(D3173),$D$3:F$106,3,FALSE)</f>
        <v>School Nurses</v>
      </c>
      <c r="C3173" t="s">
        <v>314</v>
      </c>
      <c r="D3173">
        <v>860</v>
      </c>
      <c r="E3173" t="s">
        <v>1038</v>
      </c>
      <c r="F3173" t="s">
        <v>392</v>
      </c>
      <c r="G3173" t="s">
        <v>319</v>
      </c>
      <c r="H3173" s="502">
        <v>52504</v>
      </c>
      <c r="I3173" s="415">
        <v>14399.36102592</v>
      </c>
      <c r="J3173" s="415">
        <v>0</v>
      </c>
      <c r="K3173" s="415">
        <v>3502.26</v>
      </c>
      <c r="L3173" s="415">
        <v>13939.93</v>
      </c>
      <c r="M3173" s="415">
        <v>16579.23</v>
      </c>
      <c r="N3173" s="415">
        <v>13439.19</v>
      </c>
      <c r="O3173" s="415">
        <v>11377.24</v>
      </c>
      <c r="P3173" s="415">
        <v>8773.11</v>
      </c>
      <c r="Q3173" s="481">
        <f t="shared" si="95"/>
        <v>-14399.36102592</v>
      </c>
    </row>
    <row r="3174" spans="1:17" x14ac:dyDescent="0.3">
      <c r="A3174" s="366" t="str">
        <f>IFERROR(VLOOKUP(RIGHT(E3174,3)+0,[1]SchLocTable!$A$2:$B$47,2,FALSE)," ")</f>
        <v>Barnum</v>
      </c>
      <c r="B3174" s="366" t="str">
        <f>VLOOKUP(VALUE(D3174),$D$3:F$106,3,FALSE)</f>
        <v>School Nurses</v>
      </c>
      <c r="C3174" t="s">
        <v>314</v>
      </c>
      <c r="D3174">
        <v>860</v>
      </c>
      <c r="E3174" t="s">
        <v>1038</v>
      </c>
      <c r="F3174" t="s">
        <v>324</v>
      </c>
      <c r="G3174" t="s">
        <v>319</v>
      </c>
      <c r="H3174" s="502">
        <v>52385</v>
      </c>
      <c r="I3174" s="415">
        <v>0</v>
      </c>
      <c r="J3174" s="415">
        <v>0</v>
      </c>
      <c r="K3174" s="415">
        <v>2115.6</v>
      </c>
      <c r="L3174" s="415">
        <v>0</v>
      </c>
      <c r="M3174" s="415">
        <v>0</v>
      </c>
      <c r="N3174" s="415">
        <v>0</v>
      </c>
      <c r="O3174" s="415">
        <v>0</v>
      </c>
      <c r="P3174" s="415">
        <v>0</v>
      </c>
      <c r="Q3174" s="481">
        <f t="shared" si="95"/>
        <v>0</v>
      </c>
    </row>
    <row r="3175" spans="1:17" x14ac:dyDescent="0.3">
      <c r="A3175" s="366" t="str">
        <f>IFERROR(VLOOKUP(RIGHT(E3175,3)+0,[1]SchLocTable!$A$2:$B$47,2,FALSE)," ")</f>
        <v>Beardsley</v>
      </c>
      <c r="B3175" s="366" t="str">
        <f>VLOOKUP(VALUE(D3175),$D$3:F$106,3,FALSE)</f>
        <v>School Nurses</v>
      </c>
      <c r="C3175" t="s">
        <v>314</v>
      </c>
      <c r="D3175">
        <v>860</v>
      </c>
      <c r="E3175" t="s">
        <v>1039</v>
      </c>
      <c r="F3175" t="s">
        <v>316</v>
      </c>
      <c r="G3175">
        <v>1</v>
      </c>
      <c r="H3175" s="502">
        <v>51000</v>
      </c>
      <c r="I3175" s="415">
        <v>69294.326399999991</v>
      </c>
      <c r="J3175" s="415">
        <v>0</v>
      </c>
      <c r="K3175" s="415">
        <v>28559.08</v>
      </c>
      <c r="L3175" s="415">
        <v>61836.42</v>
      </c>
      <c r="M3175" s="415">
        <v>76854.83</v>
      </c>
      <c r="N3175" s="415">
        <v>69938.570000000007</v>
      </c>
      <c r="O3175" s="415">
        <v>63555.6</v>
      </c>
      <c r="P3175" s="415">
        <v>63799.1</v>
      </c>
      <c r="Q3175" s="481">
        <f t="shared" si="95"/>
        <v>-69294.326399999991</v>
      </c>
    </row>
    <row r="3176" spans="1:17" x14ac:dyDescent="0.3">
      <c r="A3176" s="366" t="str">
        <f>IFERROR(VLOOKUP(RIGHT(E3176,3)+0,[1]SchLocTable!$A$2:$B$47,2,FALSE)," ")</f>
        <v>Beardsley</v>
      </c>
      <c r="B3176" s="366" t="str">
        <f>VLOOKUP(VALUE(D3176),$D$3:F$106,3,FALSE)</f>
        <v>School Nurses</v>
      </c>
      <c r="C3176" t="s">
        <v>314</v>
      </c>
      <c r="D3176">
        <v>860</v>
      </c>
      <c r="E3176" t="s">
        <v>1039</v>
      </c>
      <c r="F3176" t="s">
        <v>321</v>
      </c>
      <c r="G3176" t="s">
        <v>319</v>
      </c>
      <c r="H3176" s="502">
        <v>52917</v>
      </c>
      <c r="I3176" s="415">
        <v>43153.968000000001</v>
      </c>
      <c r="J3176" s="415">
        <v>0</v>
      </c>
      <c r="K3176" s="415">
        <v>1846.32</v>
      </c>
      <c r="L3176" s="415">
        <v>10448.16</v>
      </c>
      <c r="M3176" s="415">
        <v>12499.24</v>
      </c>
      <c r="N3176" s="415">
        <v>10330.379999999999</v>
      </c>
      <c r="O3176" s="415">
        <v>9762.2099999999991</v>
      </c>
      <c r="P3176" s="415">
        <v>13185.38</v>
      </c>
      <c r="Q3176" s="481">
        <f t="shared" si="95"/>
        <v>-43153.968000000001</v>
      </c>
    </row>
    <row r="3177" spans="1:17" x14ac:dyDescent="0.3">
      <c r="A3177" s="366" t="str">
        <f>IFERROR(VLOOKUP(RIGHT(E3177,3)+0,[1]SchLocTable!$A$2:$B$47,2,FALSE)," ")</f>
        <v>Beardsley</v>
      </c>
      <c r="B3177" s="366" t="str">
        <f>VLOOKUP(VALUE(D3177),$D$3:F$106,3,FALSE)</f>
        <v>School Nurses</v>
      </c>
      <c r="C3177" t="s">
        <v>314</v>
      </c>
      <c r="D3177">
        <v>860</v>
      </c>
      <c r="E3177" t="s">
        <v>1039</v>
      </c>
      <c r="F3177" t="s">
        <v>318</v>
      </c>
      <c r="G3177" t="s">
        <v>319</v>
      </c>
      <c r="H3177" s="502">
        <v>51140</v>
      </c>
      <c r="I3177" s="415">
        <v>0</v>
      </c>
      <c r="J3177" s="415">
        <v>0</v>
      </c>
      <c r="K3177" s="415">
        <v>1604.17</v>
      </c>
      <c r="L3177" s="415">
        <v>1680</v>
      </c>
      <c r="M3177" s="415">
        <v>1610</v>
      </c>
      <c r="N3177" s="415">
        <v>1540</v>
      </c>
      <c r="O3177" s="415">
        <v>1470</v>
      </c>
      <c r="P3177" s="415">
        <v>1400</v>
      </c>
      <c r="Q3177" s="481">
        <f t="shared" si="95"/>
        <v>0</v>
      </c>
    </row>
    <row r="3178" spans="1:17" x14ac:dyDescent="0.3">
      <c r="A3178" s="366" t="str">
        <f>IFERROR(VLOOKUP(RIGHT(E3178,3)+0,[1]SchLocTable!$A$2:$B$47,2,FALSE)," ")</f>
        <v>Beardsley</v>
      </c>
      <c r="B3178" s="366" t="str">
        <f>VLOOKUP(VALUE(D3178),$D$3:F$106,3,FALSE)</f>
        <v>School Nurses</v>
      </c>
      <c r="C3178" t="s">
        <v>314</v>
      </c>
      <c r="D3178">
        <v>860</v>
      </c>
      <c r="E3178" t="s">
        <v>1039</v>
      </c>
      <c r="F3178" t="s">
        <v>320</v>
      </c>
      <c r="G3178" t="s">
        <v>319</v>
      </c>
      <c r="H3178" s="502">
        <v>52360</v>
      </c>
      <c r="I3178" s="415">
        <v>1004.7677327999999</v>
      </c>
      <c r="J3178" s="415">
        <v>0</v>
      </c>
      <c r="K3178" s="415">
        <v>429.11</v>
      </c>
      <c r="L3178" s="415">
        <v>874.63</v>
      </c>
      <c r="M3178" s="415">
        <v>1082.58</v>
      </c>
      <c r="N3178" s="415">
        <v>991.22</v>
      </c>
      <c r="O3178" s="415">
        <v>899.92</v>
      </c>
      <c r="P3178" s="415">
        <v>885.97</v>
      </c>
      <c r="Q3178" s="481">
        <f t="shared" si="95"/>
        <v>-1004.7677327999999</v>
      </c>
    </row>
    <row r="3179" spans="1:17" x14ac:dyDescent="0.3">
      <c r="A3179" s="366" t="str">
        <f>IFERROR(VLOOKUP(RIGHT(E3179,3)+0,[1]SchLocTable!$A$2:$B$47,2,FALSE)," ")</f>
        <v>Beardsley</v>
      </c>
      <c r="B3179" s="366" t="str">
        <f>VLOOKUP(VALUE(D3179),$D$3:F$106,3,FALSE)</f>
        <v>School Nurses</v>
      </c>
      <c r="C3179" t="s">
        <v>314</v>
      </c>
      <c r="D3179">
        <v>860</v>
      </c>
      <c r="E3179" t="s">
        <v>1039</v>
      </c>
      <c r="F3179" t="s">
        <v>392</v>
      </c>
      <c r="G3179" t="s">
        <v>319</v>
      </c>
      <c r="H3179" s="502">
        <v>52504</v>
      </c>
      <c r="I3179" s="415">
        <v>14399.36102592</v>
      </c>
      <c r="J3179" s="415">
        <v>0</v>
      </c>
      <c r="K3179" s="415">
        <v>2419.4699999999998</v>
      </c>
      <c r="L3179" s="415">
        <v>12953.84</v>
      </c>
      <c r="M3179" s="415">
        <v>16820.93</v>
      </c>
      <c r="N3179" s="415">
        <v>13654.87</v>
      </c>
      <c r="O3179" s="415">
        <v>10708.77</v>
      </c>
      <c r="P3179" s="415">
        <v>9314.86</v>
      </c>
      <c r="Q3179" s="481">
        <f t="shared" si="95"/>
        <v>-14399.36102592</v>
      </c>
    </row>
    <row r="3180" spans="1:17" x14ac:dyDescent="0.3">
      <c r="A3180" s="366" t="str">
        <f>IFERROR(VLOOKUP(RIGHT(E3180,3)+0,[1]SchLocTable!$A$2:$B$47,2,FALSE)," ")</f>
        <v>Black Rock</v>
      </c>
      <c r="B3180" s="366" t="str">
        <f>VLOOKUP(VALUE(D3180),$D$3:F$106,3,FALSE)</f>
        <v>School Nurses</v>
      </c>
      <c r="C3180" t="s">
        <v>314</v>
      </c>
      <c r="D3180">
        <v>860</v>
      </c>
      <c r="E3180" t="s">
        <v>1040</v>
      </c>
      <c r="F3180" t="s">
        <v>1036</v>
      </c>
      <c r="G3180" t="s">
        <v>319</v>
      </c>
      <c r="H3180" s="502">
        <v>53905</v>
      </c>
      <c r="I3180" s="415">
        <v>0</v>
      </c>
      <c r="J3180" s="415">
        <v>0</v>
      </c>
      <c r="K3180" s="415">
        <v>0</v>
      </c>
      <c r="L3180" s="415">
        <v>500</v>
      </c>
      <c r="M3180" s="415">
        <v>0</v>
      </c>
      <c r="N3180" s="415">
        <v>0</v>
      </c>
      <c r="O3180" s="415">
        <v>300</v>
      </c>
      <c r="P3180" s="415">
        <v>300</v>
      </c>
      <c r="Q3180" s="481">
        <f t="shared" si="95"/>
        <v>0</v>
      </c>
    </row>
    <row r="3181" spans="1:17" x14ac:dyDescent="0.3">
      <c r="A3181" s="366" t="str">
        <f>IFERROR(VLOOKUP(RIGHT(E3181,3)+0,[1]SchLocTable!$A$2:$B$47,2,FALSE)," ")</f>
        <v>Black Rock</v>
      </c>
      <c r="B3181" s="366" t="str">
        <f>VLOOKUP(VALUE(D3181),$D$3:F$106,3,FALSE)</f>
        <v>School Nurses</v>
      </c>
      <c r="C3181" t="s">
        <v>314</v>
      </c>
      <c r="D3181">
        <v>860</v>
      </c>
      <c r="E3181" t="s">
        <v>1040</v>
      </c>
      <c r="F3181" t="s">
        <v>316</v>
      </c>
      <c r="G3181" t="s">
        <v>319</v>
      </c>
      <c r="H3181" s="502">
        <v>51000</v>
      </c>
      <c r="I3181" s="415">
        <v>0</v>
      </c>
      <c r="J3181" s="415">
        <v>9323.82</v>
      </c>
      <c r="K3181" s="415">
        <v>71574.03</v>
      </c>
      <c r="L3181" s="415">
        <v>61836.42</v>
      </c>
      <c r="M3181" s="415">
        <v>43350.21</v>
      </c>
      <c r="N3181" s="415">
        <v>55967.46</v>
      </c>
      <c r="O3181" s="415">
        <v>38720.75</v>
      </c>
      <c r="P3181" s="415">
        <v>34837.11</v>
      </c>
      <c r="Q3181" s="481">
        <f t="shared" si="95"/>
        <v>9323.82</v>
      </c>
    </row>
    <row r="3182" spans="1:17" x14ac:dyDescent="0.3">
      <c r="A3182" s="366" t="str">
        <f>IFERROR(VLOOKUP(RIGHT(E3182,3)+0,[1]SchLocTable!$A$2:$B$47,2,FALSE)," ")</f>
        <v>Black Rock</v>
      </c>
      <c r="B3182" s="366" t="str">
        <f>VLOOKUP(VALUE(D3182),$D$3:F$106,3,FALSE)</f>
        <v>School Nurses</v>
      </c>
      <c r="C3182" t="s">
        <v>314</v>
      </c>
      <c r="D3182">
        <v>860</v>
      </c>
      <c r="E3182" t="s">
        <v>1040</v>
      </c>
      <c r="F3182" t="s">
        <v>321</v>
      </c>
      <c r="G3182" t="s">
        <v>319</v>
      </c>
      <c r="H3182" s="502">
        <v>52917</v>
      </c>
      <c r="I3182" s="415">
        <v>0</v>
      </c>
      <c r="J3182" s="415">
        <v>1587.73</v>
      </c>
      <c r="K3182" s="415">
        <v>11047.82</v>
      </c>
      <c r="L3182" s="415">
        <v>9765.2999999999993</v>
      </c>
      <c r="M3182" s="415">
        <v>7468.67</v>
      </c>
      <c r="N3182" s="415">
        <v>9615.2900000000009</v>
      </c>
      <c r="O3182" s="415">
        <v>16426.21</v>
      </c>
      <c r="P3182" s="415">
        <v>5616.85</v>
      </c>
      <c r="Q3182" s="481">
        <f t="shared" si="95"/>
        <v>1587.73</v>
      </c>
    </row>
    <row r="3183" spans="1:17" x14ac:dyDescent="0.3">
      <c r="A3183" s="366" t="str">
        <f>IFERROR(VLOOKUP(RIGHT(E3183,3)+0,[1]SchLocTable!$A$2:$B$47,2,FALSE)," ")</f>
        <v>Black Rock</v>
      </c>
      <c r="B3183" s="366" t="str">
        <f>VLOOKUP(VALUE(D3183),$D$3:F$106,3,FALSE)</f>
        <v>School Nurses</v>
      </c>
      <c r="C3183" t="s">
        <v>314</v>
      </c>
      <c r="D3183">
        <v>860</v>
      </c>
      <c r="E3183" t="s">
        <v>1040</v>
      </c>
      <c r="F3183" t="s">
        <v>318</v>
      </c>
      <c r="G3183" t="s">
        <v>319</v>
      </c>
      <c r="H3183" s="502">
        <v>51140</v>
      </c>
      <c r="I3183" s="415">
        <v>0</v>
      </c>
      <c r="J3183" s="415">
        <v>0</v>
      </c>
      <c r="K3183" s="415">
        <v>700</v>
      </c>
      <c r="L3183" s="415">
        <v>630</v>
      </c>
      <c r="M3183" s="415">
        <v>0</v>
      </c>
      <c r="N3183" s="415">
        <v>0</v>
      </c>
      <c r="O3183" s="415">
        <v>0</v>
      </c>
      <c r="P3183" s="415">
        <v>0</v>
      </c>
      <c r="Q3183" s="481">
        <f t="shared" si="95"/>
        <v>0</v>
      </c>
    </row>
    <row r="3184" spans="1:17" x14ac:dyDescent="0.3">
      <c r="A3184" s="366" t="str">
        <f>IFERROR(VLOOKUP(RIGHT(E3184,3)+0,[1]SchLocTable!$A$2:$B$47,2,FALSE)," ")</f>
        <v>Black Rock</v>
      </c>
      <c r="B3184" s="366" t="str">
        <f>VLOOKUP(VALUE(D3184),$D$3:F$106,3,FALSE)</f>
        <v>School Nurses</v>
      </c>
      <c r="C3184" t="s">
        <v>314</v>
      </c>
      <c r="D3184">
        <v>860</v>
      </c>
      <c r="E3184" t="s">
        <v>1040</v>
      </c>
      <c r="F3184" t="s">
        <v>320</v>
      </c>
      <c r="G3184" t="s">
        <v>319</v>
      </c>
      <c r="H3184" s="502">
        <v>52360</v>
      </c>
      <c r="I3184" s="415">
        <v>0</v>
      </c>
      <c r="J3184" s="415">
        <v>126.13</v>
      </c>
      <c r="K3184" s="415">
        <v>991.11</v>
      </c>
      <c r="L3184" s="415">
        <v>862.94</v>
      </c>
      <c r="M3184" s="415">
        <v>592.20000000000005</v>
      </c>
      <c r="N3184" s="415">
        <v>766.28</v>
      </c>
      <c r="O3184" s="415">
        <v>490.2</v>
      </c>
      <c r="P3184" s="415">
        <v>483.86</v>
      </c>
      <c r="Q3184" s="481">
        <f t="shared" si="95"/>
        <v>126.13</v>
      </c>
    </row>
    <row r="3185" spans="1:17" x14ac:dyDescent="0.3">
      <c r="A3185" s="366" t="str">
        <f>IFERROR(VLOOKUP(RIGHT(E3185,3)+0,[1]SchLocTable!$A$2:$B$47,2,FALSE)," ")</f>
        <v>Black Rock</v>
      </c>
      <c r="B3185" s="366" t="str">
        <f>VLOOKUP(VALUE(D3185),$D$3:F$106,3,FALSE)</f>
        <v>School Nurses</v>
      </c>
      <c r="C3185" t="s">
        <v>314</v>
      </c>
      <c r="D3185">
        <v>860</v>
      </c>
      <c r="E3185" t="s">
        <v>1040</v>
      </c>
      <c r="F3185" t="s">
        <v>392</v>
      </c>
      <c r="G3185" t="s">
        <v>319</v>
      </c>
      <c r="H3185" s="502">
        <v>52504</v>
      </c>
      <c r="I3185" s="415">
        <v>0</v>
      </c>
      <c r="J3185" s="415">
        <v>1937.46</v>
      </c>
      <c r="K3185" s="415">
        <v>14884.35</v>
      </c>
      <c r="L3185" s="415">
        <v>12739.74</v>
      </c>
      <c r="M3185" s="415">
        <v>9354.9699999999993</v>
      </c>
      <c r="N3185" s="415">
        <v>4540.59</v>
      </c>
      <c r="O3185" s="415">
        <v>6376.02</v>
      </c>
      <c r="P3185" s="415">
        <v>4978.33</v>
      </c>
      <c r="Q3185" s="481">
        <f t="shared" si="95"/>
        <v>1937.46</v>
      </c>
    </row>
    <row r="3186" spans="1:17" x14ac:dyDescent="0.3">
      <c r="A3186" s="366" t="str">
        <f>IFERROR(VLOOKUP(RIGHT(E3186,3)+0,[1]SchLocTable!$A$2:$B$47,2,FALSE)," ")</f>
        <v>Bryant</v>
      </c>
      <c r="B3186" s="366" t="str">
        <f>VLOOKUP(VALUE(D3186),$D$3:F$106,3,FALSE)</f>
        <v>School Nurses</v>
      </c>
      <c r="C3186" t="s">
        <v>314</v>
      </c>
      <c r="D3186">
        <v>860</v>
      </c>
      <c r="E3186" t="s">
        <v>1041</v>
      </c>
      <c r="F3186" t="s">
        <v>316</v>
      </c>
      <c r="G3186">
        <v>1</v>
      </c>
      <c r="H3186" s="502">
        <v>51000</v>
      </c>
      <c r="I3186" s="415">
        <v>72378.750599999999</v>
      </c>
      <c r="J3186" s="415">
        <v>68424</v>
      </c>
      <c r="K3186" s="415">
        <v>69272.77</v>
      </c>
      <c r="L3186" s="415">
        <v>48451.15</v>
      </c>
      <c r="M3186" s="415">
        <v>0</v>
      </c>
      <c r="N3186" s="415">
        <v>1652.74</v>
      </c>
      <c r="O3186" s="415">
        <v>46860.37</v>
      </c>
      <c r="P3186" s="415">
        <v>61393.2</v>
      </c>
      <c r="Q3186" s="481">
        <f t="shared" si="95"/>
        <v>-3954.7505999999994</v>
      </c>
    </row>
    <row r="3187" spans="1:17" x14ac:dyDescent="0.3">
      <c r="A3187" s="366" t="str">
        <f>IFERROR(VLOOKUP(RIGHT(E3187,3)+0,[1]SchLocTable!$A$2:$B$47,2,FALSE)," ")</f>
        <v>Bryant</v>
      </c>
      <c r="B3187" s="366" t="str">
        <f>VLOOKUP(VALUE(D3187),$D$3:F$106,3,FALSE)</f>
        <v>School Nurses</v>
      </c>
      <c r="C3187" t="s">
        <v>314</v>
      </c>
      <c r="D3187">
        <v>860</v>
      </c>
      <c r="E3187" t="s">
        <v>1041</v>
      </c>
      <c r="F3187" t="s">
        <v>360</v>
      </c>
      <c r="G3187" t="s">
        <v>319</v>
      </c>
      <c r="H3187" s="502">
        <v>52920</v>
      </c>
      <c r="I3187" s="415">
        <v>0</v>
      </c>
      <c r="J3187" s="415">
        <v>0</v>
      </c>
      <c r="K3187" s="415">
        <v>0</v>
      </c>
      <c r="L3187" s="415">
        <v>333.34</v>
      </c>
      <c r="M3187" s="415">
        <v>0</v>
      </c>
      <c r="N3187" s="415">
        <v>0</v>
      </c>
      <c r="O3187" s="415">
        <v>1500</v>
      </c>
      <c r="P3187" s="415">
        <v>2000</v>
      </c>
      <c r="Q3187" s="481">
        <f t="shared" si="95"/>
        <v>0</v>
      </c>
    </row>
    <row r="3188" spans="1:17" x14ac:dyDescent="0.3">
      <c r="A3188" s="366" t="str">
        <f>IFERROR(VLOOKUP(RIGHT(E3188,3)+0,[1]SchLocTable!$A$2:$B$47,2,FALSE)," ")</f>
        <v>Bryant</v>
      </c>
      <c r="B3188" s="366" t="str">
        <f>VLOOKUP(VALUE(D3188),$D$3:F$106,3,FALSE)</f>
        <v>School Nurses</v>
      </c>
      <c r="C3188" t="s">
        <v>314</v>
      </c>
      <c r="D3188">
        <v>860</v>
      </c>
      <c r="E3188" t="s">
        <v>1041</v>
      </c>
      <c r="F3188" t="s">
        <v>321</v>
      </c>
      <c r="G3188" t="s">
        <v>319</v>
      </c>
      <c r="H3188" s="502">
        <v>52917</v>
      </c>
      <c r="I3188" s="415">
        <v>14569.776</v>
      </c>
      <c r="J3188" s="415">
        <v>12077</v>
      </c>
      <c r="K3188" s="415">
        <v>11047.82</v>
      </c>
      <c r="L3188" s="415">
        <v>8066.94</v>
      </c>
      <c r="M3188" s="415">
        <v>0</v>
      </c>
      <c r="N3188" s="415">
        <v>0</v>
      </c>
      <c r="O3188" s="415">
        <v>560.12</v>
      </c>
      <c r="P3188" s="415">
        <v>891.7</v>
      </c>
      <c r="Q3188" s="481">
        <f t="shared" si="95"/>
        <v>-2492.7759999999998</v>
      </c>
    </row>
    <row r="3189" spans="1:17" x14ac:dyDescent="0.3">
      <c r="A3189" s="366" t="str">
        <f>IFERROR(VLOOKUP(RIGHT(E3189,3)+0,[1]SchLocTable!$A$2:$B$47,2,FALSE)," ")</f>
        <v>Bryant</v>
      </c>
      <c r="B3189" s="366" t="str">
        <f>VLOOKUP(VALUE(D3189),$D$3:F$106,3,FALSE)</f>
        <v>School Nurses</v>
      </c>
      <c r="C3189" t="s">
        <v>314</v>
      </c>
      <c r="D3189">
        <v>860</v>
      </c>
      <c r="E3189" t="s">
        <v>1041</v>
      </c>
      <c r="F3189" t="s">
        <v>320</v>
      </c>
      <c r="G3189" t="s">
        <v>319</v>
      </c>
      <c r="H3189" s="502">
        <v>52360</v>
      </c>
      <c r="I3189" s="415">
        <v>1049.4918837</v>
      </c>
      <c r="J3189" s="415">
        <v>923</v>
      </c>
      <c r="K3189" s="415">
        <v>947.58</v>
      </c>
      <c r="L3189" s="415">
        <v>666.01</v>
      </c>
      <c r="M3189" s="415">
        <v>0</v>
      </c>
      <c r="N3189" s="415">
        <v>23.96</v>
      </c>
      <c r="O3189" s="415">
        <v>806.3</v>
      </c>
      <c r="P3189" s="415">
        <v>926.45</v>
      </c>
      <c r="Q3189" s="481">
        <f t="shared" si="95"/>
        <v>-126.49188370000002</v>
      </c>
    </row>
    <row r="3190" spans="1:17" x14ac:dyDescent="0.3">
      <c r="A3190" s="366" t="str">
        <f>IFERROR(VLOOKUP(RIGHT(E3190,3)+0,[1]SchLocTable!$A$2:$B$47,2,FALSE)," ")</f>
        <v>Bryant</v>
      </c>
      <c r="B3190" s="366" t="str">
        <f>VLOOKUP(VALUE(D3190),$D$3:F$106,3,FALSE)</f>
        <v>School Nurses</v>
      </c>
      <c r="C3190" t="s">
        <v>314</v>
      </c>
      <c r="D3190">
        <v>860</v>
      </c>
      <c r="E3190" t="s">
        <v>1041</v>
      </c>
      <c r="F3190" t="s">
        <v>392</v>
      </c>
      <c r="G3190" t="s">
        <v>319</v>
      </c>
      <c r="H3190" s="502">
        <v>52504</v>
      </c>
      <c r="I3190" s="415">
        <v>15040.304374680001</v>
      </c>
      <c r="J3190" s="415">
        <v>14218</v>
      </c>
      <c r="K3190" s="415">
        <v>14266.21</v>
      </c>
      <c r="L3190" s="415">
        <v>9881.84</v>
      </c>
      <c r="M3190" s="415">
        <v>0</v>
      </c>
      <c r="N3190" s="415">
        <v>314.35000000000002</v>
      </c>
      <c r="O3190" s="415">
        <v>7761.53</v>
      </c>
      <c r="P3190" s="415">
        <v>8773.1299999999992</v>
      </c>
      <c r="Q3190" s="481">
        <f t="shared" si="95"/>
        <v>-822.30437468000127</v>
      </c>
    </row>
    <row r="3191" spans="1:17" x14ac:dyDescent="0.3">
      <c r="A3191" s="366" t="str">
        <f>IFERROR(VLOOKUP(RIGHT(E3191,3)+0,[1]SchLocTable!$A$2:$B$47,2,FALSE)," ")</f>
        <v>Columbus</v>
      </c>
      <c r="B3191" s="366" t="str">
        <f>VLOOKUP(VALUE(D3191),$D$3:F$106,3,FALSE)</f>
        <v>School Nurses</v>
      </c>
      <c r="C3191" t="s">
        <v>314</v>
      </c>
      <c r="D3191">
        <v>860</v>
      </c>
      <c r="E3191" t="s">
        <v>1042</v>
      </c>
      <c r="F3191" t="s">
        <v>318</v>
      </c>
      <c r="G3191" t="s">
        <v>319</v>
      </c>
      <c r="H3191" s="502">
        <v>51140</v>
      </c>
      <c r="I3191" s="415">
        <v>0</v>
      </c>
      <c r="J3191" s="415">
        <v>0</v>
      </c>
      <c r="K3191" s="415">
        <v>0</v>
      </c>
      <c r="L3191" s="415">
        <v>0</v>
      </c>
      <c r="M3191" s="415">
        <v>4450</v>
      </c>
      <c r="N3191" s="415">
        <v>0</v>
      </c>
      <c r="O3191" s="415">
        <v>1610</v>
      </c>
      <c r="P3191" s="415">
        <v>1540</v>
      </c>
      <c r="Q3191" s="481">
        <f t="shared" si="95"/>
        <v>0</v>
      </c>
    </row>
    <row r="3192" spans="1:17" x14ac:dyDescent="0.3">
      <c r="A3192" s="366" t="str">
        <f>IFERROR(VLOOKUP(RIGHT(E3192,3)+0,[1]SchLocTable!$A$2:$B$47,2,FALSE)," ")</f>
        <v>Columbus</v>
      </c>
      <c r="B3192" s="366" t="str">
        <f>VLOOKUP(VALUE(D3192),$D$3:F$106,3,FALSE)</f>
        <v>School Nurses</v>
      </c>
      <c r="C3192" t="s">
        <v>314</v>
      </c>
      <c r="D3192">
        <v>860</v>
      </c>
      <c r="E3192" t="s">
        <v>1042</v>
      </c>
      <c r="F3192" t="s">
        <v>320</v>
      </c>
      <c r="G3192" t="s">
        <v>319</v>
      </c>
      <c r="H3192" s="502">
        <v>52360</v>
      </c>
      <c r="I3192" s="415">
        <v>0</v>
      </c>
      <c r="J3192" s="415">
        <v>0</v>
      </c>
      <c r="K3192" s="415">
        <v>0</v>
      </c>
      <c r="L3192" s="415">
        <v>0</v>
      </c>
      <c r="M3192" s="415">
        <v>64.540000000000006</v>
      </c>
      <c r="N3192" s="415">
        <v>124.24</v>
      </c>
      <c r="O3192" s="415">
        <v>1003.08</v>
      </c>
      <c r="P3192" s="415">
        <v>855.37</v>
      </c>
      <c r="Q3192" s="481">
        <f t="shared" si="95"/>
        <v>0</v>
      </c>
    </row>
    <row r="3193" spans="1:17" x14ac:dyDescent="0.3">
      <c r="A3193" s="366" t="str">
        <f>IFERROR(VLOOKUP(RIGHT(E3193,3)+0,[1]SchLocTable!$A$2:$B$47,2,FALSE)," ")</f>
        <v>Columbus</v>
      </c>
      <c r="B3193" s="366" t="str">
        <f>VLOOKUP(VALUE(D3193),$D$3:F$106,3,FALSE)</f>
        <v>School Nurses</v>
      </c>
      <c r="C3193" t="s">
        <v>314</v>
      </c>
      <c r="D3193">
        <v>860</v>
      </c>
      <c r="E3193" t="s">
        <v>1042</v>
      </c>
      <c r="F3193" t="s">
        <v>392</v>
      </c>
      <c r="G3193" t="s">
        <v>319</v>
      </c>
      <c r="H3193" s="502">
        <v>52504</v>
      </c>
      <c r="I3193" s="415">
        <v>0</v>
      </c>
      <c r="J3193" s="415">
        <v>0</v>
      </c>
      <c r="K3193" s="415">
        <v>0</v>
      </c>
      <c r="L3193" s="415">
        <v>0</v>
      </c>
      <c r="M3193" s="415">
        <v>928.19</v>
      </c>
      <c r="N3193" s="415">
        <v>1713.69</v>
      </c>
      <c r="O3193" s="415">
        <v>11817.48</v>
      </c>
      <c r="P3193" s="415">
        <v>8778.65</v>
      </c>
      <c r="Q3193" s="481">
        <f t="shared" si="95"/>
        <v>0</v>
      </c>
    </row>
    <row r="3194" spans="1:17" x14ac:dyDescent="0.3">
      <c r="A3194" s="366" t="str">
        <f>IFERROR(VLOOKUP(RIGHT(E3194,3)+0,[1]SchLocTable!$A$2:$B$47,2,FALSE)," ")</f>
        <v>Edison</v>
      </c>
      <c r="B3194" s="366" t="str">
        <f>VLOOKUP(VALUE(D3194),$D$3:F$106,3,FALSE)</f>
        <v>School Nurses</v>
      </c>
      <c r="C3194" t="s">
        <v>314</v>
      </c>
      <c r="D3194">
        <v>860</v>
      </c>
      <c r="E3194" t="s">
        <v>1043</v>
      </c>
      <c r="F3194" t="s">
        <v>316</v>
      </c>
      <c r="G3194" t="s">
        <v>319</v>
      </c>
      <c r="H3194" s="502">
        <v>51000</v>
      </c>
      <c r="I3194" s="415">
        <v>0</v>
      </c>
      <c r="J3194" s="415">
        <v>0</v>
      </c>
      <c r="K3194" s="415">
        <v>0</v>
      </c>
      <c r="L3194" s="415">
        <v>5377.08</v>
      </c>
      <c r="M3194" s="415">
        <v>76854.83</v>
      </c>
      <c r="N3194" s="415">
        <v>69875.33</v>
      </c>
      <c r="O3194" s="415">
        <v>65307.1</v>
      </c>
      <c r="P3194" s="415">
        <v>62653.919999999998</v>
      </c>
      <c r="Q3194" s="481">
        <f t="shared" si="95"/>
        <v>0</v>
      </c>
    </row>
    <row r="3195" spans="1:17" x14ac:dyDescent="0.3">
      <c r="A3195" s="366" t="str">
        <f>IFERROR(VLOOKUP(RIGHT(E3195,3)+0,[1]SchLocTable!$A$2:$B$47,2,FALSE)," ")</f>
        <v>Edison</v>
      </c>
      <c r="B3195" s="366" t="str">
        <f>VLOOKUP(VALUE(D3195),$D$3:F$106,3,FALSE)</f>
        <v>School Nurses</v>
      </c>
      <c r="C3195" t="s">
        <v>314</v>
      </c>
      <c r="D3195">
        <v>860</v>
      </c>
      <c r="E3195" t="s">
        <v>1043</v>
      </c>
      <c r="F3195" t="s">
        <v>321</v>
      </c>
      <c r="G3195" t="s">
        <v>319</v>
      </c>
      <c r="H3195" s="502">
        <v>52917</v>
      </c>
      <c r="I3195" s="415">
        <v>0</v>
      </c>
      <c r="J3195" s="415">
        <v>0</v>
      </c>
      <c r="K3195" s="415">
        <v>0</v>
      </c>
      <c r="L3195" s="415">
        <v>2039.6</v>
      </c>
      <c r="M3195" s="415">
        <v>28294.99</v>
      </c>
      <c r="N3195" s="415">
        <v>25309.07</v>
      </c>
      <c r="O3195" s="415">
        <v>26577.93</v>
      </c>
      <c r="P3195" s="415">
        <v>25590.46</v>
      </c>
      <c r="Q3195" s="481">
        <f t="shared" si="95"/>
        <v>0</v>
      </c>
    </row>
    <row r="3196" spans="1:17" x14ac:dyDescent="0.3">
      <c r="A3196" s="366" t="str">
        <f>IFERROR(VLOOKUP(RIGHT(E3196,3)+0,[1]SchLocTable!$A$2:$B$47,2,FALSE)," ")</f>
        <v>Edison</v>
      </c>
      <c r="B3196" s="366" t="str">
        <f>VLOOKUP(VALUE(D3196),$D$3:F$106,3,FALSE)</f>
        <v>School Nurses</v>
      </c>
      <c r="C3196" t="s">
        <v>314</v>
      </c>
      <c r="D3196">
        <v>860</v>
      </c>
      <c r="E3196" t="s">
        <v>1043</v>
      </c>
      <c r="F3196" t="s">
        <v>318</v>
      </c>
      <c r="G3196" t="s">
        <v>319</v>
      </c>
      <c r="H3196" s="502">
        <v>51140</v>
      </c>
      <c r="I3196" s="415">
        <v>0</v>
      </c>
      <c r="J3196" s="415">
        <v>0</v>
      </c>
      <c r="K3196" s="415">
        <v>0</v>
      </c>
      <c r="L3196" s="415">
        <v>0</v>
      </c>
      <c r="M3196" s="415">
        <v>560</v>
      </c>
      <c r="N3196" s="415">
        <v>490</v>
      </c>
      <c r="O3196" s="415">
        <v>420</v>
      </c>
      <c r="P3196" s="415">
        <v>350</v>
      </c>
      <c r="Q3196" s="481">
        <f t="shared" si="95"/>
        <v>0</v>
      </c>
    </row>
    <row r="3197" spans="1:17" x14ac:dyDescent="0.3">
      <c r="A3197" s="366" t="str">
        <f>IFERROR(VLOOKUP(RIGHT(E3197,3)+0,[1]SchLocTable!$A$2:$B$47,2,FALSE)," ")</f>
        <v>Edison</v>
      </c>
      <c r="B3197" s="366" t="str">
        <f>VLOOKUP(VALUE(D3197),$D$3:F$106,3,FALSE)</f>
        <v>School Nurses</v>
      </c>
      <c r="C3197" t="s">
        <v>314</v>
      </c>
      <c r="D3197">
        <v>860</v>
      </c>
      <c r="E3197" t="s">
        <v>1043</v>
      </c>
      <c r="F3197" t="s">
        <v>320</v>
      </c>
      <c r="G3197" t="s">
        <v>319</v>
      </c>
      <c r="H3197" s="502">
        <v>52360</v>
      </c>
      <c r="I3197" s="415">
        <v>0</v>
      </c>
      <c r="J3197" s="415">
        <v>0</v>
      </c>
      <c r="K3197" s="415">
        <v>0</v>
      </c>
      <c r="L3197" s="415">
        <v>67.430000000000007</v>
      </c>
      <c r="M3197" s="415">
        <v>983.14</v>
      </c>
      <c r="N3197" s="415">
        <v>876.43</v>
      </c>
      <c r="O3197" s="415">
        <v>810.58</v>
      </c>
      <c r="P3197" s="415">
        <v>783.47</v>
      </c>
      <c r="Q3197" s="481">
        <f t="shared" si="95"/>
        <v>0</v>
      </c>
    </row>
    <row r="3198" spans="1:17" x14ac:dyDescent="0.3">
      <c r="A3198" s="366" t="str">
        <f>IFERROR(VLOOKUP(RIGHT(E3198,3)+0,[1]SchLocTable!$A$2:$B$47,2,FALSE)," ")</f>
        <v>Edison</v>
      </c>
      <c r="B3198" s="366" t="str">
        <f>VLOOKUP(VALUE(D3198),$D$3:F$106,3,FALSE)</f>
        <v>School Nurses</v>
      </c>
      <c r="C3198" t="s">
        <v>314</v>
      </c>
      <c r="D3198">
        <v>860</v>
      </c>
      <c r="E3198" t="s">
        <v>1043</v>
      </c>
      <c r="F3198" t="s">
        <v>392</v>
      </c>
      <c r="G3198" t="s">
        <v>319</v>
      </c>
      <c r="H3198" s="502">
        <v>52504</v>
      </c>
      <c r="I3198" s="415">
        <v>0</v>
      </c>
      <c r="J3198" s="415">
        <v>0</v>
      </c>
      <c r="K3198" s="415">
        <v>0</v>
      </c>
      <c r="L3198" s="415">
        <v>1096.4000000000001</v>
      </c>
      <c r="M3198" s="415">
        <v>16594.34</v>
      </c>
      <c r="N3198" s="415">
        <v>13443.14</v>
      </c>
      <c r="O3198" s="415">
        <v>10823.68</v>
      </c>
      <c r="P3198" s="415">
        <v>9002.26</v>
      </c>
      <c r="Q3198" s="481">
        <f t="shared" si="95"/>
        <v>0</v>
      </c>
    </row>
    <row r="3199" spans="1:17" x14ac:dyDescent="0.3">
      <c r="A3199" s="366" t="str">
        <f>IFERROR(VLOOKUP(RIGHT(E3199,3)+0,[1]SchLocTable!$A$2:$B$47,2,FALSE)," ")</f>
        <v>Marin</v>
      </c>
      <c r="B3199" s="366" t="str">
        <f>VLOOKUP(VALUE(D3199),$D$3:F$106,3,FALSE)</f>
        <v>School Nurses</v>
      </c>
      <c r="C3199" t="s">
        <v>314</v>
      </c>
      <c r="D3199">
        <v>860</v>
      </c>
      <c r="E3199" t="s">
        <v>1044</v>
      </c>
      <c r="F3199" t="s">
        <v>316</v>
      </c>
      <c r="G3199" t="s">
        <v>319</v>
      </c>
      <c r="H3199" s="502">
        <v>51000</v>
      </c>
      <c r="I3199" s="415">
        <v>0</v>
      </c>
      <c r="J3199" s="415">
        <v>-1677.92</v>
      </c>
      <c r="K3199" s="415">
        <v>18934.27</v>
      </c>
      <c r="L3199" s="415">
        <v>31791.19</v>
      </c>
      <c r="M3199" s="415">
        <v>85892.03</v>
      </c>
      <c r="N3199" s="415">
        <v>60929.85</v>
      </c>
      <c r="O3199" s="415">
        <v>0</v>
      </c>
      <c r="P3199" s="415">
        <v>10833.84</v>
      </c>
      <c r="Q3199" s="481">
        <f t="shared" ref="Q3199:Q3262" si="96">J3199-I3199</f>
        <v>-1677.92</v>
      </c>
    </row>
    <row r="3200" spans="1:17" x14ac:dyDescent="0.3">
      <c r="A3200" s="366" t="str">
        <f>IFERROR(VLOOKUP(RIGHT(E3200,3)+0,[1]SchLocTable!$A$2:$B$47,2,FALSE)," ")</f>
        <v>Marin</v>
      </c>
      <c r="B3200" s="366" t="str">
        <f>VLOOKUP(VALUE(D3200),$D$3:F$106,3,FALSE)</f>
        <v>School Nurses</v>
      </c>
      <c r="C3200" t="s">
        <v>314</v>
      </c>
      <c r="D3200">
        <v>860</v>
      </c>
      <c r="E3200" t="s">
        <v>1044</v>
      </c>
      <c r="F3200" t="s">
        <v>360</v>
      </c>
      <c r="G3200" t="s">
        <v>319</v>
      </c>
      <c r="H3200" s="502">
        <v>52920</v>
      </c>
      <c r="I3200" s="415">
        <v>2000</v>
      </c>
      <c r="J3200" s="415">
        <v>0</v>
      </c>
      <c r="K3200" s="415">
        <v>1000</v>
      </c>
      <c r="L3200" s="415">
        <v>1000</v>
      </c>
      <c r="M3200" s="415">
        <v>0</v>
      </c>
      <c r="N3200" s="415">
        <v>0</v>
      </c>
      <c r="O3200" s="415">
        <v>0</v>
      </c>
      <c r="P3200" s="415">
        <v>0</v>
      </c>
      <c r="Q3200" s="481">
        <f t="shared" si="96"/>
        <v>-2000</v>
      </c>
    </row>
    <row r="3201" spans="1:17" x14ac:dyDescent="0.3">
      <c r="A3201" s="366" t="str">
        <f>IFERROR(VLOOKUP(RIGHT(E3201,3)+0,[1]SchLocTable!$A$2:$B$47,2,FALSE)," ")</f>
        <v>Marin</v>
      </c>
      <c r="B3201" s="366" t="str">
        <f>VLOOKUP(VALUE(D3201),$D$3:F$106,3,FALSE)</f>
        <v>School Nurses</v>
      </c>
      <c r="C3201" t="s">
        <v>314</v>
      </c>
      <c r="D3201">
        <v>860</v>
      </c>
      <c r="E3201" t="s">
        <v>1044</v>
      </c>
      <c r="F3201" t="s">
        <v>321</v>
      </c>
      <c r="G3201" t="s">
        <v>319</v>
      </c>
      <c r="H3201" s="502">
        <v>52917</v>
      </c>
      <c r="I3201" s="415">
        <v>0</v>
      </c>
      <c r="J3201" s="415">
        <v>0</v>
      </c>
      <c r="K3201" s="415">
        <v>0</v>
      </c>
      <c r="L3201" s="415">
        <v>0</v>
      </c>
      <c r="M3201" s="415">
        <v>12076.66</v>
      </c>
      <c r="N3201" s="415">
        <v>8447.49</v>
      </c>
      <c r="O3201" s="415">
        <v>0</v>
      </c>
      <c r="P3201" s="415">
        <v>1522.17</v>
      </c>
      <c r="Q3201" s="481">
        <f t="shared" si="96"/>
        <v>0</v>
      </c>
    </row>
    <row r="3202" spans="1:17" x14ac:dyDescent="0.3">
      <c r="A3202" s="366" t="str">
        <f>IFERROR(VLOOKUP(RIGHT(E3202,3)+0,[1]SchLocTable!$A$2:$B$47,2,FALSE)," ")</f>
        <v>Marin</v>
      </c>
      <c r="B3202" s="366" t="str">
        <f>VLOOKUP(VALUE(D3202),$D$3:F$106,3,FALSE)</f>
        <v>School Nurses</v>
      </c>
      <c r="C3202" t="s">
        <v>314</v>
      </c>
      <c r="D3202">
        <v>860</v>
      </c>
      <c r="E3202" t="s">
        <v>1044</v>
      </c>
      <c r="F3202" t="s">
        <v>318</v>
      </c>
      <c r="G3202" t="s">
        <v>319</v>
      </c>
      <c r="H3202" s="502">
        <v>51140</v>
      </c>
      <c r="I3202" s="415">
        <v>0</v>
      </c>
      <c r="J3202" s="415">
        <v>0</v>
      </c>
      <c r="K3202" s="415">
        <v>0</v>
      </c>
      <c r="L3202" s="415">
        <v>0</v>
      </c>
      <c r="M3202" s="415">
        <v>0</v>
      </c>
      <c r="N3202" s="415">
        <v>1680</v>
      </c>
      <c r="O3202" s="415">
        <v>0</v>
      </c>
      <c r="P3202" s="415">
        <v>0</v>
      </c>
      <c r="Q3202" s="481">
        <f t="shared" si="96"/>
        <v>0</v>
      </c>
    </row>
    <row r="3203" spans="1:17" x14ac:dyDescent="0.3">
      <c r="A3203" s="366" t="str">
        <f>IFERROR(VLOOKUP(RIGHT(E3203,3)+0,[1]SchLocTable!$A$2:$B$47,2,FALSE)," ")</f>
        <v>Marin</v>
      </c>
      <c r="B3203" s="366" t="str">
        <f>VLOOKUP(VALUE(D3203),$D$3:F$106,3,FALSE)</f>
        <v>School Nurses</v>
      </c>
      <c r="C3203" t="s">
        <v>314</v>
      </c>
      <c r="D3203">
        <v>860</v>
      </c>
      <c r="E3203" t="s">
        <v>1044</v>
      </c>
      <c r="F3203" t="s">
        <v>320</v>
      </c>
      <c r="G3203" t="s">
        <v>319</v>
      </c>
      <c r="H3203" s="502">
        <v>52360</v>
      </c>
      <c r="I3203" s="415">
        <v>29</v>
      </c>
      <c r="J3203" s="415">
        <v>-24.32</v>
      </c>
      <c r="K3203" s="415">
        <v>289.07</v>
      </c>
      <c r="L3203" s="415">
        <v>475.47</v>
      </c>
      <c r="M3203" s="415">
        <v>1189.72</v>
      </c>
      <c r="N3203" s="415">
        <v>873.67</v>
      </c>
      <c r="O3203" s="415">
        <v>0</v>
      </c>
      <c r="P3203" s="415">
        <v>150.1</v>
      </c>
      <c r="Q3203" s="481">
        <f t="shared" si="96"/>
        <v>-53.32</v>
      </c>
    </row>
    <row r="3204" spans="1:17" x14ac:dyDescent="0.3">
      <c r="A3204" s="366" t="str">
        <f>IFERROR(VLOOKUP(RIGHT(E3204,3)+0,[1]SchLocTable!$A$2:$B$47,2,FALSE)," ")</f>
        <v>Marin</v>
      </c>
      <c r="B3204" s="366" t="str">
        <f>VLOOKUP(VALUE(D3204),$D$3:F$106,3,FALSE)</f>
        <v>School Nurses</v>
      </c>
      <c r="C3204" t="s">
        <v>314</v>
      </c>
      <c r="D3204">
        <v>860</v>
      </c>
      <c r="E3204" t="s">
        <v>1044</v>
      </c>
      <c r="F3204" t="s">
        <v>392</v>
      </c>
      <c r="G3204" t="s">
        <v>319</v>
      </c>
      <c r="H3204" s="502">
        <v>52504</v>
      </c>
      <c r="I3204" s="415">
        <v>415.6</v>
      </c>
      <c r="J3204" s="415">
        <v>-348.67</v>
      </c>
      <c r="K3204" s="415">
        <v>3367.7</v>
      </c>
      <c r="L3204" s="415">
        <v>0</v>
      </c>
      <c r="M3204" s="415">
        <v>16835.37</v>
      </c>
      <c r="N3204" s="415">
        <v>11962.31</v>
      </c>
      <c r="O3204" s="415">
        <v>0</v>
      </c>
      <c r="P3204" s="415">
        <v>1415.79</v>
      </c>
      <c r="Q3204" s="481">
        <f t="shared" si="96"/>
        <v>-764.27</v>
      </c>
    </row>
    <row r="3205" spans="1:17" x14ac:dyDescent="0.3">
      <c r="A3205" s="366" t="str">
        <f>IFERROR(VLOOKUP(RIGHT(E3205,3)+0,[1]SchLocTable!$A$2:$B$47,2,FALSE)," ")</f>
        <v>Marin</v>
      </c>
      <c r="B3205" s="366" t="str">
        <f>VLOOKUP(VALUE(D3205),$D$3:F$106,3,FALSE)</f>
        <v>School Nurses</v>
      </c>
      <c r="C3205" t="s">
        <v>314</v>
      </c>
      <c r="D3205">
        <v>860</v>
      </c>
      <c r="E3205" t="s">
        <v>1044</v>
      </c>
      <c r="F3205" t="s">
        <v>324</v>
      </c>
      <c r="G3205" t="s">
        <v>319</v>
      </c>
      <c r="H3205" s="502">
        <v>52385</v>
      </c>
      <c r="I3205" s="415">
        <v>0</v>
      </c>
      <c r="J3205" s="415">
        <v>0</v>
      </c>
      <c r="K3205" s="415">
        <v>79.83</v>
      </c>
      <c r="L3205" s="415">
        <v>2033.05</v>
      </c>
      <c r="M3205" s="415">
        <v>0</v>
      </c>
      <c r="N3205" s="415">
        <v>0</v>
      </c>
      <c r="O3205" s="415">
        <v>0</v>
      </c>
      <c r="P3205" s="415">
        <v>0</v>
      </c>
      <c r="Q3205" s="481">
        <f t="shared" si="96"/>
        <v>0</v>
      </c>
    </row>
    <row r="3206" spans="1:17" x14ac:dyDescent="0.3">
      <c r="A3206" s="366" t="str">
        <f>IFERROR(VLOOKUP(RIGHT(E3206,3)+0,[1]SchLocTable!$A$2:$B$47,2,FALSE)," ")</f>
        <v>Hall</v>
      </c>
      <c r="B3206" s="366" t="str">
        <f>VLOOKUP(VALUE(D3206),$D$3:F$106,3,FALSE)</f>
        <v>School Nurses</v>
      </c>
      <c r="C3206" t="s">
        <v>314</v>
      </c>
      <c r="D3206">
        <v>860</v>
      </c>
      <c r="E3206" t="s">
        <v>1045</v>
      </c>
      <c r="F3206" t="s">
        <v>1036</v>
      </c>
      <c r="G3206" t="s">
        <v>319</v>
      </c>
      <c r="H3206" s="502">
        <v>53905</v>
      </c>
      <c r="I3206" s="415">
        <v>515</v>
      </c>
      <c r="J3206" s="415">
        <v>500</v>
      </c>
      <c r="K3206" s="415">
        <v>500</v>
      </c>
      <c r="L3206" s="415">
        <v>500</v>
      </c>
      <c r="M3206" s="415">
        <v>500</v>
      </c>
      <c r="N3206" s="415">
        <v>500</v>
      </c>
      <c r="O3206" s="415">
        <v>500</v>
      </c>
      <c r="P3206" s="415">
        <v>500</v>
      </c>
      <c r="Q3206" s="481">
        <f t="shared" si="96"/>
        <v>-15</v>
      </c>
    </row>
    <row r="3207" spans="1:17" x14ac:dyDescent="0.3">
      <c r="A3207" s="366" t="str">
        <f>IFERROR(VLOOKUP(RIGHT(E3207,3)+0,[1]SchLocTable!$A$2:$B$47,2,FALSE)," ")</f>
        <v>Hall</v>
      </c>
      <c r="B3207" s="366" t="str">
        <f>VLOOKUP(VALUE(D3207),$D$3:F$106,3,FALSE)</f>
        <v>School Nurses</v>
      </c>
      <c r="C3207" t="s">
        <v>314</v>
      </c>
      <c r="D3207">
        <v>860</v>
      </c>
      <c r="E3207" t="s">
        <v>1045</v>
      </c>
      <c r="F3207" t="s">
        <v>316</v>
      </c>
      <c r="G3207" t="s">
        <v>319</v>
      </c>
      <c r="H3207" s="502">
        <v>51000</v>
      </c>
      <c r="I3207" s="415">
        <v>0</v>
      </c>
      <c r="J3207" s="415">
        <v>3600.47</v>
      </c>
      <c r="K3207" s="415">
        <v>80897.850000000006</v>
      </c>
      <c r="L3207" s="415">
        <v>61836.42</v>
      </c>
      <c r="M3207" s="415">
        <v>76854.83</v>
      </c>
      <c r="N3207" s="415">
        <v>70127.17</v>
      </c>
      <c r="O3207" s="415">
        <v>63555.61</v>
      </c>
      <c r="P3207" s="415">
        <v>63799.12</v>
      </c>
      <c r="Q3207" s="481">
        <f t="shared" si="96"/>
        <v>3600.47</v>
      </c>
    </row>
    <row r="3208" spans="1:17" x14ac:dyDescent="0.3">
      <c r="A3208" s="366" t="str">
        <f>IFERROR(VLOOKUP(RIGHT(E3208,3)+0,[1]SchLocTable!$A$2:$B$47,2,FALSE)," ")</f>
        <v>Hall</v>
      </c>
      <c r="B3208" s="366" t="str">
        <f>VLOOKUP(VALUE(D3208),$D$3:F$106,3,FALSE)</f>
        <v>School Nurses</v>
      </c>
      <c r="C3208" t="s">
        <v>314</v>
      </c>
      <c r="D3208">
        <v>860</v>
      </c>
      <c r="E3208" t="s">
        <v>1045</v>
      </c>
      <c r="F3208" t="s">
        <v>321</v>
      </c>
      <c r="G3208" t="s">
        <v>319</v>
      </c>
      <c r="H3208" s="502">
        <v>52917</v>
      </c>
      <c r="I3208" s="415">
        <v>0</v>
      </c>
      <c r="J3208" s="415">
        <v>0</v>
      </c>
      <c r="K3208" s="415">
        <v>31513.67</v>
      </c>
      <c r="L3208" s="415">
        <v>24070.14</v>
      </c>
      <c r="M3208" s="415">
        <v>28702.31</v>
      </c>
      <c r="N3208" s="415">
        <v>26312.2</v>
      </c>
      <c r="O3208" s="415">
        <v>27607.7</v>
      </c>
      <c r="P3208" s="415">
        <v>26257.43</v>
      </c>
      <c r="Q3208" s="481">
        <f t="shared" si="96"/>
        <v>0</v>
      </c>
    </row>
    <row r="3209" spans="1:17" x14ac:dyDescent="0.3">
      <c r="A3209" s="366" t="str">
        <f>IFERROR(VLOOKUP(RIGHT(E3209,3)+0,[1]SchLocTable!$A$2:$B$47,2,FALSE)," ")</f>
        <v>Hall</v>
      </c>
      <c r="B3209" s="366" t="str">
        <f>VLOOKUP(VALUE(D3209),$D$3:F$106,3,FALSE)</f>
        <v>School Nurses</v>
      </c>
      <c r="C3209" t="s">
        <v>314</v>
      </c>
      <c r="D3209">
        <v>860</v>
      </c>
      <c r="E3209" t="s">
        <v>1045</v>
      </c>
      <c r="F3209" t="s">
        <v>318</v>
      </c>
      <c r="G3209" t="s">
        <v>319</v>
      </c>
      <c r="H3209" s="502">
        <v>51140</v>
      </c>
      <c r="I3209" s="415">
        <v>886.64</v>
      </c>
      <c r="J3209" s="415">
        <v>886.64</v>
      </c>
      <c r="K3209" s="415">
        <v>1260</v>
      </c>
      <c r="L3209" s="415">
        <v>1190</v>
      </c>
      <c r="M3209" s="415">
        <v>1120</v>
      </c>
      <c r="N3209" s="415">
        <v>1050</v>
      </c>
      <c r="O3209" s="415">
        <v>980</v>
      </c>
      <c r="P3209" s="415">
        <v>910</v>
      </c>
      <c r="Q3209" s="481">
        <f t="shared" si="96"/>
        <v>0</v>
      </c>
    </row>
    <row r="3210" spans="1:17" x14ac:dyDescent="0.3">
      <c r="A3210" s="366" t="str">
        <f>IFERROR(VLOOKUP(RIGHT(E3210,3)+0,[1]SchLocTable!$A$2:$B$47,2,FALSE)," ")</f>
        <v>Hall</v>
      </c>
      <c r="B3210" s="366" t="str">
        <f>VLOOKUP(VALUE(D3210),$D$3:F$106,3,FALSE)</f>
        <v>School Nurses</v>
      </c>
      <c r="C3210" t="s">
        <v>314</v>
      </c>
      <c r="D3210">
        <v>860</v>
      </c>
      <c r="E3210" t="s">
        <v>1045</v>
      </c>
      <c r="F3210" t="s">
        <v>320</v>
      </c>
      <c r="G3210" t="s">
        <v>319</v>
      </c>
      <c r="H3210" s="502">
        <v>52360</v>
      </c>
      <c r="I3210" s="415">
        <v>0</v>
      </c>
      <c r="J3210" s="415">
        <v>65.069999999999993</v>
      </c>
      <c r="K3210" s="415">
        <v>1051.1199999999999</v>
      </c>
      <c r="L3210" s="415">
        <v>808.93</v>
      </c>
      <c r="M3210" s="415">
        <v>1004.42</v>
      </c>
      <c r="N3210" s="415">
        <v>918.03</v>
      </c>
      <c r="O3210" s="415">
        <v>817.39</v>
      </c>
      <c r="P3210" s="415">
        <v>825.13</v>
      </c>
      <c r="Q3210" s="481">
        <f t="shared" si="96"/>
        <v>65.069999999999993</v>
      </c>
    </row>
    <row r="3211" spans="1:17" x14ac:dyDescent="0.3">
      <c r="A3211" s="366" t="str">
        <f>IFERROR(VLOOKUP(RIGHT(E3211,3)+0,[1]SchLocTable!$A$2:$B$47,2,FALSE)," ")</f>
        <v>Hall</v>
      </c>
      <c r="B3211" s="366" t="str">
        <f>VLOOKUP(VALUE(D3211),$D$3:F$106,3,FALSE)</f>
        <v>School Nurses</v>
      </c>
      <c r="C3211" t="s">
        <v>314</v>
      </c>
      <c r="D3211">
        <v>860</v>
      </c>
      <c r="E3211" t="s">
        <v>1045</v>
      </c>
      <c r="F3211" t="s">
        <v>392</v>
      </c>
      <c r="G3211" t="s">
        <v>319</v>
      </c>
      <c r="H3211" s="502">
        <v>52504</v>
      </c>
      <c r="I3211" s="415">
        <v>0</v>
      </c>
      <c r="J3211" s="415">
        <v>184.24</v>
      </c>
      <c r="K3211" s="415">
        <v>16916.310000000001</v>
      </c>
      <c r="L3211" s="415">
        <v>12853.93</v>
      </c>
      <c r="M3211" s="415">
        <v>16715.189999999999</v>
      </c>
      <c r="N3211" s="415">
        <v>13597.56</v>
      </c>
      <c r="O3211" s="415">
        <v>10628.59</v>
      </c>
      <c r="P3211" s="415">
        <v>9245.1200000000008</v>
      </c>
      <c r="Q3211" s="481">
        <f t="shared" si="96"/>
        <v>184.24</v>
      </c>
    </row>
    <row r="3212" spans="1:17" x14ac:dyDescent="0.3">
      <c r="A3212" s="366" t="str">
        <f>IFERROR(VLOOKUP(RIGHT(E3212,3)+0,[1]SchLocTable!$A$2:$B$47,2,FALSE)," ")</f>
        <v>Hallen</v>
      </c>
      <c r="B3212" s="366" t="str">
        <f>VLOOKUP(VALUE(D3212),$D$3:F$106,3,FALSE)</f>
        <v>School Nurses</v>
      </c>
      <c r="C3212" t="s">
        <v>314</v>
      </c>
      <c r="D3212">
        <v>860</v>
      </c>
      <c r="E3212" t="s">
        <v>1046</v>
      </c>
      <c r="F3212" t="s">
        <v>316</v>
      </c>
      <c r="G3212">
        <v>1</v>
      </c>
      <c r="H3212" s="502">
        <v>51000</v>
      </c>
      <c r="I3212" s="415">
        <v>69294.326399999991</v>
      </c>
      <c r="J3212" s="415">
        <v>59512.32</v>
      </c>
      <c r="K3212" s="415">
        <v>27295.42</v>
      </c>
      <c r="L3212" s="415">
        <v>0</v>
      </c>
      <c r="M3212" s="415">
        <v>25629.61</v>
      </c>
      <c r="N3212" s="415">
        <v>52347.81</v>
      </c>
      <c r="O3212" s="415">
        <v>15425.3</v>
      </c>
      <c r="P3212" s="415">
        <v>53122.17</v>
      </c>
      <c r="Q3212" s="481">
        <f t="shared" si="96"/>
        <v>-9782.0063999999911</v>
      </c>
    </row>
    <row r="3213" spans="1:17" x14ac:dyDescent="0.3">
      <c r="A3213" s="366" t="str">
        <f>IFERROR(VLOOKUP(RIGHT(E3213,3)+0,[1]SchLocTable!$A$2:$B$47,2,FALSE)," ")</f>
        <v>Hallen</v>
      </c>
      <c r="B3213" s="366" t="str">
        <f>VLOOKUP(VALUE(D3213),$D$3:F$106,3,FALSE)</f>
        <v>School Nurses</v>
      </c>
      <c r="C3213" t="s">
        <v>314</v>
      </c>
      <c r="D3213">
        <v>860</v>
      </c>
      <c r="E3213" t="s">
        <v>1046</v>
      </c>
      <c r="F3213" t="s">
        <v>321</v>
      </c>
      <c r="G3213" t="s">
        <v>319</v>
      </c>
      <c r="H3213" s="502">
        <v>52917</v>
      </c>
      <c r="I3213" s="415">
        <v>0</v>
      </c>
      <c r="J3213" s="415">
        <v>0</v>
      </c>
      <c r="K3213" s="415">
        <v>0</v>
      </c>
      <c r="L3213" s="415">
        <v>0</v>
      </c>
      <c r="M3213" s="415">
        <v>3865.26</v>
      </c>
      <c r="N3213" s="415">
        <v>8931.33</v>
      </c>
      <c r="O3213" s="415">
        <v>216.2</v>
      </c>
      <c r="P3213" s="415">
        <v>5111.32</v>
      </c>
      <c r="Q3213" s="481">
        <f t="shared" si="96"/>
        <v>0</v>
      </c>
    </row>
    <row r="3214" spans="1:17" x14ac:dyDescent="0.3">
      <c r="A3214" s="366" t="str">
        <f>IFERROR(VLOOKUP(RIGHT(E3214,3)+0,[1]SchLocTable!$A$2:$B$47,2,FALSE)," ")</f>
        <v>Hallen</v>
      </c>
      <c r="B3214" s="366" t="str">
        <f>VLOOKUP(VALUE(D3214),$D$3:F$106,3,FALSE)</f>
        <v>School Nurses</v>
      </c>
      <c r="C3214" t="s">
        <v>314</v>
      </c>
      <c r="D3214">
        <v>860</v>
      </c>
      <c r="E3214" t="s">
        <v>1046</v>
      </c>
      <c r="F3214" t="s">
        <v>320</v>
      </c>
      <c r="G3214" t="s">
        <v>319</v>
      </c>
      <c r="H3214" s="502">
        <v>52360</v>
      </c>
      <c r="I3214" s="415">
        <v>1004.7677327999999</v>
      </c>
      <c r="J3214" s="415">
        <v>856.29</v>
      </c>
      <c r="K3214" s="415">
        <v>395.76</v>
      </c>
      <c r="L3214" s="415">
        <v>0</v>
      </c>
      <c r="M3214" s="415">
        <v>364.99</v>
      </c>
      <c r="N3214" s="415">
        <v>720.25</v>
      </c>
      <c r="O3214" s="415">
        <v>223.67</v>
      </c>
      <c r="P3214" s="415">
        <v>780.83</v>
      </c>
      <c r="Q3214" s="481">
        <f t="shared" si="96"/>
        <v>-148.4777327999999</v>
      </c>
    </row>
    <row r="3215" spans="1:17" x14ac:dyDescent="0.3">
      <c r="A3215" s="366" t="str">
        <f>IFERROR(VLOOKUP(RIGHT(E3215,3)+0,[1]SchLocTable!$A$2:$B$47,2,FALSE)," ")</f>
        <v>Hallen</v>
      </c>
      <c r="B3215" s="366" t="str">
        <f>VLOOKUP(VALUE(D3215),$D$3:F$106,3,FALSE)</f>
        <v>School Nurses</v>
      </c>
      <c r="C3215" t="s">
        <v>314</v>
      </c>
      <c r="D3215">
        <v>860</v>
      </c>
      <c r="E3215" t="s">
        <v>1046</v>
      </c>
      <c r="F3215" t="s">
        <v>392</v>
      </c>
      <c r="G3215" t="s">
        <v>319</v>
      </c>
      <c r="H3215" s="502">
        <v>52504</v>
      </c>
      <c r="I3215" s="415">
        <v>14399.36102592</v>
      </c>
      <c r="J3215" s="415">
        <v>12842.75</v>
      </c>
      <c r="K3215" s="415">
        <v>5623.25</v>
      </c>
      <c r="L3215" s="415">
        <v>0</v>
      </c>
      <c r="M3215" s="415">
        <v>5540.52</v>
      </c>
      <c r="N3215" s="415">
        <v>4097.57</v>
      </c>
      <c r="O3215" s="415">
        <v>2528.1799999999998</v>
      </c>
      <c r="P3215" s="415">
        <v>7590.91</v>
      </c>
      <c r="Q3215" s="481">
        <f t="shared" si="96"/>
        <v>-1556.6110259199995</v>
      </c>
    </row>
    <row r="3216" spans="1:17" x14ac:dyDescent="0.3">
      <c r="A3216" s="366" t="str">
        <f>IFERROR(VLOOKUP(RIGHT(E3216,3)+0,[1]SchLocTable!$A$2:$B$47,2,FALSE)," ")</f>
        <v>Hallen</v>
      </c>
      <c r="B3216" s="366" t="str">
        <f>VLOOKUP(VALUE(D3216),$D$3:F$106,3,FALSE)</f>
        <v>School Nurses</v>
      </c>
      <c r="C3216" t="s">
        <v>314</v>
      </c>
      <c r="D3216">
        <v>860</v>
      </c>
      <c r="E3216" t="s">
        <v>1046</v>
      </c>
      <c r="F3216" t="s">
        <v>419</v>
      </c>
      <c r="G3216" t="s">
        <v>319</v>
      </c>
      <c r="H3216" s="502">
        <v>51318</v>
      </c>
      <c r="I3216" s="415">
        <v>0</v>
      </c>
      <c r="J3216" s="415">
        <v>0</v>
      </c>
      <c r="K3216" s="415">
        <v>0</v>
      </c>
      <c r="L3216" s="415">
        <v>0</v>
      </c>
      <c r="M3216" s="415">
        <v>836.33</v>
      </c>
      <c r="N3216" s="415">
        <v>0</v>
      </c>
      <c r="O3216" s="415">
        <v>0</v>
      </c>
      <c r="P3216" s="415">
        <v>0</v>
      </c>
      <c r="Q3216" s="481">
        <f t="shared" si="96"/>
        <v>0</v>
      </c>
    </row>
    <row r="3217" spans="1:17" x14ac:dyDescent="0.3">
      <c r="A3217" s="366" t="str">
        <f>IFERROR(VLOOKUP(RIGHT(E3217,3)+0,[1]SchLocTable!$A$2:$B$47,2,FALSE)," ")</f>
        <v>Hooker</v>
      </c>
      <c r="B3217" s="366" t="str">
        <f>VLOOKUP(VALUE(D3217),$D$3:F$106,3,FALSE)</f>
        <v>School Nurses</v>
      </c>
      <c r="C3217" t="s">
        <v>314</v>
      </c>
      <c r="D3217">
        <v>860</v>
      </c>
      <c r="E3217" t="s">
        <v>1047</v>
      </c>
      <c r="F3217" t="s">
        <v>1036</v>
      </c>
      <c r="G3217" t="s">
        <v>319</v>
      </c>
      <c r="H3217" s="502">
        <v>53905</v>
      </c>
      <c r="I3217" s="415">
        <v>515</v>
      </c>
      <c r="J3217" s="415">
        <v>500</v>
      </c>
      <c r="K3217" s="415">
        <v>0</v>
      </c>
      <c r="L3217" s="415">
        <v>0</v>
      </c>
      <c r="M3217" s="415">
        <v>500</v>
      </c>
      <c r="N3217" s="415">
        <v>500</v>
      </c>
      <c r="O3217" s="415">
        <v>500</v>
      </c>
      <c r="P3217" s="415">
        <v>500</v>
      </c>
      <c r="Q3217" s="481">
        <f t="shared" si="96"/>
        <v>-15</v>
      </c>
    </row>
    <row r="3218" spans="1:17" x14ac:dyDescent="0.3">
      <c r="A3218" s="366" t="str">
        <f>IFERROR(VLOOKUP(RIGHT(E3218,3)+0,[1]SchLocTable!$A$2:$B$47,2,FALSE)," ")</f>
        <v>Hooker</v>
      </c>
      <c r="B3218" s="366" t="str">
        <f>VLOOKUP(VALUE(D3218),$D$3:F$106,3,FALSE)</f>
        <v>School Nurses</v>
      </c>
      <c r="C3218" t="s">
        <v>314</v>
      </c>
      <c r="D3218">
        <v>860</v>
      </c>
      <c r="E3218" t="s">
        <v>1047</v>
      </c>
      <c r="F3218" t="s">
        <v>316</v>
      </c>
      <c r="G3218">
        <v>1</v>
      </c>
      <c r="H3218" s="502">
        <v>51000</v>
      </c>
      <c r="I3218" s="415">
        <v>72378.750599999999</v>
      </c>
      <c r="J3218" s="415">
        <v>68424</v>
      </c>
      <c r="K3218" s="415">
        <v>69023.02</v>
      </c>
      <c r="L3218" s="415">
        <v>53179.65</v>
      </c>
      <c r="M3218" s="415">
        <v>78199.100000000006</v>
      </c>
      <c r="N3218" s="415">
        <v>69952.639999999999</v>
      </c>
      <c r="O3218" s="415">
        <v>70501.179999999993</v>
      </c>
      <c r="P3218" s="415">
        <v>61359.82</v>
      </c>
      <c r="Q3218" s="481">
        <f t="shared" si="96"/>
        <v>-3954.7505999999994</v>
      </c>
    </row>
    <row r="3219" spans="1:17" x14ac:dyDescent="0.3">
      <c r="A3219" s="366" t="str">
        <f>IFERROR(VLOOKUP(RIGHT(E3219,3)+0,[1]SchLocTable!$A$2:$B$47,2,FALSE)," ")</f>
        <v>Hooker</v>
      </c>
      <c r="B3219" s="366" t="str">
        <f>VLOOKUP(VALUE(D3219),$D$3:F$106,3,FALSE)</f>
        <v>School Nurses</v>
      </c>
      <c r="C3219" t="s">
        <v>314</v>
      </c>
      <c r="D3219">
        <v>860</v>
      </c>
      <c r="E3219" t="s">
        <v>1047</v>
      </c>
      <c r="F3219" t="s">
        <v>321</v>
      </c>
      <c r="G3219" t="s">
        <v>319</v>
      </c>
      <c r="H3219" s="502">
        <v>52917</v>
      </c>
      <c r="I3219" s="415">
        <v>14569.776</v>
      </c>
      <c r="J3219" s="415">
        <v>12077</v>
      </c>
      <c r="K3219" s="415">
        <v>11047.82</v>
      </c>
      <c r="L3219" s="415">
        <v>8915.94</v>
      </c>
      <c r="M3219" s="415">
        <v>28769.37</v>
      </c>
      <c r="N3219" s="415">
        <v>22448.71</v>
      </c>
      <c r="O3219" s="415">
        <v>22355.54</v>
      </c>
      <c r="P3219" s="415">
        <v>21226.06</v>
      </c>
      <c r="Q3219" s="481">
        <f t="shared" si="96"/>
        <v>-2492.7759999999998</v>
      </c>
    </row>
    <row r="3220" spans="1:17" x14ac:dyDescent="0.3">
      <c r="A3220" s="366" t="str">
        <f>IFERROR(VLOOKUP(RIGHT(E3220,3)+0,[1]SchLocTable!$A$2:$B$47,2,FALSE)," ")</f>
        <v>Hooker</v>
      </c>
      <c r="B3220" s="366" t="str">
        <f>VLOOKUP(VALUE(D3220),$D$3:F$106,3,FALSE)</f>
        <v>School Nurses</v>
      </c>
      <c r="C3220" t="s">
        <v>314</v>
      </c>
      <c r="D3220">
        <v>860</v>
      </c>
      <c r="E3220" t="s">
        <v>1047</v>
      </c>
      <c r="F3220" t="s">
        <v>318</v>
      </c>
      <c r="G3220" t="s">
        <v>319</v>
      </c>
      <c r="H3220" s="502">
        <v>51140</v>
      </c>
      <c r="I3220" s="415">
        <v>0</v>
      </c>
      <c r="J3220" s="415">
        <v>0</v>
      </c>
      <c r="K3220" s="415">
        <v>0</v>
      </c>
      <c r="L3220" s="415">
        <v>0</v>
      </c>
      <c r="M3220" s="415">
        <v>490</v>
      </c>
      <c r="N3220" s="415">
        <v>420</v>
      </c>
      <c r="O3220" s="415">
        <v>350</v>
      </c>
      <c r="P3220" s="415">
        <v>0</v>
      </c>
      <c r="Q3220" s="481">
        <f t="shared" si="96"/>
        <v>0</v>
      </c>
    </row>
    <row r="3221" spans="1:17" x14ac:dyDescent="0.3">
      <c r="A3221" s="366" t="str">
        <f>IFERROR(VLOOKUP(RIGHT(E3221,3)+0,[1]SchLocTable!$A$2:$B$47,2,FALSE)," ")</f>
        <v>Hooker</v>
      </c>
      <c r="B3221" s="366" t="str">
        <f>VLOOKUP(VALUE(D3221),$D$3:F$106,3,FALSE)</f>
        <v>School Nurses</v>
      </c>
      <c r="C3221" t="s">
        <v>314</v>
      </c>
      <c r="D3221">
        <v>860</v>
      </c>
      <c r="E3221" t="s">
        <v>1047</v>
      </c>
      <c r="F3221" t="s">
        <v>320</v>
      </c>
      <c r="G3221" t="s">
        <v>319</v>
      </c>
      <c r="H3221" s="502">
        <v>52360</v>
      </c>
      <c r="I3221" s="415">
        <v>1049.4918837</v>
      </c>
      <c r="J3221" s="415">
        <v>923</v>
      </c>
      <c r="K3221" s="415">
        <v>951.35</v>
      </c>
      <c r="L3221" s="415">
        <v>709.74</v>
      </c>
      <c r="M3221" s="415">
        <v>1171.6500000000001</v>
      </c>
      <c r="N3221" s="415">
        <v>901.8</v>
      </c>
      <c r="O3221" s="415">
        <v>930.61</v>
      </c>
      <c r="P3221" s="415">
        <v>798.51</v>
      </c>
      <c r="Q3221" s="481">
        <f t="shared" si="96"/>
        <v>-126.49188370000002</v>
      </c>
    </row>
    <row r="3222" spans="1:17" x14ac:dyDescent="0.3">
      <c r="A3222" s="366" t="str">
        <f>IFERROR(VLOOKUP(RIGHT(E3222,3)+0,[1]SchLocTable!$A$2:$B$47,2,FALSE)," ")</f>
        <v>Hooker</v>
      </c>
      <c r="B3222" s="366" t="str">
        <f>VLOOKUP(VALUE(D3222),$D$3:F$106,3,FALSE)</f>
        <v>School Nurses</v>
      </c>
      <c r="C3222" t="s">
        <v>314</v>
      </c>
      <c r="D3222">
        <v>860</v>
      </c>
      <c r="E3222" t="s">
        <v>1047</v>
      </c>
      <c r="F3222" t="s">
        <v>392</v>
      </c>
      <c r="G3222" t="s">
        <v>319</v>
      </c>
      <c r="H3222" s="502">
        <v>52504</v>
      </c>
      <c r="I3222" s="415">
        <v>15040.304374680001</v>
      </c>
      <c r="J3222" s="415">
        <v>14218</v>
      </c>
      <c r="K3222" s="415">
        <v>14214.79</v>
      </c>
      <c r="L3222" s="415">
        <v>10959.7</v>
      </c>
      <c r="M3222" s="415">
        <v>16853.330000000002</v>
      </c>
      <c r="N3222" s="415">
        <v>13444.53</v>
      </c>
      <c r="O3222" s="415">
        <v>11663.58</v>
      </c>
      <c r="P3222" s="415">
        <v>8768.36</v>
      </c>
      <c r="Q3222" s="481">
        <f t="shared" si="96"/>
        <v>-822.30437468000127</v>
      </c>
    </row>
    <row r="3223" spans="1:17" x14ac:dyDescent="0.3">
      <c r="A3223" s="366" t="str">
        <f>IFERROR(VLOOKUP(RIGHT(E3223,3)+0,[1]SchLocTable!$A$2:$B$47,2,FALSE)," ")</f>
        <v>Hooker</v>
      </c>
      <c r="B3223" s="366" t="str">
        <f>VLOOKUP(VALUE(D3223),$D$3:F$106,3,FALSE)</f>
        <v>School Nurses</v>
      </c>
      <c r="C3223" t="s">
        <v>314</v>
      </c>
      <c r="D3223">
        <v>860</v>
      </c>
      <c r="E3223" t="s">
        <v>1047</v>
      </c>
      <c r="F3223" t="s">
        <v>419</v>
      </c>
      <c r="G3223" t="s">
        <v>319</v>
      </c>
      <c r="H3223" s="502">
        <v>51318</v>
      </c>
      <c r="I3223" s="415">
        <v>0</v>
      </c>
      <c r="J3223" s="415">
        <v>0</v>
      </c>
      <c r="K3223" s="415">
        <v>0</v>
      </c>
      <c r="L3223" s="415">
        <v>0</v>
      </c>
      <c r="M3223" s="415">
        <v>806.61</v>
      </c>
      <c r="N3223" s="415">
        <v>0</v>
      </c>
      <c r="O3223" s="415">
        <v>0</v>
      </c>
      <c r="P3223" s="415">
        <v>0</v>
      </c>
      <c r="Q3223" s="481">
        <f t="shared" si="96"/>
        <v>0</v>
      </c>
    </row>
    <row r="3224" spans="1:17" x14ac:dyDescent="0.3">
      <c r="A3224" s="366" t="str">
        <f>IFERROR(VLOOKUP(RIGHT(E3224,3)+0,[1]SchLocTable!$A$2:$B$47,2,FALSE)," ")</f>
        <v>Hooker</v>
      </c>
      <c r="B3224" s="366" t="str">
        <f>VLOOKUP(VALUE(D3224),$D$3:F$106,3,FALSE)</f>
        <v>School Nurses</v>
      </c>
      <c r="C3224" t="s">
        <v>314</v>
      </c>
      <c r="D3224">
        <v>860</v>
      </c>
      <c r="E3224" t="s">
        <v>1047</v>
      </c>
      <c r="F3224" t="s">
        <v>329</v>
      </c>
      <c r="G3224" t="s">
        <v>319</v>
      </c>
      <c r="H3224" s="502">
        <v>51154</v>
      </c>
      <c r="I3224" s="415">
        <v>0</v>
      </c>
      <c r="J3224" s="415">
        <v>0</v>
      </c>
      <c r="K3224" s="415">
        <v>0</v>
      </c>
      <c r="L3224" s="415">
        <v>0</v>
      </c>
      <c r="M3224" s="415">
        <v>10601.16</v>
      </c>
      <c r="N3224" s="415">
        <v>0</v>
      </c>
      <c r="O3224" s="415">
        <v>0</v>
      </c>
      <c r="P3224" s="415">
        <v>0</v>
      </c>
      <c r="Q3224" s="481">
        <f t="shared" si="96"/>
        <v>0</v>
      </c>
    </row>
    <row r="3225" spans="1:17" x14ac:dyDescent="0.3">
      <c r="A3225" s="366" t="str">
        <f>IFERROR(VLOOKUP(RIGHT(E3225,3)+0,[1]SchLocTable!$A$2:$B$47,2,FALSE)," ")</f>
        <v>Batalla</v>
      </c>
      <c r="B3225" s="366" t="str">
        <f>VLOOKUP(VALUE(D3225),$D$3:F$106,3,FALSE)</f>
        <v>School Nurses</v>
      </c>
      <c r="C3225" t="s">
        <v>314</v>
      </c>
      <c r="D3225">
        <v>860</v>
      </c>
      <c r="E3225" t="s">
        <v>1048</v>
      </c>
      <c r="F3225" t="s">
        <v>1036</v>
      </c>
      <c r="G3225" t="s">
        <v>319</v>
      </c>
      <c r="H3225" s="502">
        <v>53905</v>
      </c>
      <c r="I3225" s="415">
        <v>515</v>
      </c>
      <c r="J3225" s="415">
        <v>500</v>
      </c>
      <c r="K3225" s="415">
        <v>500</v>
      </c>
      <c r="L3225" s="415">
        <v>0</v>
      </c>
      <c r="M3225" s="415">
        <v>500</v>
      </c>
      <c r="N3225" s="415">
        <v>500</v>
      </c>
      <c r="O3225" s="415">
        <v>500</v>
      </c>
      <c r="P3225" s="415">
        <v>500</v>
      </c>
      <c r="Q3225" s="481">
        <f t="shared" si="96"/>
        <v>-15</v>
      </c>
    </row>
    <row r="3226" spans="1:17" x14ac:dyDescent="0.3">
      <c r="A3226" s="366" t="str">
        <f>IFERROR(VLOOKUP(RIGHT(E3226,3)+0,[1]SchLocTable!$A$2:$B$47,2,FALSE)," ")</f>
        <v>Batalla</v>
      </c>
      <c r="B3226" s="366" t="str">
        <f>VLOOKUP(VALUE(D3226),$D$3:F$106,3,FALSE)</f>
        <v>School Nurses</v>
      </c>
      <c r="C3226" t="s">
        <v>314</v>
      </c>
      <c r="D3226">
        <v>860</v>
      </c>
      <c r="E3226" t="s">
        <v>1048</v>
      </c>
      <c r="F3226" t="s">
        <v>316</v>
      </c>
      <c r="G3226">
        <v>1</v>
      </c>
      <c r="H3226" s="502">
        <v>51000</v>
      </c>
      <c r="I3226" s="415">
        <v>69294.326399999991</v>
      </c>
      <c r="J3226" s="415">
        <v>57680.9</v>
      </c>
      <c r="K3226" s="415">
        <v>0</v>
      </c>
      <c r="L3226" s="415">
        <v>0</v>
      </c>
      <c r="M3226" s="415">
        <v>97613.22</v>
      </c>
      <c r="N3226" s="415">
        <v>69939.28</v>
      </c>
      <c r="O3226" s="415">
        <v>63555.58</v>
      </c>
      <c r="P3226" s="415">
        <v>63799.11</v>
      </c>
      <c r="Q3226" s="481">
        <f t="shared" si="96"/>
        <v>-11613.426399999989</v>
      </c>
    </row>
    <row r="3227" spans="1:17" x14ac:dyDescent="0.3">
      <c r="A3227" s="366" t="str">
        <f>IFERROR(VLOOKUP(RIGHT(E3227,3)+0,[1]SchLocTable!$A$2:$B$47,2,FALSE)," ")</f>
        <v>Batalla</v>
      </c>
      <c r="B3227" s="366" t="str">
        <f>VLOOKUP(VALUE(D3227),$D$3:F$106,3,FALSE)</f>
        <v>School Nurses</v>
      </c>
      <c r="C3227" t="s">
        <v>314</v>
      </c>
      <c r="D3227">
        <v>860</v>
      </c>
      <c r="E3227" t="s">
        <v>1048</v>
      </c>
      <c r="F3227" t="s">
        <v>360</v>
      </c>
      <c r="G3227" t="s">
        <v>319</v>
      </c>
      <c r="H3227" s="502">
        <v>52920</v>
      </c>
      <c r="I3227" s="415">
        <v>1333.36</v>
      </c>
      <c r="J3227" s="415">
        <v>0</v>
      </c>
      <c r="K3227" s="415">
        <v>0</v>
      </c>
      <c r="L3227" s="415">
        <v>0</v>
      </c>
      <c r="M3227" s="415">
        <v>0</v>
      </c>
      <c r="N3227" s="415">
        <v>0</v>
      </c>
      <c r="O3227" s="415">
        <v>0</v>
      </c>
      <c r="P3227" s="415">
        <v>0</v>
      </c>
      <c r="Q3227" s="481">
        <f t="shared" si="96"/>
        <v>-1333.36</v>
      </c>
    </row>
    <row r="3228" spans="1:17" x14ac:dyDescent="0.3">
      <c r="A3228" s="366" t="str">
        <f>IFERROR(VLOOKUP(RIGHT(E3228,3)+0,[1]SchLocTable!$A$2:$B$47,2,FALSE)," ")</f>
        <v>Batalla</v>
      </c>
      <c r="B3228" s="366" t="str">
        <f>VLOOKUP(VALUE(D3228),$D$3:F$106,3,FALSE)</f>
        <v>School Nurses</v>
      </c>
      <c r="C3228" t="s">
        <v>314</v>
      </c>
      <c r="D3228">
        <v>860</v>
      </c>
      <c r="E3228" t="s">
        <v>1048</v>
      </c>
      <c r="F3228" t="s">
        <v>321</v>
      </c>
      <c r="G3228" t="s">
        <v>319</v>
      </c>
      <c r="H3228" s="502">
        <v>52917</v>
      </c>
      <c r="I3228" s="415">
        <v>0</v>
      </c>
      <c r="J3228" s="415">
        <v>0</v>
      </c>
      <c r="K3228" s="415">
        <v>0</v>
      </c>
      <c r="L3228" s="415">
        <v>0</v>
      </c>
      <c r="M3228" s="415">
        <v>19162.830000000002</v>
      </c>
      <c r="N3228" s="415">
        <v>9292.66</v>
      </c>
      <c r="O3228" s="415">
        <v>8970.7999999999993</v>
      </c>
      <c r="P3228" s="415">
        <v>8636.69</v>
      </c>
      <c r="Q3228" s="481">
        <f t="shared" si="96"/>
        <v>0</v>
      </c>
    </row>
    <row r="3229" spans="1:17" x14ac:dyDescent="0.3">
      <c r="A3229" s="366" t="str">
        <f>IFERROR(VLOOKUP(RIGHT(E3229,3)+0,[1]SchLocTable!$A$2:$B$47,2,FALSE)," ")</f>
        <v>Batalla</v>
      </c>
      <c r="B3229" s="366" t="str">
        <f>VLOOKUP(VALUE(D3229),$D$3:F$106,3,FALSE)</f>
        <v>School Nurses</v>
      </c>
      <c r="C3229" t="s">
        <v>314</v>
      </c>
      <c r="D3229">
        <v>860</v>
      </c>
      <c r="E3229" t="s">
        <v>1048</v>
      </c>
      <c r="F3229" t="s">
        <v>318</v>
      </c>
      <c r="G3229" t="s">
        <v>319</v>
      </c>
      <c r="H3229" s="502">
        <v>51140</v>
      </c>
      <c r="I3229" s="415">
        <v>0</v>
      </c>
      <c r="J3229" s="415">
        <v>0</v>
      </c>
      <c r="K3229" s="415">
        <v>0</v>
      </c>
      <c r="L3229" s="415">
        <v>0</v>
      </c>
      <c r="M3229" s="415">
        <v>560</v>
      </c>
      <c r="N3229" s="415">
        <v>490</v>
      </c>
      <c r="O3229" s="415">
        <v>420</v>
      </c>
      <c r="P3229" s="415">
        <v>350</v>
      </c>
      <c r="Q3229" s="481">
        <f t="shared" si="96"/>
        <v>0</v>
      </c>
    </row>
    <row r="3230" spans="1:17" x14ac:dyDescent="0.3">
      <c r="A3230" s="366" t="str">
        <f>IFERROR(VLOOKUP(RIGHT(E3230,3)+0,[1]SchLocTable!$A$2:$B$47,2,FALSE)," ")</f>
        <v>Batalla</v>
      </c>
      <c r="B3230" s="366" t="str">
        <f>VLOOKUP(VALUE(D3230),$D$3:F$106,3,FALSE)</f>
        <v>School Nurses</v>
      </c>
      <c r="C3230" t="s">
        <v>314</v>
      </c>
      <c r="D3230">
        <v>860</v>
      </c>
      <c r="E3230" t="s">
        <v>1048</v>
      </c>
      <c r="F3230" t="s">
        <v>320</v>
      </c>
      <c r="G3230" t="s">
        <v>319</v>
      </c>
      <c r="H3230" s="502">
        <v>52360</v>
      </c>
      <c r="I3230" s="415">
        <v>1024.1014527999998</v>
      </c>
      <c r="J3230" s="415">
        <v>836.37</v>
      </c>
      <c r="K3230" s="415">
        <v>7.25</v>
      </c>
      <c r="L3230" s="415">
        <v>0</v>
      </c>
      <c r="M3230" s="415">
        <v>1338.41</v>
      </c>
      <c r="N3230" s="415">
        <v>975.29</v>
      </c>
      <c r="O3230" s="415">
        <v>886.78</v>
      </c>
      <c r="P3230" s="415">
        <v>893.47</v>
      </c>
      <c r="Q3230" s="481">
        <f t="shared" si="96"/>
        <v>-187.73145279999983</v>
      </c>
    </row>
    <row r="3231" spans="1:17" x14ac:dyDescent="0.3">
      <c r="A3231" s="366" t="str">
        <f>IFERROR(VLOOKUP(RIGHT(E3231,3)+0,[1]SchLocTable!$A$2:$B$47,2,FALSE)," ")</f>
        <v>Batalla</v>
      </c>
      <c r="B3231" s="366" t="str">
        <f>VLOOKUP(VALUE(D3231),$D$3:F$106,3,FALSE)</f>
        <v>School Nurses</v>
      </c>
      <c r="C3231" t="s">
        <v>314</v>
      </c>
      <c r="D3231">
        <v>860</v>
      </c>
      <c r="E3231" t="s">
        <v>1048</v>
      </c>
      <c r="F3231" t="s">
        <v>392</v>
      </c>
      <c r="G3231" t="s">
        <v>319</v>
      </c>
      <c r="H3231" s="502">
        <v>52504</v>
      </c>
      <c r="I3231" s="415">
        <v>14676.433233919999</v>
      </c>
      <c r="J3231" s="415">
        <v>10541.34</v>
      </c>
      <c r="K3231" s="415">
        <v>0</v>
      </c>
      <c r="L3231" s="415">
        <v>0</v>
      </c>
      <c r="M3231" s="415">
        <v>16594.34</v>
      </c>
      <c r="N3231" s="415">
        <v>13455.3</v>
      </c>
      <c r="O3231" s="415">
        <v>10536.61</v>
      </c>
      <c r="P3231" s="415">
        <v>9165.42</v>
      </c>
      <c r="Q3231" s="481">
        <f t="shared" si="96"/>
        <v>-4135.093233919999</v>
      </c>
    </row>
    <row r="3232" spans="1:17" x14ac:dyDescent="0.3">
      <c r="A3232" s="366" t="str">
        <f>IFERROR(VLOOKUP(RIGHT(E3232,3)+0,[1]SchLocTable!$A$2:$B$47,2,FALSE)," ")</f>
        <v>Batalla</v>
      </c>
      <c r="B3232" s="366" t="str">
        <f>VLOOKUP(VALUE(D3232),$D$3:F$106,3,FALSE)</f>
        <v>School Nurses</v>
      </c>
      <c r="C3232" t="s">
        <v>314</v>
      </c>
      <c r="D3232">
        <v>860</v>
      </c>
      <c r="E3232" t="s">
        <v>1048</v>
      </c>
      <c r="F3232" t="s">
        <v>324</v>
      </c>
      <c r="G3232" t="s">
        <v>319</v>
      </c>
      <c r="H3232" s="502">
        <v>52385</v>
      </c>
      <c r="I3232" s="415">
        <v>0</v>
      </c>
      <c r="J3232" s="415">
        <v>0</v>
      </c>
      <c r="K3232" s="415">
        <v>0</v>
      </c>
      <c r="L3232" s="415">
        <v>0</v>
      </c>
      <c r="M3232" s="415">
        <v>1052.5899999999999</v>
      </c>
      <c r="N3232" s="415">
        <v>0</v>
      </c>
      <c r="O3232" s="415">
        <v>0</v>
      </c>
      <c r="P3232" s="415">
        <v>0</v>
      </c>
      <c r="Q3232" s="481">
        <f t="shared" si="96"/>
        <v>0</v>
      </c>
    </row>
    <row r="3233" spans="1:17" x14ac:dyDescent="0.3">
      <c r="A3233" s="366" t="str">
        <f>IFERROR(VLOOKUP(RIGHT(E3233,3)+0,[1]SchLocTable!$A$2:$B$47,2,FALSE)," ")</f>
        <v>BMA HS</v>
      </c>
      <c r="B3233" s="366" t="str">
        <f>VLOOKUP(VALUE(D3233),$D$3:F$106,3,FALSE)</f>
        <v>School Nurses</v>
      </c>
      <c r="C3233" t="s">
        <v>314</v>
      </c>
      <c r="D3233">
        <v>860</v>
      </c>
      <c r="E3233" t="s">
        <v>1049</v>
      </c>
      <c r="F3233" t="s">
        <v>1036</v>
      </c>
      <c r="G3233" t="s">
        <v>319</v>
      </c>
      <c r="H3233" s="502">
        <v>53905</v>
      </c>
      <c r="I3233" s="415">
        <v>360.5</v>
      </c>
      <c r="J3233" s="415">
        <v>350</v>
      </c>
      <c r="K3233" s="415">
        <v>350</v>
      </c>
      <c r="L3233" s="415">
        <v>350</v>
      </c>
      <c r="M3233" s="415">
        <v>350</v>
      </c>
      <c r="N3233" s="415">
        <v>350</v>
      </c>
      <c r="O3233" s="415">
        <v>350</v>
      </c>
      <c r="P3233" s="415">
        <v>350</v>
      </c>
      <c r="Q3233" s="481">
        <f t="shared" si="96"/>
        <v>-10.5</v>
      </c>
    </row>
    <row r="3234" spans="1:17" x14ac:dyDescent="0.3">
      <c r="A3234" s="366" t="str">
        <f>IFERROR(VLOOKUP(RIGHT(E3234,3)+0,[1]SchLocTable!$A$2:$B$47,2,FALSE)," ")</f>
        <v>BMA HS</v>
      </c>
      <c r="B3234" s="366" t="str">
        <f>VLOOKUP(VALUE(D3234),$D$3:F$106,3,FALSE)</f>
        <v>School Nurses</v>
      </c>
      <c r="C3234" t="s">
        <v>314</v>
      </c>
      <c r="D3234">
        <v>860</v>
      </c>
      <c r="E3234" t="s">
        <v>1049</v>
      </c>
      <c r="F3234" t="s">
        <v>316</v>
      </c>
      <c r="G3234" t="s">
        <v>319</v>
      </c>
      <c r="H3234" s="502">
        <v>51000</v>
      </c>
      <c r="I3234" s="415">
        <v>0</v>
      </c>
      <c r="J3234" s="415">
        <v>9323.82</v>
      </c>
      <c r="K3234" s="415">
        <v>71574.02</v>
      </c>
      <c r="L3234" s="415">
        <v>61836.41</v>
      </c>
      <c r="M3234" s="415">
        <v>76854.83</v>
      </c>
      <c r="N3234" s="415">
        <v>69924.52</v>
      </c>
      <c r="O3234" s="415">
        <v>69270.600000000006</v>
      </c>
      <c r="P3234" s="415">
        <v>60159.87</v>
      </c>
      <c r="Q3234" s="481">
        <f t="shared" si="96"/>
        <v>9323.82</v>
      </c>
    </row>
    <row r="3235" spans="1:17" x14ac:dyDescent="0.3">
      <c r="A3235" s="366" t="str">
        <f>IFERROR(VLOOKUP(RIGHT(E3235,3)+0,[1]SchLocTable!$A$2:$B$47,2,FALSE)," ")</f>
        <v>BMA HS</v>
      </c>
      <c r="B3235" s="366" t="str">
        <f>VLOOKUP(VALUE(D3235),$D$3:F$106,3,FALSE)</f>
        <v>School Nurses</v>
      </c>
      <c r="C3235" t="s">
        <v>314</v>
      </c>
      <c r="D3235">
        <v>860</v>
      </c>
      <c r="E3235" t="s">
        <v>1049</v>
      </c>
      <c r="F3235" t="s">
        <v>321</v>
      </c>
      <c r="G3235" t="s">
        <v>319</v>
      </c>
      <c r="H3235" s="502">
        <v>52917</v>
      </c>
      <c r="I3235" s="415">
        <v>0</v>
      </c>
      <c r="J3235" s="415">
        <v>3818.14</v>
      </c>
      <c r="K3235" s="415">
        <v>26547.01</v>
      </c>
      <c r="L3235" s="415">
        <v>23450.98</v>
      </c>
      <c r="M3235" s="415">
        <v>28294.99</v>
      </c>
      <c r="N3235" s="415">
        <v>22803.71</v>
      </c>
      <c r="O3235" s="415">
        <v>22386.86</v>
      </c>
      <c r="P3235" s="415">
        <v>21259.06</v>
      </c>
      <c r="Q3235" s="481">
        <f t="shared" si="96"/>
        <v>3818.14</v>
      </c>
    </row>
    <row r="3236" spans="1:17" x14ac:dyDescent="0.3">
      <c r="A3236" s="366" t="str">
        <f>IFERROR(VLOOKUP(RIGHT(E3236,3)+0,[1]SchLocTable!$A$2:$B$47,2,FALSE)," ")</f>
        <v>BMA HS</v>
      </c>
      <c r="B3236" s="366" t="str">
        <f>VLOOKUP(VALUE(D3236),$D$3:F$106,3,FALSE)</f>
        <v>School Nurses</v>
      </c>
      <c r="C3236" t="s">
        <v>314</v>
      </c>
      <c r="D3236">
        <v>860</v>
      </c>
      <c r="E3236" t="s">
        <v>1049</v>
      </c>
      <c r="F3236" t="s">
        <v>318</v>
      </c>
      <c r="G3236" t="s">
        <v>319</v>
      </c>
      <c r="H3236" s="502">
        <v>51140</v>
      </c>
      <c r="I3236" s="415">
        <v>0</v>
      </c>
      <c r="J3236" s="415">
        <v>0</v>
      </c>
      <c r="K3236" s="415">
        <v>560</v>
      </c>
      <c r="L3236" s="415">
        <v>490</v>
      </c>
      <c r="M3236" s="415">
        <v>420</v>
      </c>
      <c r="N3236" s="415">
        <v>350</v>
      </c>
      <c r="O3236" s="415">
        <v>0</v>
      </c>
      <c r="P3236" s="415">
        <v>0</v>
      </c>
      <c r="Q3236" s="481">
        <f t="shared" si="96"/>
        <v>0</v>
      </c>
    </row>
    <row r="3237" spans="1:17" x14ac:dyDescent="0.3">
      <c r="A3237" s="366" t="str">
        <f>IFERROR(VLOOKUP(RIGHT(E3237,3)+0,[1]SchLocTable!$A$2:$B$47,2,FALSE)," ")</f>
        <v>BMA HS</v>
      </c>
      <c r="B3237" s="366" t="str">
        <f>VLOOKUP(VALUE(D3237),$D$3:F$106,3,FALSE)</f>
        <v>School Nurses</v>
      </c>
      <c r="C3237" t="s">
        <v>314</v>
      </c>
      <c r="D3237">
        <v>860</v>
      </c>
      <c r="E3237" t="s">
        <v>1049</v>
      </c>
      <c r="F3237" t="s">
        <v>320</v>
      </c>
      <c r="G3237" t="s">
        <v>319</v>
      </c>
      <c r="H3237" s="502">
        <v>52360</v>
      </c>
      <c r="I3237" s="415">
        <v>0</v>
      </c>
      <c r="J3237" s="415">
        <v>113.26</v>
      </c>
      <c r="K3237" s="415">
        <v>913.39</v>
      </c>
      <c r="L3237" s="415">
        <v>802.58</v>
      </c>
      <c r="M3237" s="415">
        <v>986.17</v>
      </c>
      <c r="N3237" s="415">
        <v>911.62</v>
      </c>
      <c r="O3237" s="415">
        <v>905.5</v>
      </c>
      <c r="P3237" s="415">
        <v>778.96</v>
      </c>
      <c r="Q3237" s="481">
        <f t="shared" si="96"/>
        <v>113.26</v>
      </c>
    </row>
    <row r="3238" spans="1:17" x14ac:dyDescent="0.3">
      <c r="A3238" s="366" t="str">
        <f>IFERROR(VLOOKUP(RIGHT(E3238,3)+0,[1]SchLocTable!$A$2:$B$47,2,FALSE)," ")</f>
        <v>BMA HS</v>
      </c>
      <c r="B3238" s="366" t="str">
        <f>VLOOKUP(VALUE(D3238),$D$3:F$106,3,FALSE)</f>
        <v>School Nurses</v>
      </c>
      <c r="C3238" t="s">
        <v>314</v>
      </c>
      <c r="D3238">
        <v>860</v>
      </c>
      <c r="E3238" t="s">
        <v>1049</v>
      </c>
      <c r="F3238" t="s">
        <v>392</v>
      </c>
      <c r="G3238" t="s">
        <v>319</v>
      </c>
      <c r="H3238" s="502">
        <v>52504</v>
      </c>
      <c r="I3238" s="415">
        <v>0</v>
      </c>
      <c r="J3238" s="415">
        <v>1937.46</v>
      </c>
      <c r="K3238" s="415">
        <v>14855.52</v>
      </c>
      <c r="L3238" s="415">
        <v>12921.46</v>
      </c>
      <c r="M3238" s="415">
        <v>16564.13</v>
      </c>
      <c r="N3238" s="415">
        <v>13425.87</v>
      </c>
      <c r="O3238" s="415">
        <v>11404.46</v>
      </c>
      <c r="P3238" s="415">
        <v>8742.8799999999992</v>
      </c>
      <c r="Q3238" s="481">
        <f t="shared" si="96"/>
        <v>1937.46</v>
      </c>
    </row>
    <row r="3239" spans="1:17" x14ac:dyDescent="0.3">
      <c r="A3239" s="366" t="str">
        <f>IFERROR(VLOOKUP(RIGHT(E3239,3)+0,[1]SchLocTable!$A$2:$B$47,2,FALSE)," ")</f>
        <v>BMA HS</v>
      </c>
      <c r="B3239" s="366" t="str">
        <f>VLOOKUP(VALUE(D3239),$D$3:F$106,3,FALSE)</f>
        <v>School Nurses</v>
      </c>
      <c r="C3239" t="s">
        <v>314</v>
      </c>
      <c r="D3239">
        <v>860</v>
      </c>
      <c r="E3239" t="s">
        <v>1049</v>
      </c>
      <c r="F3239" t="s">
        <v>317</v>
      </c>
      <c r="G3239" t="s">
        <v>319</v>
      </c>
      <c r="H3239" s="502">
        <v>51100</v>
      </c>
      <c r="I3239" s="415">
        <v>0</v>
      </c>
      <c r="J3239" s="415">
        <v>0</v>
      </c>
      <c r="K3239" s="415">
        <v>0</v>
      </c>
      <c r="L3239" s="415">
        <v>1031.25</v>
      </c>
      <c r="M3239" s="415">
        <v>600</v>
      </c>
      <c r="N3239" s="415">
        <v>0</v>
      </c>
      <c r="O3239" s="415">
        <v>0</v>
      </c>
      <c r="P3239" s="415">
        <v>0</v>
      </c>
      <c r="Q3239" s="481">
        <f t="shared" si="96"/>
        <v>0</v>
      </c>
    </row>
    <row r="3240" spans="1:17" x14ac:dyDescent="0.3">
      <c r="A3240" s="366" t="str">
        <f>IFERROR(VLOOKUP(RIGHT(E3240,3)+0,[1]SchLocTable!$A$2:$B$47,2,FALSE)," ")</f>
        <v>Park City Magnet</v>
      </c>
      <c r="B3240" s="366" t="str">
        <f>VLOOKUP(VALUE(D3240),$D$3:F$106,3,FALSE)</f>
        <v>School Nurses</v>
      </c>
      <c r="C3240" t="s">
        <v>314</v>
      </c>
      <c r="D3240">
        <v>860</v>
      </c>
      <c r="E3240" t="s">
        <v>1050</v>
      </c>
      <c r="F3240" t="s">
        <v>1036</v>
      </c>
      <c r="G3240" t="s">
        <v>319</v>
      </c>
      <c r="H3240" s="502">
        <v>53905</v>
      </c>
      <c r="I3240" s="415">
        <v>360.5</v>
      </c>
      <c r="J3240" s="415">
        <v>350</v>
      </c>
      <c r="K3240" s="415">
        <v>0</v>
      </c>
      <c r="L3240" s="415">
        <v>0</v>
      </c>
      <c r="M3240" s="415">
        <v>350</v>
      </c>
      <c r="N3240" s="415">
        <v>350</v>
      </c>
      <c r="O3240" s="415">
        <v>350</v>
      </c>
      <c r="P3240" s="415">
        <v>350</v>
      </c>
      <c r="Q3240" s="481">
        <f t="shared" si="96"/>
        <v>-10.5</v>
      </c>
    </row>
    <row r="3241" spans="1:17" x14ac:dyDescent="0.3">
      <c r="A3241" s="366" t="str">
        <f>IFERROR(VLOOKUP(RIGHT(E3241,3)+0,[1]SchLocTable!$A$2:$B$47,2,FALSE)," ")</f>
        <v>Park City Magnet</v>
      </c>
      <c r="B3241" s="366" t="str">
        <f>VLOOKUP(VALUE(D3241),$D$3:F$106,3,FALSE)</f>
        <v>School Nurses</v>
      </c>
      <c r="C3241" t="s">
        <v>314</v>
      </c>
      <c r="D3241">
        <v>860</v>
      </c>
      <c r="E3241" t="s">
        <v>1050</v>
      </c>
      <c r="F3241" t="s">
        <v>316</v>
      </c>
      <c r="G3241">
        <v>1</v>
      </c>
      <c r="H3241" s="502">
        <v>51000</v>
      </c>
      <c r="I3241" s="415">
        <v>70819.046999999991</v>
      </c>
      <c r="J3241" s="415">
        <v>66951</v>
      </c>
      <c r="K3241" s="415">
        <v>67780.81</v>
      </c>
      <c r="L3241" s="415">
        <v>56164.53</v>
      </c>
      <c r="M3241" s="415">
        <v>82291.509999999995</v>
      </c>
      <c r="N3241" s="415">
        <v>69919.600000000006</v>
      </c>
      <c r="O3241" s="415">
        <v>63433.83</v>
      </c>
      <c r="P3241" s="415">
        <v>63799.11</v>
      </c>
      <c r="Q3241" s="481">
        <f t="shared" si="96"/>
        <v>-3868.0469999999914</v>
      </c>
    </row>
    <row r="3242" spans="1:17" x14ac:dyDescent="0.3">
      <c r="A3242" s="366" t="str">
        <f>IFERROR(VLOOKUP(RIGHT(E3242,3)+0,[1]SchLocTable!$A$2:$B$47,2,FALSE)," ")</f>
        <v>Park City Magnet</v>
      </c>
      <c r="B3242" s="366" t="str">
        <f>VLOOKUP(VALUE(D3242),$D$3:F$106,3,FALSE)</f>
        <v>School Nurses</v>
      </c>
      <c r="C3242" t="s">
        <v>314</v>
      </c>
      <c r="D3242">
        <v>860</v>
      </c>
      <c r="E3242" t="s">
        <v>1050</v>
      </c>
      <c r="F3242" t="s">
        <v>321</v>
      </c>
      <c r="G3242" t="s">
        <v>319</v>
      </c>
      <c r="H3242" s="502">
        <v>52917</v>
      </c>
      <c r="I3242" s="415">
        <v>14569.776</v>
      </c>
      <c r="J3242" s="415">
        <v>12077</v>
      </c>
      <c r="K3242" s="415">
        <v>11047.82</v>
      </c>
      <c r="L3242" s="415">
        <v>8278.92</v>
      </c>
      <c r="M3242" s="415">
        <v>28991.03</v>
      </c>
      <c r="N3242" s="415">
        <v>23613.19</v>
      </c>
      <c r="O3242" s="415">
        <v>22386.86</v>
      </c>
      <c r="P3242" s="415">
        <v>21259.06</v>
      </c>
      <c r="Q3242" s="481">
        <f t="shared" si="96"/>
        <v>-2492.7759999999998</v>
      </c>
    </row>
    <row r="3243" spans="1:17" x14ac:dyDescent="0.3">
      <c r="A3243" s="366" t="str">
        <f>IFERROR(VLOOKUP(RIGHT(E3243,3)+0,[1]SchLocTable!$A$2:$B$47,2,FALSE)," ")</f>
        <v>Park City Magnet</v>
      </c>
      <c r="B3243" s="366" t="str">
        <f>VLOOKUP(VALUE(D3243),$D$3:F$106,3,FALSE)</f>
        <v>School Nurses</v>
      </c>
      <c r="C3243" t="s">
        <v>314</v>
      </c>
      <c r="D3243">
        <v>860</v>
      </c>
      <c r="E3243" t="s">
        <v>1050</v>
      </c>
      <c r="F3243" t="s">
        <v>318</v>
      </c>
      <c r="G3243" t="s">
        <v>319</v>
      </c>
      <c r="H3243" s="502">
        <v>51140</v>
      </c>
      <c r="I3243" s="415">
        <v>0</v>
      </c>
      <c r="J3243" s="415">
        <v>0</v>
      </c>
      <c r="K3243" s="415">
        <v>0</v>
      </c>
      <c r="L3243" s="415">
        <v>0</v>
      </c>
      <c r="M3243" s="415">
        <v>3150</v>
      </c>
      <c r="N3243" s="415">
        <v>1800</v>
      </c>
      <c r="O3243" s="415">
        <v>1800</v>
      </c>
      <c r="P3243" s="415">
        <v>1800</v>
      </c>
      <c r="Q3243" s="481">
        <f t="shared" si="96"/>
        <v>0</v>
      </c>
    </row>
    <row r="3244" spans="1:17" x14ac:dyDescent="0.3">
      <c r="A3244" s="366" t="str">
        <f>IFERROR(VLOOKUP(RIGHT(E3244,3)+0,[1]SchLocTable!$A$2:$B$47,2,FALSE)," ")</f>
        <v>Park City Magnet</v>
      </c>
      <c r="B3244" s="366" t="str">
        <f>VLOOKUP(VALUE(D3244),$D$3:F$106,3,FALSE)</f>
        <v>School Nurses</v>
      </c>
      <c r="C3244" t="s">
        <v>314</v>
      </c>
      <c r="D3244">
        <v>860</v>
      </c>
      <c r="E3244" t="s">
        <v>1050</v>
      </c>
      <c r="F3244" t="s">
        <v>320</v>
      </c>
      <c r="G3244" t="s">
        <v>319</v>
      </c>
      <c r="H3244" s="502">
        <v>52360</v>
      </c>
      <c r="I3244" s="415">
        <v>1026.8761815</v>
      </c>
      <c r="J3244" s="415">
        <v>902</v>
      </c>
      <c r="K3244" s="415">
        <v>925.96</v>
      </c>
      <c r="L3244" s="415">
        <v>771.93</v>
      </c>
      <c r="M3244" s="415">
        <v>1109.2</v>
      </c>
      <c r="N3244" s="415">
        <v>935.59</v>
      </c>
      <c r="O3244" s="415">
        <v>846.98</v>
      </c>
      <c r="P3244" s="415">
        <v>857.82</v>
      </c>
      <c r="Q3244" s="481">
        <f t="shared" si="96"/>
        <v>-124.87618150000003</v>
      </c>
    </row>
    <row r="3245" spans="1:17" x14ac:dyDescent="0.3">
      <c r="A3245" s="366" t="str">
        <f>IFERROR(VLOOKUP(RIGHT(E3245,3)+0,[1]SchLocTable!$A$2:$B$47,2,FALSE)," ")</f>
        <v>Park City Magnet</v>
      </c>
      <c r="B3245" s="366" t="str">
        <f>VLOOKUP(VALUE(D3245),$D$3:F$106,3,FALSE)</f>
        <v>School Nurses</v>
      </c>
      <c r="C3245" t="s">
        <v>314</v>
      </c>
      <c r="D3245">
        <v>860</v>
      </c>
      <c r="E3245" t="s">
        <v>1050</v>
      </c>
      <c r="F3245" t="s">
        <v>392</v>
      </c>
      <c r="G3245" t="s">
        <v>319</v>
      </c>
      <c r="H3245" s="502">
        <v>52504</v>
      </c>
      <c r="I3245" s="415">
        <v>14716.197966599999</v>
      </c>
      <c r="J3245" s="415">
        <v>13913</v>
      </c>
      <c r="K3245" s="415">
        <v>13958.99</v>
      </c>
      <c r="L3245" s="415">
        <v>4589.99</v>
      </c>
      <c r="M3245" s="415">
        <v>17499.080000000002</v>
      </c>
      <c r="N3245" s="415">
        <v>13700.73</v>
      </c>
      <c r="O3245" s="415">
        <v>10742.83</v>
      </c>
      <c r="P3245" s="415">
        <v>9371.76</v>
      </c>
      <c r="Q3245" s="481">
        <f t="shared" si="96"/>
        <v>-803.19796659999884</v>
      </c>
    </row>
    <row r="3246" spans="1:17" x14ac:dyDescent="0.3">
      <c r="A3246" s="366" t="str">
        <f>IFERROR(VLOOKUP(RIGHT(E3246,3)+0,[1]SchLocTable!$A$2:$B$47,2,FALSE)," ")</f>
        <v>Park City Magnet</v>
      </c>
      <c r="B3246" s="366" t="str">
        <f>VLOOKUP(VALUE(D3246),$D$3:F$106,3,FALSE)</f>
        <v>School Nurses</v>
      </c>
      <c r="C3246" t="s">
        <v>314</v>
      </c>
      <c r="D3246">
        <v>860</v>
      </c>
      <c r="E3246" t="s">
        <v>1050</v>
      </c>
      <c r="F3246" t="s">
        <v>324</v>
      </c>
      <c r="G3246" t="s">
        <v>319</v>
      </c>
      <c r="H3246" s="502">
        <v>52385</v>
      </c>
      <c r="I3246" s="415">
        <v>0</v>
      </c>
      <c r="J3246" s="415">
        <v>0</v>
      </c>
      <c r="K3246" s="415">
        <v>0</v>
      </c>
      <c r="L3246" s="415">
        <v>1989.57</v>
      </c>
      <c r="M3246" s="415">
        <v>0</v>
      </c>
      <c r="N3246" s="415">
        <v>0</v>
      </c>
      <c r="O3246" s="415">
        <v>0</v>
      </c>
      <c r="P3246" s="415">
        <v>0</v>
      </c>
      <c r="Q3246" s="481">
        <f t="shared" si="96"/>
        <v>0</v>
      </c>
    </row>
    <row r="3247" spans="1:17" x14ac:dyDescent="0.3">
      <c r="A3247" s="366" t="str">
        <f>IFERROR(VLOOKUP(RIGHT(E3247,3)+0,[1]SchLocTable!$A$2:$B$47,2,FALSE)," ")</f>
        <v>Madison</v>
      </c>
      <c r="B3247" s="366" t="str">
        <f>VLOOKUP(VALUE(D3247),$D$3:F$106,3,FALSE)</f>
        <v>School Nurses</v>
      </c>
      <c r="C3247" t="s">
        <v>314</v>
      </c>
      <c r="D3247">
        <v>860</v>
      </c>
      <c r="E3247" t="s">
        <v>1051</v>
      </c>
      <c r="F3247" t="s">
        <v>316</v>
      </c>
      <c r="G3247">
        <v>1</v>
      </c>
      <c r="H3247" s="502">
        <v>51000</v>
      </c>
      <c r="I3247" s="415">
        <v>73794.754799999995</v>
      </c>
      <c r="J3247" s="415">
        <v>71300</v>
      </c>
      <c r="K3247" s="415">
        <v>71574.009999999995</v>
      </c>
      <c r="L3247" s="415">
        <v>50986.23</v>
      </c>
      <c r="M3247" s="415">
        <v>0</v>
      </c>
      <c r="N3247" s="415">
        <v>23667.99</v>
      </c>
      <c r="O3247" s="415">
        <v>67735.649999999994</v>
      </c>
      <c r="P3247" s="415">
        <v>62653.96</v>
      </c>
      <c r="Q3247" s="481">
        <f t="shared" si="96"/>
        <v>-2494.7547999999952</v>
      </c>
    </row>
    <row r="3248" spans="1:17" x14ac:dyDescent="0.3">
      <c r="A3248" s="366" t="str">
        <f>IFERROR(VLOOKUP(RIGHT(E3248,3)+0,[1]SchLocTable!$A$2:$B$47,2,FALSE)," ")</f>
        <v>Madison</v>
      </c>
      <c r="B3248" s="366" t="str">
        <f>VLOOKUP(VALUE(D3248),$D$3:F$106,3,FALSE)</f>
        <v>School Nurses</v>
      </c>
      <c r="C3248" t="s">
        <v>314</v>
      </c>
      <c r="D3248">
        <v>860</v>
      </c>
      <c r="E3248" t="s">
        <v>1051</v>
      </c>
      <c r="F3248" t="s">
        <v>321</v>
      </c>
      <c r="G3248" t="s">
        <v>319</v>
      </c>
      <c r="H3248" s="502">
        <v>52917</v>
      </c>
      <c r="I3248" s="415">
        <v>14602.848</v>
      </c>
      <c r="J3248" s="415">
        <v>12104</v>
      </c>
      <c r="K3248" s="415">
        <v>11074.96</v>
      </c>
      <c r="L3248" s="415">
        <v>19075.5</v>
      </c>
      <c r="M3248" s="415">
        <v>0</v>
      </c>
      <c r="N3248" s="415">
        <v>2941.97</v>
      </c>
      <c r="O3248" s="415">
        <v>9406.23</v>
      </c>
      <c r="P3248" s="415">
        <v>8665.5499999999993</v>
      </c>
      <c r="Q3248" s="481">
        <f t="shared" si="96"/>
        <v>-2498.848</v>
      </c>
    </row>
    <row r="3249" spans="1:17" x14ac:dyDescent="0.3">
      <c r="A3249" s="366" t="str">
        <f>IFERROR(VLOOKUP(RIGHT(E3249,3)+0,[1]SchLocTable!$A$2:$B$47,2,FALSE)," ")</f>
        <v>Madison</v>
      </c>
      <c r="B3249" s="366" t="str">
        <f>VLOOKUP(VALUE(D3249),$D$3:F$106,3,FALSE)</f>
        <v>School Nurses</v>
      </c>
      <c r="C3249" t="s">
        <v>314</v>
      </c>
      <c r="D3249">
        <v>860</v>
      </c>
      <c r="E3249" t="s">
        <v>1051</v>
      </c>
      <c r="F3249" t="s">
        <v>318</v>
      </c>
      <c r="G3249" t="s">
        <v>319</v>
      </c>
      <c r="H3249" s="502">
        <v>51140</v>
      </c>
      <c r="I3249" s="415">
        <v>770</v>
      </c>
      <c r="J3249" s="415">
        <v>0</v>
      </c>
      <c r="K3249" s="415">
        <v>700</v>
      </c>
      <c r="L3249" s="415">
        <v>630</v>
      </c>
      <c r="M3249" s="415">
        <v>0</v>
      </c>
      <c r="N3249" s="415">
        <v>490</v>
      </c>
      <c r="O3249" s="415">
        <v>420</v>
      </c>
      <c r="P3249" s="415">
        <v>350</v>
      </c>
      <c r="Q3249" s="481">
        <f t="shared" si="96"/>
        <v>-770</v>
      </c>
    </row>
    <row r="3250" spans="1:17" x14ac:dyDescent="0.3">
      <c r="A3250" s="366" t="str">
        <f>IFERROR(VLOOKUP(RIGHT(E3250,3)+0,[1]SchLocTable!$A$2:$B$47,2,FALSE)," ")</f>
        <v>Madison</v>
      </c>
      <c r="B3250" s="366" t="str">
        <f>VLOOKUP(VALUE(D3250),$D$3:F$106,3,FALSE)</f>
        <v>School Nurses</v>
      </c>
      <c r="C3250" t="s">
        <v>314</v>
      </c>
      <c r="D3250">
        <v>860</v>
      </c>
      <c r="E3250" t="s">
        <v>1051</v>
      </c>
      <c r="F3250" t="s">
        <v>320</v>
      </c>
      <c r="G3250" t="s">
        <v>319</v>
      </c>
      <c r="H3250" s="502">
        <v>52360</v>
      </c>
      <c r="I3250" s="415">
        <v>1070.0239446</v>
      </c>
      <c r="J3250" s="415">
        <v>976</v>
      </c>
      <c r="K3250" s="415">
        <v>991.1</v>
      </c>
      <c r="L3250" s="415">
        <v>649.87</v>
      </c>
      <c r="M3250" s="415">
        <v>0</v>
      </c>
      <c r="N3250" s="415">
        <v>366.25</v>
      </c>
      <c r="O3250" s="415">
        <v>940.13</v>
      </c>
      <c r="P3250" s="415">
        <v>869.61</v>
      </c>
      <c r="Q3250" s="481">
        <f t="shared" si="96"/>
        <v>-94.02394460000005</v>
      </c>
    </row>
    <row r="3251" spans="1:17" x14ac:dyDescent="0.3">
      <c r="A3251" s="366" t="str">
        <f>IFERROR(VLOOKUP(RIGHT(E3251,3)+0,[1]SchLocTable!$A$2:$B$47,2,FALSE)," ")</f>
        <v>Madison</v>
      </c>
      <c r="B3251" s="366" t="str">
        <f>VLOOKUP(VALUE(D3251),$D$3:F$106,3,FALSE)</f>
        <v>School Nurses</v>
      </c>
      <c r="C3251" t="s">
        <v>314</v>
      </c>
      <c r="D3251">
        <v>860</v>
      </c>
      <c r="E3251" t="s">
        <v>1051</v>
      </c>
      <c r="F3251" t="s">
        <v>392</v>
      </c>
      <c r="G3251" t="s">
        <v>319</v>
      </c>
      <c r="H3251" s="502">
        <v>52504</v>
      </c>
      <c r="I3251" s="415">
        <v>15334.55004744</v>
      </c>
      <c r="J3251" s="415">
        <v>14873.02</v>
      </c>
      <c r="K3251" s="415">
        <v>14884.35</v>
      </c>
      <c r="L3251" s="415">
        <v>10527.35</v>
      </c>
      <c r="M3251" s="415">
        <v>0</v>
      </c>
      <c r="N3251" s="415">
        <v>4594.91</v>
      </c>
      <c r="O3251" s="415">
        <v>11221.73</v>
      </c>
      <c r="P3251" s="415">
        <v>8963.43</v>
      </c>
      <c r="Q3251" s="481">
        <f t="shared" si="96"/>
        <v>-461.53004743999918</v>
      </c>
    </row>
    <row r="3252" spans="1:17" x14ac:dyDescent="0.3">
      <c r="A3252" s="366" t="str">
        <f>IFERROR(VLOOKUP(RIGHT(E3252,3)+0,[1]SchLocTable!$A$2:$B$47,2,FALSE)," ")</f>
        <v>Classical Studies Academy</v>
      </c>
      <c r="B3252" s="366" t="str">
        <f>VLOOKUP(VALUE(D3252),$D$3:F$106,3,FALSE)</f>
        <v>School Nurses</v>
      </c>
      <c r="C3252" t="s">
        <v>314</v>
      </c>
      <c r="D3252">
        <v>860</v>
      </c>
      <c r="E3252" t="s">
        <v>1052</v>
      </c>
      <c r="F3252" t="s">
        <v>1036</v>
      </c>
      <c r="G3252" t="s">
        <v>319</v>
      </c>
      <c r="H3252" s="502">
        <v>53905</v>
      </c>
      <c r="I3252" s="415">
        <v>515</v>
      </c>
      <c r="J3252" s="415">
        <v>500</v>
      </c>
      <c r="K3252" s="415">
        <v>850</v>
      </c>
      <c r="L3252" s="415">
        <v>850</v>
      </c>
      <c r="M3252" s="415">
        <v>500</v>
      </c>
      <c r="N3252" s="415">
        <v>500</v>
      </c>
      <c r="O3252" s="415">
        <v>500</v>
      </c>
      <c r="P3252" s="415">
        <v>500</v>
      </c>
      <c r="Q3252" s="481">
        <f t="shared" si="96"/>
        <v>-15</v>
      </c>
    </row>
    <row r="3253" spans="1:17" x14ac:dyDescent="0.3">
      <c r="A3253" s="366" t="str">
        <f>IFERROR(VLOOKUP(RIGHT(E3253,3)+0,[1]SchLocTable!$A$2:$B$47,2,FALSE)," ")</f>
        <v>Classical Studies Academy</v>
      </c>
      <c r="B3253" s="366" t="str">
        <f>VLOOKUP(VALUE(D3253),$D$3:F$106,3,FALSE)</f>
        <v>School Nurses</v>
      </c>
      <c r="C3253" t="s">
        <v>314</v>
      </c>
      <c r="D3253">
        <v>860</v>
      </c>
      <c r="E3253" t="s">
        <v>1052</v>
      </c>
      <c r="F3253" t="s">
        <v>316</v>
      </c>
      <c r="G3253">
        <v>1</v>
      </c>
      <c r="H3253" s="502">
        <v>51000</v>
      </c>
      <c r="I3253" s="415">
        <v>73795.292999999991</v>
      </c>
      <c r="J3253" s="415">
        <v>80897.850000000006</v>
      </c>
      <c r="K3253" s="415">
        <v>142051.13</v>
      </c>
      <c r="L3253" s="415">
        <v>123672.84</v>
      </c>
      <c r="M3253" s="415">
        <v>88821.99</v>
      </c>
      <c r="N3253" s="415">
        <v>111879.16</v>
      </c>
      <c r="O3253" s="415">
        <v>105825.55</v>
      </c>
      <c r="P3253" s="415">
        <v>100634.81</v>
      </c>
      <c r="Q3253" s="481">
        <f t="shared" si="96"/>
        <v>7102.5570000000153</v>
      </c>
    </row>
    <row r="3254" spans="1:17" x14ac:dyDescent="0.3">
      <c r="A3254" s="366" t="str">
        <f>IFERROR(VLOOKUP(RIGHT(E3254,3)+0,[1]SchLocTable!$A$2:$B$47,2,FALSE)," ")</f>
        <v>Classical Studies Academy</v>
      </c>
      <c r="B3254" s="366" t="str">
        <f>VLOOKUP(VALUE(D3254),$D$3:F$106,3,FALSE)</f>
        <v>School Nurses</v>
      </c>
      <c r="C3254" t="s">
        <v>314</v>
      </c>
      <c r="D3254">
        <v>860</v>
      </c>
      <c r="E3254" t="s">
        <v>1052</v>
      </c>
      <c r="F3254" t="s">
        <v>334</v>
      </c>
      <c r="G3254" t="s">
        <v>319</v>
      </c>
      <c r="H3254" s="502">
        <v>51400</v>
      </c>
      <c r="I3254" s="415">
        <v>0</v>
      </c>
      <c r="J3254" s="415">
        <v>0</v>
      </c>
      <c r="K3254" s="415">
        <v>0</v>
      </c>
      <c r="L3254" s="415">
        <v>0</v>
      </c>
      <c r="M3254" s="415">
        <v>38.5</v>
      </c>
      <c r="N3254" s="415">
        <v>0</v>
      </c>
      <c r="O3254" s="415">
        <v>0</v>
      </c>
      <c r="P3254" s="415">
        <v>0</v>
      </c>
      <c r="Q3254" s="481">
        <f t="shared" si="96"/>
        <v>0</v>
      </c>
    </row>
    <row r="3255" spans="1:17" x14ac:dyDescent="0.3">
      <c r="A3255" s="366" t="str">
        <f>IFERROR(VLOOKUP(RIGHT(E3255,3)+0,[1]SchLocTable!$A$2:$B$47,2,FALSE)," ")</f>
        <v>Classical Studies Academy</v>
      </c>
      <c r="B3255" s="366" t="str">
        <f>VLOOKUP(VALUE(D3255),$D$3:F$106,3,FALSE)</f>
        <v>School Nurses</v>
      </c>
      <c r="C3255" t="s">
        <v>314</v>
      </c>
      <c r="D3255">
        <v>860</v>
      </c>
      <c r="E3255" t="s">
        <v>1052</v>
      </c>
      <c r="F3255" t="s">
        <v>321</v>
      </c>
      <c r="G3255" t="s">
        <v>319</v>
      </c>
      <c r="H3255" s="502">
        <v>52917</v>
      </c>
      <c r="I3255" s="415">
        <v>45495.840000000004</v>
      </c>
      <c r="J3255" s="415">
        <v>39646.75</v>
      </c>
      <c r="K3255" s="415">
        <v>44760.82</v>
      </c>
      <c r="L3255" s="415">
        <v>39449.18</v>
      </c>
      <c r="M3255" s="415">
        <v>38654.06</v>
      </c>
      <c r="N3255" s="415">
        <v>42584.84</v>
      </c>
      <c r="O3255" s="415">
        <v>40508.620000000003</v>
      </c>
      <c r="P3255" s="415">
        <v>38646.620000000003</v>
      </c>
      <c r="Q3255" s="481">
        <f t="shared" si="96"/>
        <v>-5849.0900000000038</v>
      </c>
    </row>
    <row r="3256" spans="1:17" x14ac:dyDescent="0.3">
      <c r="A3256" s="366" t="str">
        <f>IFERROR(VLOOKUP(RIGHT(E3256,3)+0,[1]SchLocTable!$A$2:$B$47,2,FALSE)," ")</f>
        <v>Classical Studies Academy</v>
      </c>
      <c r="B3256" s="366" t="str">
        <f>VLOOKUP(VALUE(D3256),$D$3:F$106,3,FALSE)</f>
        <v>School Nurses</v>
      </c>
      <c r="C3256" t="s">
        <v>314</v>
      </c>
      <c r="D3256">
        <v>860</v>
      </c>
      <c r="E3256" t="s">
        <v>1052</v>
      </c>
      <c r="F3256" t="s">
        <v>318</v>
      </c>
      <c r="G3256" t="s">
        <v>319</v>
      </c>
      <c r="H3256" s="502">
        <v>51140</v>
      </c>
      <c r="I3256" s="415">
        <v>1855</v>
      </c>
      <c r="J3256" s="415">
        <v>525</v>
      </c>
      <c r="K3256" s="415">
        <v>1890</v>
      </c>
      <c r="L3256" s="415">
        <v>1750</v>
      </c>
      <c r="M3256" s="415">
        <v>1414</v>
      </c>
      <c r="N3256" s="415">
        <v>1302</v>
      </c>
      <c r="O3256" s="415">
        <v>1190</v>
      </c>
      <c r="P3256" s="415">
        <v>910</v>
      </c>
      <c r="Q3256" s="481">
        <f t="shared" si="96"/>
        <v>-1330</v>
      </c>
    </row>
    <row r="3257" spans="1:17" x14ac:dyDescent="0.3">
      <c r="A3257" s="366" t="str">
        <f>IFERROR(VLOOKUP(RIGHT(E3257,3)+0,[1]SchLocTable!$A$2:$B$47,2,FALSE)," ")</f>
        <v>Classical Studies Academy</v>
      </c>
      <c r="B3257" s="366" t="str">
        <f>VLOOKUP(VALUE(D3257),$D$3:F$106,3,FALSE)</f>
        <v>School Nurses</v>
      </c>
      <c r="C3257" t="s">
        <v>314</v>
      </c>
      <c r="D3257">
        <v>860</v>
      </c>
      <c r="E3257" t="s">
        <v>1052</v>
      </c>
      <c r="F3257" t="s">
        <v>320</v>
      </c>
      <c r="G3257" t="s">
        <v>319</v>
      </c>
      <c r="H3257" s="502">
        <v>52360</v>
      </c>
      <c r="I3257" s="415">
        <v>1070.0317484999998</v>
      </c>
      <c r="J3257" s="415">
        <v>1482.26</v>
      </c>
      <c r="K3257" s="415">
        <v>1881.31</v>
      </c>
      <c r="L3257" s="415">
        <v>1648</v>
      </c>
      <c r="M3257" s="415">
        <v>1121.8399999999999</v>
      </c>
      <c r="N3257" s="415">
        <v>1438.62</v>
      </c>
      <c r="O3257" s="415">
        <v>1361.88</v>
      </c>
      <c r="P3257" s="415">
        <v>1295.54</v>
      </c>
      <c r="Q3257" s="481">
        <f t="shared" si="96"/>
        <v>412.22825150000017</v>
      </c>
    </row>
    <row r="3258" spans="1:17" x14ac:dyDescent="0.3">
      <c r="A3258" s="366" t="str">
        <f>IFERROR(VLOOKUP(RIGHT(E3258,3)+0,[1]SchLocTable!$A$2:$B$47,2,FALSE)," ")</f>
        <v>Classical Studies Academy</v>
      </c>
      <c r="B3258" s="366" t="str">
        <f>VLOOKUP(VALUE(D3258),$D$3:F$106,3,FALSE)</f>
        <v>School Nurses</v>
      </c>
      <c r="C3258" t="s">
        <v>314</v>
      </c>
      <c r="D3258">
        <v>860</v>
      </c>
      <c r="E3258" t="s">
        <v>1052</v>
      </c>
      <c r="F3258" t="s">
        <v>392</v>
      </c>
      <c r="G3258" t="s">
        <v>319</v>
      </c>
      <c r="H3258" s="502">
        <v>52504</v>
      </c>
      <c r="I3258" s="415">
        <v>15334.661885399999</v>
      </c>
      <c r="J3258" s="415">
        <v>21013.25</v>
      </c>
      <c r="K3258" s="415">
        <v>29643.759999999998</v>
      </c>
      <c r="L3258" s="415">
        <v>25579.360000000001</v>
      </c>
      <c r="M3258" s="415">
        <v>18912.990000000002</v>
      </c>
      <c r="N3258" s="415">
        <v>21622.59</v>
      </c>
      <c r="O3258" s="415">
        <v>17621.68</v>
      </c>
      <c r="P3258" s="415">
        <v>14508.85</v>
      </c>
      <c r="Q3258" s="481">
        <f t="shared" si="96"/>
        <v>5678.5881146000011</v>
      </c>
    </row>
    <row r="3259" spans="1:17" x14ac:dyDescent="0.3">
      <c r="A3259" s="366" t="str">
        <f>IFERROR(VLOOKUP(RIGHT(E3259,3)+0,[1]SchLocTable!$A$2:$B$47,2,FALSE)," ")</f>
        <v>Classical Studies Academy</v>
      </c>
      <c r="B3259" s="366" t="str">
        <f>VLOOKUP(VALUE(D3259),$D$3:F$106,3,FALSE)</f>
        <v>School Nurses</v>
      </c>
      <c r="C3259" t="s">
        <v>314</v>
      </c>
      <c r="D3259">
        <v>860</v>
      </c>
      <c r="E3259" t="s">
        <v>1052</v>
      </c>
      <c r="F3259" t="s">
        <v>419</v>
      </c>
      <c r="G3259" t="s">
        <v>319</v>
      </c>
      <c r="H3259" s="502">
        <v>51318</v>
      </c>
      <c r="I3259" s="415">
        <v>0</v>
      </c>
      <c r="J3259" s="415">
        <v>0</v>
      </c>
      <c r="K3259" s="415">
        <v>0</v>
      </c>
      <c r="L3259" s="415">
        <v>0</v>
      </c>
      <c r="M3259" s="415">
        <v>0</v>
      </c>
      <c r="N3259" s="415">
        <v>0</v>
      </c>
      <c r="O3259" s="415">
        <v>0</v>
      </c>
      <c r="P3259" s="415">
        <v>0</v>
      </c>
      <c r="Q3259" s="481">
        <f t="shared" si="96"/>
        <v>0</v>
      </c>
    </row>
    <row r="3260" spans="1:17" x14ac:dyDescent="0.3">
      <c r="A3260" s="366" t="str">
        <f>IFERROR(VLOOKUP(RIGHT(E3260,3)+0,[1]SchLocTable!$A$2:$B$47,2,FALSE)," ")</f>
        <v>Classical Studies Academy</v>
      </c>
      <c r="B3260" s="366" t="str">
        <f>VLOOKUP(VALUE(D3260),$D$3:F$106,3,FALSE)</f>
        <v>School Nurses</v>
      </c>
      <c r="C3260" t="s">
        <v>314</v>
      </c>
      <c r="D3260">
        <v>860</v>
      </c>
      <c r="E3260" t="s">
        <v>1052</v>
      </c>
      <c r="F3260" t="s">
        <v>329</v>
      </c>
      <c r="G3260" t="s">
        <v>319</v>
      </c>
      <c r="H3260" s="502">
        <v>51154</v>
      </c>
      <c r="I3260" s="415">
        <v>4300.8680000000004</v>
      </c>
      <c r="J3260" s="415">
        <v>0</v>
      </c>
      <c r="K3260" s="415">
        <v>0</v>
      </c>
      <c r="L3260" s="415">
        <v>0</v>
      </c>
      <c r="M3260" s="415">
        <v>0</v>
      </c>
      <c r="N3260" s="415">
        <v>0</v>
      </c>
      <c r="O3260" s="415">
        <v>0</v>
      </c>
      <c r="P3260" s="415">
        <v>0</v>
      </c>
      <c r="Q3260" s="481">
        <f t="shared" si="96"/>
        <v>-4300.8680000000004</v>
      </c>
    </row>
    <row r="3261" spans="1:17" x14ac:dyDescent="0.3">
      <c r="A3261" s="366" t="str">
        <f>IFERROR(VLOOKUP(RIGHT(E3261,3)+0,[1]SchLocTable!$A$2:$B$47,2,FALSE)," ")</f>
        <v>Tisdale</v>
      </c>
      <c r="B3261" s="366" t="str">
        <f>VLOOKUP(VALUE(D3261),$D$3:F$106,3,FALSE)</f>
        <v>School Nurses</v>
      </c>
      <c r="C3261" t="s">
        <v>314</v>
      </c>
      <c r="D3261">
        <v>860</v>
      </c>
      <c r="E3261" t="s">
        <v>1053</v>
      </c>
      <c r="F3261" t="s">
        <v>316</v>
      </c>
      <c r="G3261">
        <v>1</v>
      </c>
      <c r="H3261" s="502">
        <v>51000</v>
      </c>
      <c r="I3261" s="415">
        <v>0</v>
      </c>
      <c r="J3261" s="415">
        <v>0</v>
      </c>
      <c r="K3261" s="415">
        <v>772.51</v>
      </c>
      <c r="L3261" s="415">
        <v>0</v>
      </c>
      <c r="M3261" s="415">
        <v>0</v>
      </c>
      <c r="N3261" s="415">
        <v>344.32</v>
      </c>
      <c r="O3261" s="415">
        <v>5006.9399999999996</v>
      </c>
      <c r="P3261" s="415">
        <v>71620.62</v>
      </c>
      <c r="Q3261" s="481">
        <f t="shared" si="96"/>
        <v>0</v>
      </c>
    </row>
    <row r="3262" spans="1:17" x14ac:dyDescent="0.3">
      <c r="A3262" s="366" t="str">
        <f>IFERROR(VLOOKUP(RIGHT(E3262,3)+0,[1]SchLocTable!$A$2:$B$47,2,FALSE)," ")</f>
        <v>Tisdale</v>
      </c>
      <c r="B3262" s="366" t="str">
        <f>VLOOKUP(VALUE(D3262),$D$3:F$106,3,FALSE)</f>
        <v>School Nurses</v>
      </c>
      <c r="C3262" t="s">
        <v>314</v>
      </c>
      <c r="D3262">
        <v>860</v>
      </c>
      <c r="E3262" t="s">
        <v>1053</v>
      </c>
      <c r="F3262" t="s">
        <v>321</v>
      </c>
      <c r="G3262" t="s">
        <v>319</v>
      </c>
      <c r="H3262" s="502">
        <v>52917</v>
      </c>
      <c r="I3262" s="415">
        <v>0</v>
      </c>
      <c r="J3262" s="415">
        <v>0</v>
      </c>
      <c r="K3262" s="415">
        <v>303.62</v>
      </c>
      <c r="L3262" s="415">
        <v>0</v>
      </c>
      <c r="M3262" s="415">
        <v>0</v>
      </c>
      <c r="N3262" s="415">
        <v>0</v>
      </c>
      <c r="O3262" s="415">
        <v>0</v>
      </c>
      <c r="P3262" s="415">
        <v>30061.759999999998</v>
      </c>
      <c r="Q3262" s="481">
        <f t="shared" si="96"/>
        <v>0</v>
      </c>
    </row>
    <row r="3263" spans="1:17" x14ac:dyDescent="0.3">
      <c r="A3263" s="366" t="str">
        <f>IFERROR(VLOOKUP(RIGHT(E3263,3)+0,[1]SchLocTable!$A$2:$B$47,2,FALSE)," ")</f>
        <v>Tisdale</v>
      </c>
      <c r="B3263" s="366" t="str">
        <f>VLOOKUP(VALUE(D3263),$D$3:F$106,3,FALSE)</f>
        <v>School Nurses</v>
      </c>
      <c r="C3263" t="s">
        <v>314</v>
      </c>
      <c r="D3263">
        <v>860</v>
      </c>
      <c r="E3263" t="s">
        <v>1053</v>
      </c>
      <c r="F3263" t="s">
        <v>320</v>
      </c>
      <c r="G3263" t="s">
        <v>319</v>
      </c>
      <c r="H3263" s="502">
        <v>52360</v>
      </c>
      <c r="I3263" s="415">
        <v>0</v>
      </c>
      <c r="J3263" s="415">
        <v>0</v>
      </c>
      <c r="K3263" s="415">
        <v>9.6199999999999992</v>
      </c>
      <c r="L3263" s="415">
        <v>0</v>
      </c>
      <c r="M3263" s="415">
        <v>0.01</v>
      </c>
      <c r="N3263" s="415">
        <v>4.99</v>
      </c>
      <c r="O3263" s="415">
        <v>72.599999999999994</v>
      </c>
      <c r="P3263" s="415">
        <v>905.7</v>
      </c>
      <c r="Q3263" s="481">
        <f t="shared" ref="Q3263:Q3326" si="97">J3263-I3263</f>
        <v>0</v>
      </c>
    </row>
    <row r="3264" spans="1:17" x14ac:dyDescent="0.3">
      <c r="A3264" s="366" t="str">
        <f>IFERROR(VLOOKUP(RIGHT(E3264,3)+0,[1]SchLocTable!$A$2:$B$47,2,FALSE)," ")</f>
        <v>Tisdale</v>
      </c>
      <c r="B3264" s="366" t="str">
        <f>VLOOKUP(VALUE(D3264),$D$3:F$106,3,FALSE)</f>
        <v>School Nurses</v>
      </c>
      <c r="C3264" t="s">
        <v>314</v>
      </c>
      <c r="D3264">
        <v>860</v>
      </c>
      <c r="E3264" t="s">
        <v>1053</v>
      </c>
      <c r="F3264" t="s">
        <v>392</v>
      </c>
      <c r="G3264" t="s">
        <v>319</v>
      </c>
      <c r="H3264" s="502">
        <v>52504</v>
      </c>
      <c r="I3264" s="415">
        <v>0</v>
      </c>
      <c r="J3264" s="415">
        <v>0</v>
      </c>
      <c r="K3264" s="415">
        <v>159.06</v>
      </c>
      <c r="L3264" s="415">
        <v>0</v>
      </c>
      <c r="M3264" s="415">
        <v>8.81</v>
      </c>
      <c r="N3264" s="415">
        <v>65.489999999999995</v>
      </c>
      <c r="O3264" s="415">
        <v>820.64</v>
      </c>
      <c r="P3264" s="415">
        <v>10328.549999999999</v>
      </c>
      <c r="Q3264" s="481">
        <f t="shared" si="97"/>
        <v>0</v>
      </c>
    </row>
    <row r="3265" spans="1:17" x14ac:dyDescent="0.3">
      <c r="A3265" s="366" t="str">
        <f>IFERROR(VLOOKUP(RIGHT(E3265,3)+0,[1]SchLocTable!$A$2:$B$47,2,FALSE)," ")</f>
        <v>Read</v>
      </c>
      <c r="B3265" s="366" t="str">
        <f>VLOOKUP(VALUE(D3265),$D$3:F$106,3,FALSE)</f>
        <v>School Nurses</v>
      </c>
      <c r="C3265" t="s">
        <v>314</v>
      </c>
      <c r="D3265">
        <v>860</v>
      </c>
      <c r="E3265" t="s">
        <v>1054</v>
      </c>
      <c r="F3265" t="s">
        <v>316</v>
      </c>
      <c r="G3265">
        <v>1</v>
      </c>
      <c r="H3265" s="502">
        <v>51000</v>
      </c>
      <c r="I3265" s="415">
        <v>70819.046999999991</v>
      </c>
      <c r="J3265" s="415">
        <v>66951</v>
      </c>
      <c r="K3265" s="415">
        <v>67950.789999999994</v>
      </c>
      <c r="L3265" s="415">
        <v>53015.34</v>
      </c>
      <c r="M3265" s="415">
        <v>0</v>
      </c>
      <c r="N3265" s="415">
        <v>4139.63</v>
      </c>
      <c r="O3265" s="415">
        <v>63555.59</v>
      </c>
      <c r="P3265" s="415">
        <v>63909.66</v>
      </c>
      <c r="Q3265" s="481">
        <f t="shared" si="97"/>
        <v>-3868.0469999999914</v>
      </c>
    </row>
    <row r="3266" spans="1:17" x14ac:dyDescent="0.3">
      <c r="A3266" s="366" t="str">
        <f>IFERROR(VLOOKUP(RIGHT(E3266,3)+0,[1]SchLocTable!$A$2:$B$47,2,FALSE)," ")</f>
        <v>Read</v>
      </c>
      <c r="B3266" s="366" t="str">
        <f>VLOOKUP(VALUE(D3266),$D$3:F$106,3,FALSE)</f>
        <v>School Nurses</v>
      </c>
      <c r="C3266" t="s">
        <v>314</v>
      </c>
      <c r="D3266">
        <v>860</v>
      </c>
      <c r="E3266" t="s">
        <v>1054</v>
      </c>
      <c r="F3266" t="s">
        <v>321</v>
      </c>
      <c r="G3266" t="s">
        <v>319</v>
      </c>
      <c r="H3266" s="502">
        <v>52917</v>
      </c>
      <c r="I3266" s="415">
        <v>43153.968000000001</v>
      </c>
      <c r="J3266" s="415">
        <v>35784</v>
      </c>
      <c r="K3266" s="415">
        <v>32724.63</v>
      </c>
      <c r="L3266" s="415">
        <v>24523.72</v>
      </c>
      <c r="M3266" s="415">
        <v>0</v>
      </c>
      <c r="N3266" s="415">
        <v>1899.31</v>
      </c>
      <c r="O3266" s="415">
        <v>27393.08</v>
      </c>
      <c r="P3266" s="415">
        <v>26307.53</v>
      </c>
      <c r="Q3266" s="481">
        <f t="shared" si="97"/>
        <v>-7369.9680000000008</v>
      </c>
    </row>
    <row r="3267" spans="1:17" x14ac:dyDescent="0.3">
      <c r="A3267" s="366" t="str">
        <f>IFERROR(VLOOKUP(RIGHT(E3267,3)+0,[1]SchLocTable!$A$2:$B$47,2,FALSE)," ")</f>
        <v>Read</v>
      </c>
      <c r="B3267" s="366" t="str">
        <f>VLOOKUP(VALUE(D3267),$D$3:F$106,3,FALSE)</f>
        <v>School Nurses</v>
      </c>
      <c r="C3267" t="s">
        <v>314</v>
      </c>
      <c r="D3267">
        <v>860</v>
      </c>
      <c r="E3267" t="s">
        <v>1054</v>
      </c>
      <c r="F3267" t="s">
        <v>320</v>
      </c>
      <c r="G3267" t="s">
        <v>319</v>
      </c>
      <c r="H3267" s="502">
        <v>52360</v>
      </c>
      <c r="I3267" s="415">
        <v>1026.8761815</v>
      </c>
      <c r="J3267" s="415">
        <v>767</v>
      </c>
      <c r="K3267" s="415">
        <v>816.96</v>
      </c>
      <c r="L3267" s="415">
        <v>643.05999999999995</v>
      </c>
      <c r="M3267" s="415">
        <v>0</v>
      </c>
      <c r="N3267" s="415">
        <v>51.31</v>
      </c>
      <c r="O3267" s="415">
        <v>826.62</v>
      </c>
      <c r="P3267" s="415">
        <v>837.23</v>
      </c>
      <c r="Q3267" s="481">
        <f t="shared" si="97"/>
        <v>-259.87618150000003</v>
      </c>
    </row>
    <row r="3268" spans="1:17" x14ac:dyDescent="0.3">
      <c r="A3268" s="366" t="str">
        <f>IFERROR(VLOOKUP(RIGHT(E3268,3)+0,[1]SchLocTable!$A$2:$B$47,2,FALSE)," ")</f>
        <v>Read</v>
      </c>
      <c r="B3268" s="366" t="str">
        <f>VLOOKUP(VALUE(D3268),$D$3:F$106,3,FALSE)</f>
        <v>School Nurses</v>
      </c>
      <c r="C3268" t="s">
        <v>314</v>
      </c>
      <c r="D3268">
        <v>860</v>
      </c>
      <c r="E3268" t="s">
        <v>1054</v>
      </c>
      <c r="F3268" t="s">
        <v>392</v>
      </c>
      <c r="G3268" t="s">
        <v>319</v>
      </c>
      <c r="H3268" s="502">
        <v>52504</v>
      </c>
      <c r="I3268" s="415">
        <v>14716.197966599999</v>
      </c>
      <c r="J3268" s="415">
        <v>13913</v>
      </c>
      <c r="K3268" s="415">
        <v>13994</v>
      </c>
      <c r="L3268" s="415">
        <v>4635.3599999999997</v>
      </c>
      <c r="M3268" s="415">
        <v>0</v>
      </c>
      <c r="N3268" s="415">
        <v>787.36</v>
      </c>
      <c r="O3268" s="415">
        <v>10763.01</v>
      </c>
      <c r="P3268" s="415">
        <v>10132.540000000001</v>
      </c>
      <c r="Q3268" s="481">
        <f t="shared" si="97"/>
        <v>-803.19796659999884</v>
      </c>
    </row>
    <row r="3269" spans="1:17" x14ac:dyDescent="0.3">
      <c r="A3269" s="366" t="str">
        <f>IFERROR(VLOOKUP(RIGHT(E3269,3)+0,[1]SchLocTable!$A$2:$B$47,2,FALSE)," ")</f>
        <v>Read</v>
      </c>
      <c r="B3269" s="366" t="str">
        <f>VLOOKUP(VALUE(D3269),$D$3:F$106,3,FALSE)</f>
        <v>School Nurses</v>
      </c>
      <c r="C3269" t="s">
        <v>314</v>
      </c>
      <c r="D3269">
        <v>860</v>
      </c>
      <c r="E3269" t="s">
        <v>1054</v>
      </c>
      <c r="F3269" t="s">
        <v>324</v>
      </c>
      <c r="G3269" t="s">
        <v>319</v>
      </c>
      <c r="H3269" s="502">
        <v>52385</v>
      </c>
      <c r="I3269" s="415">
        <v>0</v>
      </c>
      <c r="J3269" s="415">
        <v>0</v>
      </c>
      <c r="K3269" s="415">
        <v>0</v>
      </c>
      <c r="L3269" s="415">
        <v>1588.93</v>
      </c>
      <c r="M3269" s="415">
        <v>0</v>
      </c>
      <c r="N3269" s="415">
        <v>0</v>
      </c>
      <c r="O3269" s="415">
        <v>0</v>
      </c>
      <c r="P3269" s="415">
        <v>0</v>
      </c>
      <c r="Q3269" s="481">
        <f t="shared" si="97"/>
        <v>0</v>
      </c>
    </row>
    <row r="3270" spans="1:17" x14ac:dyDescent="0.3">
      <c r="A3270" s="366" t="str">
        <f>IFERROR(VLOOKUP(RIGHT(E3270,3)+0,[1]SchLocTable!$A$2:$B$47,2,FALSE)," ")</f>
        <v>Roosevelt</v>
      </c>
      <c r="B3270" s="366" t="str">
        <f>VLOOKUP(VALUE(D3270),$D$3:F$106,3,FALSE)</f>
        <v>School Nurses</v>
      </c>
      <c r="C3270" t="s">
        <v>314</v>
      </c>
      <c r="D3270">
        <v>860</v>
      </c>
      <c r="E3270" t="s">
        <v>1055</v>
      </c>
      <c r="F3270" t="s">
        <v>1036</v>
      </c>
      <c r="G3270" t="s">
        <v>319</v>
      </c>
      <c r="H3270" s="502">
        <v>53905</v>
      </c>
      <c r="I3270" s="415">
        <v>515</v>
      </c>
      <c r="J3270" s="415">
        <v>500</v>
      </c>
      <c r="K3270" s="415">
        <v>500</v>
      </c>
      <c r="L3270" s="415">
        <v>500</v>
      </c>
      <c r="M3270" s="415">
        <v>500</v>
      </c>
      <c r="N3270" s="415">
        <v>500</v>
      </c>
      <c r="O3270" s="415">
        <v>500</v>
      </c>
      <c r="P3270" s="415">
        <v>500</v>
      </c>
      <c r="Q3270" s="481">
        <f t="shared" si="97"/>
        <v>-15</v>
      </c>
    </row>
    <row r="3271" spans="1:17" x14ac:dyDescent="0.3">
      <c r="A3271" s="366" t="str">
        <f>IFERROR(VLOOKUP(RIGHT(E3271,3)+0,[1]SchLocTable!$A$2:$B$47,2,FALSE)," ")</f>
        <v>Roosevelt</v>
      </c>
      <c r="B3271" s="366" t="str">
        <f>VLOOKUP(VALUE(D3271),$D$3:F$106,3,FALSE)</f>
        <v>School Nurses</v>
      </c>
      <c r="C3271" t="s">
        <v>314</v>
      </c>
      <c r="D3271">
        <v>860</v>
      </c>
      <c r="E3271" t="s">
        <v>1055</v>
      </c>
      <c r="F3271" t="s">
        <v>316</v>
      </c>
      <c r="G3271">
        <v>1</v>
      </c>
      <c r="H3271" s="502">
        <v>51000</v>
      </c>
      <c r="I3271" s="415">
        <v>73795.292999999991</v>
      </c>
      <c r="J3271" s="415">
        <v>71300</v>
      </c>
      <c r="K3271" s="415">
        <v>71574.02</v>
      </c>
      <c r="L3271" s="415">
        <v>61836.42</v>
      </c>
      <c r="M3271" s="415">
        <v>76217.87</v>
      </c>
      <c r="N3271" s="415">
        <v>68052.31</v>
      </c>
      <c r="O3271" s="415">
        <v>61229.58</v>
      </c>
      <c r="P3271" s="415">
        <v>58357.96</v>
      </c>
      <c r="Q3271" s="481">
        <f t="shared" si="97"/>
        <v>-2495.2929999999906</v>
      </c>
    </row>
    <row r="3272" spans="1:17" x14ac:dyDescent="0.3">
      <c r="A3272" s="366" t="str">
        <f>IFERROR(VLOOKUP(RIGHT(E3272,3)+0,[1]SchLocTable!$A$2:$B$47,2,FALSE)," ")</f>
        <v>Roosevelt</v>
      </c>
      <c r="B3272" s="366" t="str">
        <f>VLOOKUP(VALUE(D3272),$D$3:F$106,3,FALSE)</f>
        <v>School Nurses</v>
      </c>
      <c r="C3272" t="s">
        <v>314</v>
      </c>
      <c r="D3272">
        <v>860</v>
      </c>
      <c r="E3272" t="s">
        <v>1055</v>
      </c>
      <c r="F3272" t="s">
        <v>321</v>
      </c>
      <c r="G3272" t="s">
        <v>319</v>
      </c>
      <c r="H3272" s="502">
        <v>52917</v>
      </c>
      <c r="I3272" s="415">
        <v>14569.776</v>
      </c>
      <c r="J3272" s="415">
        <v>12274.4</v>
      </c>
      <c r="K3272" s="415">
        <v>11604.16</v>
      </c>
      <c r="L3272" s="415">
        <v>10020.6</v>
      </c>
      <c r="M3272" s="415">
        <v>11955.65</v>
      </c>
      <c r="N3272" s="415">
        <v>9619.1299999999992</v>
      </c>
      <c r="O3272" s="415">
        <v>8740.9699999999993</v>
      </c>
      <c r="P3272" s="415">
        <v>7428.31</v>
      </c>
      <c r="Q3272" s="481">
        <f t="shared" si="97"/>
        <v>-2295.3760000000002</v>
      </c>
    </row>
    <row r="3273" spans="1:17" x14ac:dyDescent="0.3">
      <c r="A3273" s="366" t="str">
        <f>IFERROR(VLOOKUP(RIGHT(E3273,3)+0,[1]SchLocTable!$A$2:$B$47,2,FALSE)," ")</f>
        <v>Roosevelt</v>
      </c>
      <c r="B3273" s="366" t="str">
        <f>VLOOKUP(VALUE(D3273),$D$3:F$106,3,FALSE)</f>
        <v>School Nurses</v>
      </c>
      <c r="C3273" t="s">
        <v>314</v>
      </c>
      <c r="D3273">
        <v>860</v>
      </c>
      <c r="E3273" t="s">
        <v>1055</v>
      </c>
      <c r="F3273" t="s">
        <v>318</v>
      </c>
      <c r="G3273" t="s">
        <v>319</v>
      </c>
      <c r="H3273" s="502">
        <v>51140</v>
      </c>
      <c r="I3273" s="415">
        <v>770</v>
      </c>
      <c r="J3273" s="415">
        <v>0</v>
      </c>
      <c r="K3273" s="415">
        <v>420</v>
      </c>
      <c r="L3273" s="415">
        <v>350</v>
      </c>
      <c r="M3273" s="415">
        <v>0</v>
      </c>
      <c r="N3273" s="415">
        <v>0</v>
      </c>
      <c r="O3273" s="415">
        <v>0</v>
      </c>
      <c r="P3273" s="415">
        <v>0</v>
      </c>
      <c r="Q3273" s="481">
        <f t="shared" si="97"/>
        <v>-770</v>
      </c>
    </row>
    <row r="3274" spans="1:17" x14ac:dyDescent="0.3">
      <c r="A3274" s="366" t="str">
        <f>IFERROR(VLOOKUP(RIGHT(E3274,3)+0,[1]SchLocTable!$A$2:$B$47,2,FALSE)," ")</f>
        <v>Roosevelt</v>
      </c>
      <c r="B3274" s="366" t="str">
        <f>VLOOKUP(VALUE(D3274),$D$3:F$106,3,FALSE)</f>
        <v>School Nurses</v>
      </c>
      <c r="C3274" t="s">
        <v>314</v>
      </c>
      <c r="D3274">
        <v>860</v>
      </c>
      <c r="E3274" t="s">
        <v>1055</v>
      </c>
      <c r="F3274" t="s">
        <v>320</v>
      </c>
      <c r="G3274" t="s">
        <v>319</v>
      </c>
      <c r="H3274" s="502">
        <v>52360</v>
      </c>
      <c r="I3274" s="415">
        <v>1070.0317484999998</v>
      </c>
      <c r="J3274" s="415">
        <v>982</v>
      </c>
      <c r="K3274" s="415">
        <v>997.25</v>
      </c>
      <c r="L3274" s="415">
        <v>862.6</v>
      </c>
      <c r="M3274" s="415">
        <v>1057.25</v>
      </c>
      <c r="N3274" s="415">
        <v>945.58</v>
      </c>
      <c r="O3274" s="415">
        <v>845.83</v>
      </c>
      <c r="P3274" s="415">
        <v>814.82</v>
      </c>
      <c r="Q3274" s="481">
        <f t="shared" si="97"/>
        <v>-88.031748499999821</v>
      </c>
    </row>
    <row r="3275" spans="1:17" x14ac:dyDescent="0.3">
      <c r="A3275" s="366" t="str">
        <f>IFERROR(VLOOKUP(RIGHT(E3275,3)+0,[1]SchLocTable!$A$2:$B$47,2,FALSE)," ")</f>
        <v>Roosevelt</v>
      </c>
      <c r="B3275" s="366" t="str">
        <f>VLOOKUP(VALUE(D3275),$D$3:F$106,3,FALSE)</f>
        <v>School Nurses</v>
      </c>
      <c r="C3275" t="s">
        <v>314</v>
      </c>
      <c r="D3275">
        <v>860</v>
      </c>
      <c r="E3275" t="s">
        <v>1055</v>
      </c>
      <c r="F3275" t="s">
        <v>392</v>
      </c>
      <c r="G3275" t="s">
        <v>319</v>
      </c>
      <c r="H3275" s="502">
        <v>52504</v>
      </c>
      <c r="I3275" s="415">
        <v>15334.661885399999</v>
      </c>
      <c r="J3275" s="415">
        <v>14918</v>
      </c>
      <c r="K3275" s="415">
        <v>14826.7</v>
      </c>
      <c r="L3275" s="415">
        <v>12682.65</v>
      </c>
      <c r="M3275" s="415">
        <v>16336.18</v>
      </c>
      <c r="N3275" s="415">
        <v>13001.96</v>
      </c>
      <c r="O3275" s="415">
        <v>9104.3799999999992</v>
      </c>
      <c r="P3275" s="415">
        <v>8338.94</v>
      </c>
      <c r="Q3275" s="481">
        <f t="shared" si="97"/>
        <v>-416.66188539999894</v>
      </c>
    </row>
    <row r="3276" spans="1:17" x14ac:dyDescent="0.3">
      <c r="A3276" s="366" t="str">
        <f>IFERROR(VLOOKUP(RIGHT(E3276,3)+0,[1]SchLocTable!$A$2:$B$47,2,FALSE)," ")</f>
        <v>Bridgeport Learning Center</v>
      </c>
      <c r="B3276" s="366" t="str">
        <f>VLOOKUP(VALUE(D3276),$D$3:F$106,3,FALSE)</f>
        <v>School Nurses</v>
      </c>
      <c r="C3276" t="s">
        <v>314</v>
      </c>
      <c r="D3276">
        <v>860</v>
      </c>
      <c r="E3276" t="s">
        <v>1056</v>
      </c>
      <c r="F3276" t="s">
        <v>1036</v>
      </c>
      <c r="G3276" t="s">
        <v>319</v>
      </c>
      <c r="H3276" s="502">
        <v>53905</v>
      </c>
      <c r="I3276" s="415">
        <v>360.5</v>
      </c>
      <c r="J3276" s="415">
        <v>350</v>
      </c>
      <c r="K3276" s="415">
        <v>850</v>
      </c>
      <c r="L3276" s="415">
        <v>850</v>
      </c>
      <c r="M3276" s="415">
        <v>350</v>
      </c>
      <c r="N3276" s="415">
        <v>350</v>
      </c>
      <c r="O3276" s="415">
        <v>350</v>
      </c>
      <c r="P3276" s="415">
        <v>350</v>
      </c>
      <c r="Q3276" s="481">
        <f t="shared" si="97"/>
        <v>-10.5</v>
      </c>
    </row>
    <row r="3277" spans="1:17" x14ac:dyDescent="0.3">
      <c r="A3277" s="366" t="str">
        <f>IFERROR(VLOOKUP(RIGHT(E3277,3)+0,[1]SchLocTable!$A$2:$B$47,2,FALSE)," ")</f>
        <v>Bridgeport Learning Center</v>
      </c>
      <c r="B3277" s="366" t="str">
        <f>VLOOKUP(VALUE(D3277),$D$3:F$106,3,FALSE)</f>
        <v>School Nurses</v>
      </c>
      <c r="C3277" t="s">
        <v>314</v>
      </c>
      <c r="D3277">
        <v>860</v>
      </c>
      <c r="E3277" t="s">
        <v>1056</v>
      </c>
      <c r="F3277" t="s">
        <v>316</v>
      </c>
      <c r="G3277">
        <v>2</v>
      </c>
      <c r="H3277" s="502">
        <v>51000</v>
      </c>
      <c r="I3277" s="415">
        <v>147590.58599999998</v>
      </c>
      <c r="J3277" s="415">
        <v>142600</v>
      </c>
      <c r="K3277" s="415">
        <v>143148.04999999999</v>
      </c>
      <c r="L3277" s="415">
        <v>118295.77</v>
      </c>
      <c r="M3277" s="415">
        <v>76854.83</v>
      </c>
      <c r="N3277" s="415">
        <v>69951.929999999993</v>
      </c>
      <c r="O3277" s="415">
        <v>68606.14</v>
      </c>
      <c r="P3277" s="415">
        <v>61393.19</v>
      </c>
      <c r="Q3277" s="481">
        <f t="shared" si="97"/>
        <v>-4990.5859999999811</v>
      </c>
    </row>
    <row r="3278" spans="1:17" x14ac:dyDescent="0.3">
      <c r="A3278" s="366" t="str">
        <f>IFERROR(VLOOKUP(RIGHT(E3278,3)+0,[1]SchLocTable!$A$2:$B$47,2,FALSE)," ")</f>
        <v>Bridgeport Learning Center</v>
      </c>
      <c r="B3278" s="366" t="str">
        <f>VLOOKUP(VALUE(D3278),$D$3:F$106,3,FALSE)</f>
        <v>School Nurses</v>
      </c>
      <c r="C3278" t="s">
        <v>314</v>
      </c>
      <c r="D3278">
        <v>860</v>
      </c>
      <c r="E3278" t="s">
        <v>1056</v>
      </c>
      <c r="F3278" t="s">
        <v>360</v>
      </c>
      <c r="G3278" t="s">
        <v>319</v>
      </c>
      <c r="H3278" s="502">
        <v>52920</v>
      </c>
      <c r="I3278" s="415">
        <v>3000</v>
      </c>
      <c r="J3278" s="415">
        <v>0</v>
      </c>
      <c r="K3278" s="415">
        <v>3000</v>
      </c>
      <c r="L3278" s="415">
        <v>2000</v>
      </c>
      <c r="M3278" s="415">
        <v>0</v>
      </c>
      <c r="N3278" s="415">
        <v>0</v>
      </c>
      <c r="O3278" s="415">
        <v>0</v>
      </c>
      <c r="P3278" s="415">
        <v>0</v>
      </c>
      <c r="Q3278" s="481">
        <f t="shared" si="97"/>
        <v>-3000</v>
      </c>
    </row>
    <row r="3279" spans="1:17" x14ac:dyDescent="0.3">
      <c r="A3279" s="366" t="str">
        <f>IFERROR(VLOOKUP(RIGHT(E3279,3)+0,[1]SchLocTable!$A$2:$B$47,2,FALSE)," ")</f>
        <v>Bridgeport Learning Center</v>
      </c>
      <c r="B3279" s="366" t="str">
        <f>VLOOKUP(VALUE(D3279),$D$3:F$106,3,FALSE)</f>
        <v>School Nurses</v>
      </c>
      <c r="C3279" t="s">
        <v>314</v>
      </c>
      <c r="D3279">
        <v>860</v>
      </c>
      <c r="E3279" t="s">
        <v>1056</v>
      </c>
      <c r="F3279" t="s">
        <v>321</v>
      </c>
      <c r="G3279" t="s">
        <v>319</v>
      </c>
      <c r="H3279" s="502">
        <v>52917</v>
      </c>
      <c r="I3279" s="415">
        <v>16591.536</v>
      </c>
      <c r="J3279" s="415">
        <v>13772</v>
      </c>
      <c r="K3279" s="415">
        <v>12724.01</v>
      </c>
      <c r="L3279" s="415">
        <v>11199.82</v>
      </c>
      <c r="M3279" s="415">
        <v>12115.98</v>
      </c>
      <c r="N3279" s="415">
        <v>9736.24</v>
      </c>
      <c r="O3279" s="415">
        <v>9657.31</v>
      </c>
      <c r="P3279" s="415">
        <v>9188.32</v>
      </c>
      <c r="Q3279" s="481">
        <f t="shared" si="97"/>
        <v>-2819.5360000000001</v>
      </c>
    </row>
    <row r="3280" spans="1:17" x14ac:dyDescent="0.3">
      <c r="A3280" s="366" t="str">
        <f>IFERROR(VLOOKUP(RIGHT(E3280,3)+0,[1]SchLocTable!$A$2:$B$47,2,FALSE)," ")</f>
        <v>Bridgeport Learning Center</v>
      </c>
      <c r="B3280" s="366" t="str">
        <f>VLOOKUP(VALUE(D3280),$D$3:F$106,3,FALSE)</f>
        <v>School Nurses</v>
      </c>
      <c r="C3280" t="s">
        <v>314</v>
      </c>
      <c r="D3280">
        <v>860</v>
      </c>
      <c r="E3280" t="s">
        <v>1056</v>
      </c>
      <c r="F3280" t="s">
        <v>318</v>
      </c>
      <c r="G3280" t="s">
        <v>319</v>
      </c>
      <c r="H3280" s="502">
        <v>51140</v>
      </c>
      <c r="I3280" s="415">
        <v>1400</v>
      </c>
      <c r="J3280" s="415">
        <v>0</v>
      </c>
      <c r="K3280" s="415">
        <v>1260</v>
      </c>
      <c r="L3280" s="415">
        <v>1120</v>
      </c>
      <c r="M3280" s="415">
        <v>490</v>
      </c>
      <c r="N3280" s="415">
        <v>420</v>
      </c>
      <c r="O3280" s="415">
        <v>350</v>
      </c>
      <c r="P3280" s="415">
        <v>0</v>
      </c>
      <c r="Q3280" s="481">
        <f t="shared" si="97"/>
        <v>-1400</v>
      </c>
    </row>
    <row r="3281" spans="1:17" x14ac:dyDescent="0.3">
      <c r="A3281" s="366" t="str">
        <f>IFERROR(VLOOKUP(RIGHT(E3281,3)+0,[1]SchLocTable!$A$2:$B$47,2,FALSE)," ")</f>
        <v>Bridgeport Learning Center</v>
      </c>
      <c r="B3281" s="366" t="str">
        <f>VLOOKUP(VALUE(D3281),$D$3:F$106,3,FALSE)</f>
        <v>School Nurses</v>
      </c>
      <c r="C3281" t="s">
        <v>314</v>
      </c>
      <c r="D3281">
        <v>860</v>
      </c>
      <c r="E3281" t="s">
        <v>1056</v>
      </c>
      <c r="F3281" t="s">
        <v>320</v>
      </c>
      <c r="G3281" t="s">
        <v>319</v>
      </c>
      <c r="H3281" s="502">
        <v>52360</v>
      </c>
      <c r="I3281" s="415">
        <v>2183.5634969999996</v>
      </c>
      <c r="J3281" s="415">
        <v>2019</v>
      </c>
      <c r="K3281" s="415">
        <v>2092.89</v>
      </c>
      <c r="L3281" s="415">
        <v>1722.78</v>
      </c>
      <c r="M3281" s="415">
        <v>1068.98</v>
      </c>
      <c r="N3281" s="415">
        <v>974.45</v>
      </c>
      <c r="O3281" s="415">
        <v>961.96</v>
      </c>
      <c r="P3281" s="415">
        <v>854.57</v>
      </c>
      <c r="Q3281" s="481">
        <f t="shared" si="97"/>
        <v>-164.56349699999964</v>
      </c>
    </row>
    <row r="3282" spans="1:17" x14ac:dyDescent="0.3">
      <c r="A3282" s="366" t="str">
        <f>IFERROR(VLOOKUP(RIGHT(E3282,3)+0,[1]SchLocTable!$A$2:$B$47,2,FALSE)," ")</f>
        <v>Bridgeport Learning Center</v>
      </c>
      <c r="B3282" s="366" t="str">
        <f>VLOOKUP(VALUE(D3282),$D$3:F$106,3,FALSE)</f>
        <v>School Nurses</v>
      </c>
      <c r="C3282" t="s">
        <v>314</v>
      </c>
      <c r="D3282">
        <v>860</v>
      </c>
      <c r="E3282" t="s">
        <v>1056</v>
      </c>
      <c r="F3282" t="s">
        <v>392</v>
      </c>
      <c r="G3282" t="s">
        <v>319</v>
      </c>
      <c r="H3282" s="502">
        <v>52504</v>
      </c>
      <c r="I3282" s="415">
        <v>31292.723770799996</v>
      </c>
      <c r="J3282" s="415">
        <v>29922</v>
      </c>
      <c r="K3282" s="415">
        <v>29739.88</v>
      </c>
      <c r="L3282" s="415">
        <v>24354.54</v>
      </c>
      <c r="M3282" s="415">
        <v>16579.23</v>
      </c>
      <c r="N3282" s="415">
        <v>13444.36</v>
      </c>
      <c r="O3282" s="415">
        <v>11352.96</v>
      </c>
      <c r="P3282" s="415">
        <v>8773.1200000000008</v>
      </c>
      <c r="Q3282" s="481">
        <f t="shared" si="97"/>
        <v>-1370.7237707999957</v>
      </c>
    </row>
    <row r="3283" spans="1:17" x14ac:dyDescent="0.3">
      <c r="A3283" s="366" t="str">
        <f>IFERROR(VLOOKUP(RIGHT(E3283,3)+0,[1]SchLocTable!$A$2:$B$47,2,FALSE)," ")</f>
        <v>Waltersville</v>
      </c>
      <c r="B3283" s="366" t="str">
        <f>VLOOKUP(VALUE(D3283),$D$3:F$106,3,FALSE)</f>
        <v>School Nurses</v>
      </c>
      <c r="C3283" t="s">
        <v>314</v>
      </c>
      <c r="D3283">
        <v>860</v>
      </c>
      <c r="E3283" t="s">
        <v>1057</v>
      </c>
      <c r="F3283" t="s">
        <v>1036</v>
      </c>
      <c r="G3283" t="s">
        <v>319</v>
      </c>
      <c r="H3283" s="502">
        <v>53905</v>
      </c>
      <c r="I3283" s="415">
        <v>515</v>
      </c>
      <c r="J3283" s="415">
        <v>500</v>
      </c>
      <c r="K3283" s="415">
        <v>0</v>
      </c>
      <c r="L3283" s="415">
        <v>0</v>
      </c>
      <c r="M3283" s="415">
        <v>500</v>
      </c>
      <c r="N3283" s="415">
        <v>500</v>
      </c>
      <c r="O3283" s="415">
        <v>500</v>
      </c>
      <c r="P3283" s="415">
        <v>500</v>
      </c>
      <c r="Q3283" s="481">
        <f t="shared" si="97"/>
        <v>-15</v>
      </c>
    </row>
    <row r="3284" spans="1:17" x14ac:dyDescent="0.3">
      <c r="A3284" s="366" t="str">
        <f>IFERROR(VLOOKUP(RIGHT(E3284,3)+0,[1]SchLocTable!$A$2:$B$47,2,FALSE)," ")</f>
        <v>Waltersville</v>
      </c>
      <c r="B3284" s="366" t="str">
        <f>VLOOKUP(VALUE(D3284),$D$3:F$106,3,FALSE)</f>
        <v>School Nurses</v>
      </c>
      <c r="C3284" t="s">
        <v>314</v>
      </c>
      <c r="D3284">
        <v>860</v>
      </c>
      <c r="E3284" t="s">
        <v>1057</v>
      </c>
      <c r="F3284" t="s">
        <v>316</v>
      </c>
      <c r="G3284" t="s">
        <v>319</v>
      </c>
      <c r="H3284" s="502">
        <v>51000</v>
      </c>
      <c r="I3284" s="415">
        <v>0</v>
      </c>
      <c r="J3284" s="415">
        <v>0</v>
      </c>
      <c r="K3284" s="415">
        <v>0</v>
      </c>
      <c r="L3284" s="415">
        <v>14894.79</v>
      </c>
      <c r="M3284" s="415">
        <v>115242.71</v>
      </c>
      <c r="N3284" s="415">
        <v>69319.5</v>
      </c>
      <c r="O3284" s="415">
        <v>53257.9</v>
      </c>
      <c r="P3284" s="415">
        <v>53030.52</v>
      </c>
      <c r="Q3284" s="481">
        <f t="shared" si="97"/>
        <v>0</v>
      </c>
    </row>
    <row r="3285" spans="1:17" x14ac:dyDescent="0.3">
      <c r="A3285" s="366" t="str">
        <f>IFERROR(VLOOKUP(RIGHT(E3285,3)+0,[1]SchLocTable!$A$2:$B$47,2,FALSE)," ")</f>
        <v>Waltersville</v>
      </c>
      <c r="B3285" s="366" t="str">
        <f>VLOOKUP(VALUE(D3285),$D$3:F$106,3,FALSE)</f>
        <v>School Nurses</v>
      </c>
      <c r="C3285" t="s">
        <v>314</v>
      </c>
      <c r="D3285">
        <v>860</v>
      </c>
      <c r="E3285" t="s">
        <v>1057</v>
      </c>
      <c r="F3285" t="s">
        <v>360</v>
      </c>
      <c r="G3285" t="s">
        <v>319</v>
      </c>
      <c r="H3285" s="502">
        <v>52920</v>
      </c>
      <c r="I3285" s="415">
        <v>0</v>
      </c>
      <c r="J3285" s="415">
        <v>0</v>
      </c>
      <c r="K3285" s="415">
        <v>0</v>
      </c>
      <c r="L3285" s="415">
        <v>0</v>
      </c>
      <c r="M3285" s="415">
        <v>2000</v>
      </c>
      <c r="N3285" s="415">
        <v>2000</v>
      </c>
      <c r="O3285" s="415">
        <v>1000</v>
      </c>
      <c r="P3285" s="415">
        <v>1000</v>
      </c>
      <c r="Q3285" s="481">
        <f t="shared" si="97"/>
        <v>0</v>
      </c>
    </row>
    <row r="3286" spans="1:17" x14ac:dyDescent="0.3">
      <c r="A3286" s="366" t="str">
        <f>IFERROR(VLOOKUP(RIGHT(E3286,3)+0,[1]SchLocTable!$A$2:$B$47,2,FALSE)," ")</f>
        <v>Waltersville</v>
      </c>
      <c r="B3286" s="366" t="str">
        <f>VLOOKUP(VALUE(D3286),$D$3:F$106,3,FALSE)</f>
        <v>School Nurses</v>
      </c>
      <c r="C3286" t="s">
        <v>314</v>
      </c>
      <c r="D3286">
        <v>860</v>
      </c>
      <c r="E3286" t="s">
        <v>1057</v>
      </c>
      <c r="F3286" t="s">
        <v>321</v>
      </c>
      <c r="G3286" t="s">
        <v>319</v>
      </c>
      <c r="H3286" s="502">
        <v>52917</v>
      </c>
      <c r="I3286" s="415">
        <v>0</v>
      </c>
      <c r="J3286" s="415">
        <v>0</v>
      </c>
      <c r="K3286" s="415">
        <v>0</v>
      </c>
      <c r="L3286" s="415">
        <v>7548</v>
      </c>
      <c r="M3286" s="415">
        <v>17991.5</v>
      </c>
      <c r="N3286" s="415">
        <v>976.14</v>
      </c>
      <c r="O3286" s="415">
        <v>671.36</v>
      </c>
      <c r="P3286" s="415">
        <v>789.58</v>
      </c>
      <c r="Q3286" s="481">
        <f t="shared" si="97"/>
        <v>0</v>
      </c>
    </row>
    <row r="3287" spans="1:17" x14ac:dyDescent="0.3">
      <c r="A3287" s="366" t="str">
        <f>IFERROR(VLOOKUP(RIGHT(E3287,3)+0,[1]SchLocTable!$A$2:$B$47,2,FALSE)," ")</f>
        <v>Waltersville</v>
      </c>
      <c r="B3287" s="366" t="str">
        <f>VLOOKUP(VALUE(D3287),$D$3:F$106,3,FALSE)</f>
        <v>School Nurses</v>
      </c>
      <c r="C3287" t="s">
        <v>314</v>
      </c>
      <c r="D3287">
        <v>860</v>
      </c>
      <c r="E3287" t="s">
        <v>1057</v>
      </c>
      <c r="F3287" t="s">
        <v>318</v>
      </c>
      <c r="G3287" t="s">
        <v>319</v>
      </c>
      <c r="H3287" s="502">
        <v>51140</v>
      </c>
      <c r="I3287" s="415">
        <v>0</v>
      </c>
      <c r="J3287" s="415">
        <v>0</v>
      </c>
      <c r="K3287" s="415">
        <v>0</v>
      </c>
      <c r="L3287" s="415">
        <v>0</v>
      </c>
      <c r="M3287" s="415">
        <v>490</v>
      </c>
      <c r="N3287" s="415">
        <v>420</v>
      </c>
      <c r="O3287" s="415">
        <v>350</v>
      </c>
      <c r="P3287" s="415">
        <v>0</v>
      </c>
      <c r="Q3287" s="481">
        <f t="shared" si="97"/>
        <v>0</v>
      </c>
    </row>
    <row r="3288" spans="1:17" x14ac:dyDescent="0.3">
      <c r="A3288" s="366" t="str">
        <f>IFERROR(VLOOKUP(RIGHT(E3288,3)+0,[1]SchLocTable!$A$2:$B$47,2,FALSE)," ")</f>
        <v>Waltersville</v>
      </c>
      <c r="B3288" s="366" t="str">
        <f>VLOOKUP(VALUE(D3288),$D$3:F$106,3,FALSE)</f>
        <v>School Nurses</v>
      </c>
      <c r="C3288" t="s">
        <v>314</v>
      </c>
      <c r="D3288">
        <v>860</v>
      </c>
      <c r="E3288" t="s">
        <v>1057</v>
      </c>
      <c r="F3288" t="s">
        <v>320</v>
      </c>
      <c r="G3288" t="s">
        <v>319</v>
      </c>
      <c r="H3288" s="502">
        <v>52360</v>
      </c>
      <c r="I3288" s="415">
        <v>0</v>
      </c>
      <c r="J3288" s="415">
        <v>0</v>
      </c>
      <c r="K3288" s="415">
        <v>0</v>
      </c>
      <c r="L3288" s="415">
        <v>177.31</v>
      </c>
      <c r="M3288" s="415">
        <v>1631.31</v>
      </c>
      <c r="N3288" s="415">
        <v>1047.46</v>
      </c>
      <c r="O3288" s="415">
        <v>799.07</v>
      </c>
      <c r="P3288" s="415">
        <v>790.69</v>
      </c>
      <c r="Q3288" s="481">
        <f t="shared" si="97"/>
        <v>0</v>
      </c>
    </row>
    <row r="3289" spans="1:17" x14ac:dyDescent="0.3">
      <c r="A3289" s="366" t="str">
        <f>IFERROR(VLOOKUP(RIGHT(E3289,3)+0,[1]SchLocTable!$A$2:$B$47,2,FALSE)," ")</f>
        <v>Waltersville</v>
      </c>
      <c r="B3289" s="366" t="str">
        <f>VLOOKUP(VALUE(D3289),$D$3:F$106,3,FALSE)</f>
        <v>School Nurses</v>
      </c>
      <c r="C3289" t="s">
        <v>314</v>
      </c>
      <c r="D3289">
        <v>860</v>
      </c>
      <c r="E3289" t="s">
        <v>1057</v>
      </c>
      <c r="F3289" t="s">
        <v>392</v>
      </c>
      <c r="G3289" t="s">
        <v>319</v>
      </c>
      <c r="H3289" s="502">
        <v>52504</v>
      </c>
      <c r="I3289" s="415">
        <v>0</v>
      </c>
      <c r="J3289" s="415">
        <v>0</v>
      </c>
      <c r="K3289" s="415">
        <v>0</v>
      </c>
      <c r="L3289" s="415">
        <v>3037.08</v>
      </c>
      <c r="M3289" s="415">
        <v>18123.509999999998</v>
      </c>
      <c r="N3289" s="415">
        <v>13324.12</v>
      </c>
      <c r="O3289" s="415">
        <v>8837.42</v>
      </c>
      <c r="P3289" s="415">
        <v>7583.09</v>
      </c>
      <c r="Q3289" s="481">
        <f t="shared" si="97"/>
        <v>0</v>
      </c>
    </row>
    <row r="3290" spans="1:17" x14ac:dyDescent="0.3">
      <c r="A3290" s="366" t="str">
        <f>IFERROR(VLOOKUP(RIGHT(E3290,3)+0,[1]SchLocTable!$A$2:$B$47,2,FALSE)," ")</f>
        <v>Waltersville</v>
      </c>
      <c r="B3290" s="366" t="str">
        <f>VLOOKUP(VALUE(D3290),$D$3:F$106,3,FALSE)</f>
        <v>School Nurses</v>
      </c>
      <c r="C3290" t="s">
        <v>314</v>
      </c>
      <c r="D3290">
        <v>860</v>
      </c>
      <c r="E3290" t="s">
        <v>1057</v>
      </c>
      <c r="F3290" t="s">
        <v>324</v>
      </c>
      <c r="G3290" t="s">
        <v>319</v>
      </c>
      <c r="H3290" s="502">
        <v>52385</v>
      </c>
      <c r="I3290" s="415">
        <v>0</v>
      </c>
      <c r="J3290" s="415">
        <v>0</v>
      </c>
      <c r="K3290" s="415">
        <v>0</v>
      </c>
      <c r="L3290" s="415">
        <v>0</v>
      </c>
      <c r="M3290" s="415">
        <v>1638</v>
      </c>
      <c r="N3290" s="415">
        <v>0</v>
      </c>
      <c r="O3290" s="415">
        <v>0</v>
      </c>
      <c r="P3290" s="415">
        <v>0</v>
      </c>
      <c r="Q3290" s="481">
        <f t="shared" si="97"/>
        <v>0</v>
      </c>
    </row>
    <row r="3291" spans="1:17" x14ac:dyDescent="0.3">
      <c r="A3291" s="366" t="str">
        <f>IFERROR(VLOOKUP(RIGHT(E3291,3)+0,[1]SchLocTable!$A$2:$B$47,2,FALSE)," ")</f>
        <v>Claytor</v>
      </c>
      <c r="B3291" s="366" t="str">
        <f>VLOOKUP(VALUE(D3291),$D$3:F$106,3,FALSE)</f>
        <v>School Nurses</v>
      </c>
      <c r="C3291" t="s">
        <v>314</v>
      </c>
      <c r="D3291">
        <v>860</v>
      </c>
      <c r="E3291" t="s">
        <v>1058</v>
      </c>
      <c r="F3291" t="s">
        <v>316</v>
      </c>
      <c r="G3291">
        <v>1</v>
      </c>
      <c r="H3291" s="502">
        <v>51000</v>
      </c>
      <c r="I3291" s="415">
        <v>72378.750599999999</v>
      </c>
      <c r="J3291" s="415">
        <v>66951</v>
      </c>
      <c r="K3291" s="415">
        <v>67317.8</v>
      </c>
      <c r="L3291" s="415">
        <v>50804.77</v>
      </c>
      <c r="M3291" s="415">
        <v>71136.77</v>
      </c>
      <c r="N3291" s="415">
        <v>44004.77</v>
      </c>
      <c r="O3291" s="415">
        <v>33836.39</v>
      </c>
      <c r="P3291" s="415">
        <v>58055.66</v>
      </c>
      <c r="Q3291" s="481">
        <f t="shared" si="97"/>
        <v>-5427.7505999999994</v>
      </c>
    </row>
    <row r="3292" spans="1:17" x14ac:dyDescent="0.3">
      <c r="A3292" s="366" t="str">
        <f>IFERROR(VLOOKUP(RIGHT(E3292,3)+0,[1]SchLocTable!$A$2:$B$47,2,FALSE)," ")</f>
        <v>Claytor</v>
      </c>
      <c r="B3292" s="366" t="str">
        <f>VLOOKUP(VALUE(D3292),$D$3:F$106,3,FALSE)</f>
        <v>School Nurses</v>
      </c>
      <c r="C3292" t="s">
        <v>314</v>
      </c>
      <c r="D3292">
        <v>860</v>
      </c>
      <c r="E3292" t="s">
        <v>1058</v>
      </c>
      <c r="F3292" t="s">
        <v>321</v>
      </c>
      <c r="G3292" t="s">
        <v>319</v>
      </c>
      <c r="H3292" s="502">
        <v>52917</v>
      </c>
      <c r="I3292" s="415">
        <v>14536.080000000002</v>
      </c>
      <c r="J3292" s="415">
        <v>12050</v>
      </c>
      <c r="K3292" s="415">
        <v>11020.67</v>
      </c>
      <c r="L3292" s="415">
        <v>8481.2800000000007</v>
      </c>
      <c r="M3292" s="415">
        <v>11787.15</v>
      </c>
      <c r="N3292" s="415">
        <v>6561.89</v>
      </c>
      <c r="O3292" s="415">
        <v>0</v>
      </c>
      <c r="P3292" s="415">
        <v>1301.5999999999999</v>
      </c>
      <c r="Q3292" s="481">
        <f t="shared" si="97"/>
        <v>-2486.0800000000017</v>
      </c>
    </row>
    <row r="3293" spans="1:17" x14ac:dyDescent="0.3">
      <c r="A3293" s="366" t="str">
        <f>IFERROR(VLOOKUP(RIGHT(E3293,3)+0,[1]SchLocTable!$A$2:$B$47,2,FALSE)," ")</f>
        <v>Claytor</v>
      </c>
      <c r="B3293" s="366" t="str">
        <f>VLOOKUP(VALUE(D3293),$D$3:F$106,3,FALSE)</f>
        <v>School Nurses</v>
      </c>
      <c r="C3293" t="s">
        <v>314</v>
      </c>
      <c r="D3293">
        <v>860</v>
      </c>
      <c r="E3293" t="s">
        <v>1058</v>
      </c>
      <c r="F3293" t="s">
        <v>320</v>
      </c>
      <c r="G3293" t="s">
        <v>319</v>
      </c>
      <c r="H3293" s="502">
        <v>52360</v>
      </c>
      <c r="I3293" s="415">
        <v>1049.4918837</v>
      </c>
      <c r="J3293" s="415">
        <v>902</v>
      </c>
      <c r="K3293" s="415">
        <v>898.34</v>
      </c>
      <c r="L3293" s="415">
        <v>681.21</v>
      </c>
      <c r="M3293" s="415">
        <v>973.89</v>
      </c>
      <c r="N3293" s="415">
        <v>607.92999999999995</v>
      </c>
      <c r="O3293" s="415">
        <v>514.79999999999995</v>
      </c>
      <c r="P3293" s="415">
        <v>871.08</v>
      </c>
      <c r="Q3293" s="481">
        <f t="shared" si="97"/>
        <v>-147.49188370000002</v>
      </c>
    </row>
    <row r="3294" spans="1:17" x14ac:dyDescent="0.3">
      <c r="A3294" s="366" t="str">
        <f>IFERROR(VLOOKUP(RIGHT(E3294,3)+0,[1]SchLocTable!$A$2:$B$47,2,FALSE)," ")</f>
        <v>Claytor</v>
      </c>
      <c r="B3294" s="366" t="str">
        <f>VLOOKUP(VALUE(D3294),$D$3:F$106,3,FALSE)</f>
        <v>School Nurses</v>
      </c>
      <c r="C3294" t="s">
        <v>314</v>
      </c>
      <c r="D3294">
        <v>860</v>
      </c>
      <c r="E3294" t="s">
        <v>1058</v>
      </c>
      <c r="F3294" t="s">
        <v>392</v>
      </c>
      <c r="G3294" t="s">
        <v>319</v>
      </c>
      <c r="H3294" s="502">
        <v>52504</v>
      </c>
      <c r="I3294" s="415">
        <v>15040.304374680001</v>
      </c>
      <c r="J3294" s="415">
        <v>13913</v>
      </c>
      <c r="K3294" s="415">
        <v>13863.78</v>
      </c>
      <c r="L3294" s="415">
        <v>10361.719999999999</v>
      </c>
      <c r="M3294" s="415">
        <v>15246.54</v>
      </c>
      <c r="N3294" s="415">
        <v>2488.42</v>
      </c>
      <c r="O3294" s="415">
        <v>5545.75</v>
      </c>
      <c r="P3294" s="415">
        <v>8295.9</v>
      </c>
      <c r="Q3294" s="481">
        <f t="shared" si="97"/>
        <v>-1127.3043746800013</v>
      </c>
    </row>
    <row r="3295" spans="1:17" x14ac:dyDescent="0.3">
      <c r="A3295" s="366" t="str">
        <f>IFERROR(VLOOKUP(RIGHT(E3295,3)+0,[1]SchLocTable!$A$2:$B$47,2,FALSE)," ")</f>
        <v>Johnson</v>
      </c>
      <c r="B3295" s="366" t="str">
        <f>VLOOKUP(VALUE(D3295),$D$3:F$106,3,FALSE)</f>
        <v>School Nurses</v>
      </c>
      <c r="C3295" t="s">
        <v>314</v>
      </c>
      <c r="D3295">
        <v>860</v>
      </c>
      <c r="E3295" t="s">
        <v>1059</v>
      </c>
      <c r="F3295" t="s">
        <v>1036</v>
      </c>
      <c r="G3295" t="s">
        <v>319</v>
      </c>
      <c r="H3295" s="502">
        <v>53905</v>
      </c>
      <c r="I3295" s="415">
        <v>360.5</v>
      </c>
      <c r="J3295" s="415">
        <v>350</v>
      </c>
      <c r="K3295" s="415">
        <v>350</v>
      </c>
      <c r="L3295" s="415">
        <v>350</v>
      </c>
      <c r="M3295" s="415">
        <v>350</v>
      </c>
      <c r="N3295" s="415">
        <v>350</v>
      </c>
      <c r="O3295" s="415">
        <v>350</v>
      </c>
      <c r="P3295" s="415">
        <v>350</v>
      </c>
      <c r="Q3295" s="481">
        <f t="shared" si="97"/>
        <v>-10.5</v>
      </c>
    </row>
    <row r="3296" spans="1:17" x14ac:dyDescent="0.3">
      <c r="A3296" s="366" t="str">
        <f>IFERROR(VLOOKUP(RIGHT(E3296,3)+0,[1]SchLocTable!$A$2:$B$47,2,FALSE)," ")</f>
        <v>Johnson</v>
      </c>
      <c r="B3296" s="366" t="str">
        <f>VLOOKUP(VALUE(D3296),$D$3:F$106,3,FALSE)</f>
        <v>School Nurses</v>
      </c>
      <c r="C3296" t="s">
        <v>314</v>
      </c>
      <c r="D3296">
        <v>860</v>
      </c>
      <c r="E3296" t="s">
        <v>1059</v>
      </c>
      <c r="F3296" t="s">
        <v>316</v>
      </c>
      <c r="G3296">
        <v>1</v>
      </c>
      <c r="H3296" s="502">
        <v>51000</v>
      </c>
      <c r="I3296" s="415">
        <v>73795.292999999991</v>
      </c>
      <c r="J3296" s="415">
        <v>71300</v>
      </c>
      <c r="K3296" s="415">
        <v>82268.990000000005</v>
      </c>
      <c r="L3296" s="415">
        <v>61836.42</v>
      </c>
      <c r="M3296" s="415">
        <v>76854.83</v>
      </c>
      <c r="N3296" s="415">
        <v>69954.03</v>
      </c>
      <c r="O3296" s="415">
        <v>67750.539999999994</v>
      </c>
      <c r="P3296" s="415">
        <v>62653.97</v>
      </c>
      <c r="Q3296" s="481">
        <f t="shared" si="97"/>
        <v>-2495.2929999999906</v>
      </c>
    </row>
    <row r="3297" spans="1:17" x14ac:dyDescent="0.3">
      <c r="A3297" s="366" t="str">
        <f>IFERROR(VLOOKUP(RIGHT(E3297,3)+0,[1]SchLocTable!$A$2:$B$47,2,FALSE)," ")</f>
        <v>Johnson</v>
      </c>
      <c r="B3297" s="366" t="str">
        <f>VLOOKUP(VALUE(D3297),$D$3:F$106,3,FALSE)</f>
        <v>School Nurses</v>
      </c>
      <c r="C3297" t="s">
        <v>314</v>
      </c>
      <c r="D3297">
        <v>860</v>
      </c>
      <c r="E3297" t="s">
        <v>1059</v>
      </c>
      <c r="F3297" t="s">
        <v>321</v>
      </c>
      <c r="G3297" t="s">
        <v>319</v>
      </c>
      <c r="H3297" s="502">
        <v>52917</v>
      </c>
      <c r="I3297" s="415">
        <v>15361.008</v>
      </c>
      <c r="J3297" s="415">
        <v>11176.12</v>
      </c>
      <c r="K3297" s="415">
        <v>12693.6</v>
      </c>
      <c r="L3297" s="415">
        <v>9765.2999999999993</v>
      </c>
      <c r="M3297" s="415">
        <v>11787.15</v>
      </c>
      <c r="N3297" s="415">
        <v>9290.26</v>
      </c>
      <c r="O3297" s="415">
        <v>8970.7999999999993</v>
      </c>
      <c r="P3297" s="415">
        <v>8636.69</v>
      </c>
      <c r="Q3297" s="481">
        <f t="shared" si="97"/>
        <v>-4184.887999999999</v>
      </c>
    </row>
    <row r="3298" spans="1:17" x14ac:dyDescent="0.3">
      <c r="A3298" s="366" t="str">
        <f>IFERROR(VLOOKUP(RIGHT(E3298,3)+0,[1]SchLocTable!$A$2:$B$47,2,FALSE)," ")</f>
        <v>Johnson</v>
      </c>
      <c r="B3298" s="366" t="str">
        <f>VLOOKUP(VALUE(D3298),$D$3:F$106,3,FALSE)</f>
        <v>School Nurses</v>
      </c>
      <c r="C3298" t="s">
        <v>314</v>
      </c>
      <c r="D3298">
        <v>860</v>
      </c>
      <c r="E3298" t="s">
        <v>1059</v>
      </c>
      <c r="F3298" t="s">
        <v>318</v>
      </c>
      <c r="G3298" t="s">
        <v>319</v>
      </c>
      <c r="H3298" s="502">
        <v>51140</v>
      </c>
      <c r="I3298" s="415">
        <v>1003.36</v>
      </c>
      <c r="J3298" s="415">
        <v>513.36</v>
      </c>
      <c r="K3298" s="415">
        <v>700</v>
      </c>
      <c r="L3298" s="415">
        <v>630</v>
      </c>
      <c r="M3298" s="415">
        <v>560</v>
      </c>
      <c r="N3298" s="415">
        <v>490</v>
      </c>
      <c r="O3298" s="415">
        <v>420</v>
      </c>
      <c r="P3298" s="415">
        <v>350</v>
      </c>
      <c r="Q3298" s="481">
        <f t="shared" si="97"/>
        <v>-490</v>
      </c>
    </row>
    <row r="3299" spans="1:17" x14ac:dyDescent="0.3">
      <c r="A3299" s="366" t="str">
        <f>IFERROR(VLOOKUP(RIGHT(E3299,3)+0,[1]SchLocTable!$A$2:$B$47,2,FALSE)," ")</f>
        <v>Johnson</v>
      </c>
      <c r="B3299" s="366" t="str">
        <f>VLOOKUP(VALUE(D3299),$D$3:F$106,3,FALSE)</f>
        <v>School Nurses</v>
      </c>
      <c r="C3299" t="s">
        <v>314</v>
      </c>
      <c r="D3299">
        <v>860</v>
      </c>
      <c r="E3299" t="s">
        <v>1059</v>
      </c>
      <c r="F3299" t="s">
        <v>320</v>
      </c>
      <c r="G3299" t="s">
        <v>319</v>
      </c>
      <c r="H3299" s="502">
        <v>52360</v>
      </c>
      <c r="I3299" s="415">
        <v>1070.0317484999998</v>
      </c>
      <c r="J3299" s="415">
        <v>976</v>
      </c>
      <c r="K3299" s="415">
        <v>1142.81</v>
      </c>
      <c r="L3299" s="415">
        <v>860.77</v>
      </c>
      <c r="M3299" s="415">
        <v>1069.98</v>
      </c>
      <c r="N3299" s="415">
        <v>973.3</v>
      </c>
      <c r="O3299" s="415">
        <v>945.43</v>
      </c>
      <c r="P3299" s="415">
        <v>874.69</v>
      </c>
      <c r="Q3299" s="481">
        <f t="shared" si="97"/>
        <v>-94.031748499999821</v>
      </c>
    </row>
    <row r="3300" spans="1:17" x14ac:dyDescent="0.3">
      <c r="A3300" s="366" t="str">
        <f>IFERROR(VLOOKUP(RIGHT(E3300,3)+0,[1]SchLocTable!$A$2:$B$47,2,FALSE)," ")</f>
        <v>Johnson</v>
      </c>
      <c r="B3300" s="366" t="str">
        <f>VLOOKUP(VALUE(D3300),$D$3:F$106,3,FALSE)</f>
        <v>School Nurses</v>
      </c>
      <c r="C3300" t="s">
        <v>314</v>
      </c>
      <c r="D3300">
        <v>860</v>
      </c>
      <c r="E3300" t="s">
        <v>1059</v>
      </c>
      <c r="F3300" t="s">
        <v>392</v>
      </c>
      <c r="G3300" t="s">
        <v>319</v>
      </c>
      <c r="H3300" s="502">
        <v>52504</v>
      </c>
      <c r="I3300" s="415">
        <v>15334.661885399999</v>
      </c>
      <c r="J3300" s="415">
        <v>14976</v>
      </c>
      <c r="K3300" s="415">
        <v>17083.330000000002</v>
      </c>
      <c r="L3300" s="415">
        <v>12739.74</v>
      </c>
      <c r="M3300" s="415">
        <v>16594.34</v>
      </c>
      <c r="N3300" s="415">
        <v>13458.11</v>
      </c>
      <c r="O3300" s="415">
        <v>11224.19</v>
      </c>
      <c r="P3300" s="415">
        <v>9002.27</v>
      </c>
      <c r="Q3300" s="481">
        <f t="shared" si="97"/>
        <v>-358.66188539999894</v>
      </c>
    </row>
    <row r="3301" spans="1:17" x14ac:dyDescent="0.3">
      <c r="A3301" s="366" t="str">
        <f>IFERROR(VLOOKUP(RIGHT(E3301,3)+0,[1]SchLocTable!$A$2:$B$47,2,FALSE)," ")</f>
        <v>Winthrop</v>
      </c>
      <c r="B3301" s="366" t="str">
        <f>VLOOKUP(VALUE(D3301),$D$3:F$106,3,FALSE)</f>
        <v>School Nurses</v>
      </c>
      <c r="C3301" t="s">
        <v>314</v>
      </c>
      <c r="D3301">
        <v>860</v>
      </c>
      <c r="E3301" t="s">
        <v>1060</v>
      </c>
      <c r="F3301" t="s">
        <v>1036</v>
      </c>
      <c r="G3301" t="s">
        <v>319</v>
      </c>
      <c r="H3301" s="502">
        <v>53905</v>
      </c>
      <c r="I3301" s="415">
        <v>360.5</v>
      </c>
      <c r="J3301" s="415">
        <v>350</v>
      </c>
      <c r="K3301" s="415">
        <v>350</v>
      </c>
      <c r="L3301" s="415">
        <v>350</v>
      </c>
      <c r="M3301" s="415">
        <v>350</v>
      </c>
      <c r="N3301" s="415">
        <v>350</v>
      </c>
      <c r="O3301" s="415">
        <v>350</v>
      </c>
      <c r="P3301" s="415">
        <v>350</v>
      </c>
      <c r="Q3301" s="481">
        <f t="shared" si="97"/>
        <v>-10.5</v>
      </c>
    </row>
    <row r="3302" spans="1:17" x14ac:dyDescent="0.3">
      <c r="A3302" s="366" t="str">
        <f>IFERROR(VLOOKUP(RIGHT(E3302,3)+0,[1]SchLocTable!$A$2:$B$47,2,FALSE)," ")</f>
        <v>Winthrop</v>
      </c>
      <c r="B3302" s="366" t="str">
        <f>VLOOKUP(VALUE(D3302),$D$3:F$106,3,FALSE)</f>
        <v>School Nurses</v>
      </c>
      <c r="C3302" t="s">
        <v>314</v>
      </c>
      <c r="D3302">
        <v>860</v>
      </c>
      <c r="E3302" t="s">
        <v>1060</v>
      </c>
      <c r="F3302" t="s">
        <v>316</v>
      </c>
      <c r="G3302">
        <v>1</v>
      </c>
      <c r="H3302" s="502">
        <v>51000</v>
      </c>
      <c r="I3302" s="415">
        <v>73795.292999999991</v>
      </c>
      <c r="J3302" s="415">
        <v>71300</v>
      </c>
      <c r="K3302" s="415">
        <v>71574.03</v>
      </c>
      <c r="L3302" s="415">
        <v>61836.4</v>
      </c>
      <c r="M3302" s="415">
        <v>76854.83</v>
      </c>
      <c r="N3302" s="415">
        <v>70024.06</v>
      </c>
      <c r="O3302" s="415">
        <v>63555.59</v>
      </c>
      <c r="P3302" s="415">
        <v>63799.1</v>
      </c>
      <c r="Q3302" s="481">
        <f t="shared" si="97"/>
        <v>-2495.2929999999906</v>
      </c>
    </row>
    <row r="3303" spans="1:17" x14ac:dyDescent="0.3">
      <c r="A3303" s="366" t="str">
        <f>IFERROR(VLOOKUP(RIGHT(E3303,3)+0,[1]SchLocTable!$A$2:$B$47,2,FALSE)," ")</f>
        <v>Winthrop</v>
      </c>
      <c r="B3303" s="366" t="str">
        <f>VLOOKUP(VALUE(D3303),$D$3:F$106,3,FALSE)</f>
        <v>School Nurses</v>
      </c>
      <c r="C3303" t="s">
        <v>314</v>
      </c>
      <c r="D3303">
        <v>860</v>
      </c>
      <c r="E3303" t="s">
        <v>1060</v>
      </c>
      <c r="F3303" t="s">
        <v>321</v>
      </c>
      <c r="G3303" t="s">
        <v>319</v>
      </c>
      <c r="H3303" s="502">
        <v>52917</v>
      </c>
      <c r="I3303" s="415">
        <v>35036.975999999995</v>
      </c>
      <c r="J3303" s="415">
        <v>29042</v>
      </c>
      <c r="K3303" s="415">
        <v>26547.01</v>
      </c>
      <c r="L3303" s="415">
        <v>23450.98</v>
      </c>
      <c r="M3303" s="415">
        <v>28294.99</v>
      </c>
      <c r="N3303" s="415">
        <v>22282.36</v>
      </c>
      <c r="O3303" s="415">
        <v>21362.3</v>
      </c>
      <c r="P3303" s="415">
        <v>23040.87</v>
      </c>
      <c r="Q3303" s="481">
        <f t="shared" si="97"/>
        <v>-5994.9759999999951</v>
      </c>
    </row>
    <row r="3304" spans="1:17" x14ac:dyDescent="0.3">
      <c r="A3304" s="366" t="str">
        <f>IFERROR(VLOOKUP(RIGHT(E3304,3)+0,[1]SchLocTable!$A$2:$B$47,2,FALSE)," ")</f>
        <v>Winthrop</v>
      </c>
      <c r="B3304" s="366" t="str">
        <f>VLOOKUP(VALUE(D3304),$D$3:F$106,3,FALSE)</f>
        <v>School Nurses</v>
      </c>
      <c r="C3304" t="s">
        <v>314</v>
      </c>
      <c r="D3304">
        <v>860</v>
      </c>
      <c r="E3304" t="s">
        <v>1060</v>
      </c>
      <c r="F3304" t="s">
        <v>318</v>
      </c>
      <c r="G3304" t="s">
        <v>319</v>
      </c>
      <c r="H3304" s="502">
        <v>51140</v>
      </c>
      <c r="I3304" s="415">
        <v>840</v>
      </c>
      <c r="J3304" s="415">
        <v>0</v>
      </c>
      <c r="K3304" s="415">
        <v>770</v>
      </c>
      <c r="L3304" s="415">
        <v>700</v>
      </c>
      <c r="M3304" s="415">
        <v>630</v>
      </c>
      <c r="N3304" s="415">
        <v>560</v>
      </c>
      <c r="O3304" s="415">
        <v>490</v>
      </c>
      <c r="P3304" s="415">
        <v>420</v>
      </c>
      <c r="Q3304" s="481">
        <f t="shared" si="97"/>
        <v>-840</v>
      </c>
    </row>
    <row r="3305" spans="1:17" x14ac:dyDescent="0.3">
      <c r="A3305" s="366" t="str">
        <f>IFERROR(VLOOKUP(RIGHT(E3305,3)+0,[1]SchLocTable!$A$2:$B$47,2,FALSE)," ")</f>
        <v>Winthrop</v>
      </c>
      <c r="B3305" s="366" t="str">
        <f>VLOOKUP(VALUE(D3305),$D$3:F$106,3,FALSE)</f>
        <v>School Nurses</v>
      </c>
      <c r="C3305" t="s">
        <v>314</v>
      </c>
      <c r="D3305">
        <v>860</v>
      </c>
      <c r="E3305" t="s">
        <v>1060</v>
      </c>
      <c r="F3305" t="s">
        <v>320</v>
      </c>
      <c r="G3305" t="s">
        <v>319</v>
      </c>
      <c r="H3305" s="502">
        <v>52360</v>
      </c>
      <c r="I3305" s="415">
        <v>1070.0317484999998</v>
      </c>
      <c r="J3305" s="415">
        <v>879</v>
      </c>
      <c r="K3305" s="415">
        <v>916.44</v>
      </c>
      <c r="L3305" s="415">
        <v>790.67</v>
      </c>
      <c r="M3305" s="415">
        <v>989.23</v>
      </c>
      <c r="N3305" s="415">
        <v>899.82</v>
      </c>
      <c r="O3305" s="415">
        <v>818.16</v>
      </c>
      <c r="P3305" s="415">
        <v>818.58</v>
      </c>
      <c r="Q3305" s="481">
        <f t="shared" si="97"/>
        <v>-191.03174849999982</v>
      </c>
    </row>
    <row r="3306" spans="1:17" x14ac:dyDescent="0.3">
      <c r="A3306" s="366" t="str">
        <f>IFERROR(VLOOKUP(RIGHT(E3306,3)+0,[1]SchLocTable!$A$2:$B$47,2,FALSE)," ")</f>
        <v>Winthrop</v>
      </c>
      <c r="B3306" s="366" t="str">
        <f>VLOOKUP(VALUE(D3306),$D$3:F$106,3,FALSE)</f>
        <v>School Nurses</v>
      </c>
      <c r="C3306" t="s">
        <v>314</v>
      </c>
      <c r="D3306">
        <v>860</v>
      </c>
      <c r="E3306" t="s">
        <v>1060</v>
      </c>
      <c r="F3306" t="s">
        <v>392</v>
      </c>
      <c r="G3306" t="s">
        <v>319</v>
      </c>
      <c r="H3306" s="502">
        <v>52504</v>
      </c>
      <c r="I3306" s="415">
        <v>15334.661885399999</v>
      </c>
      <c r="J3306" s="415">
        <v>14991</v>
      </c>
      <c r="K3306" s="415">
        <v>14898.76</v>
      </c>
      <c r="L3306" s="415">
        <v>12754</v>
      </c>
      <c r="M3306" s="415">
        <v>16609.45</v>
      </c>
      <c r="N3306" s="415">
        <v>13484.75</v>
      </c>
      <c r="O3306" s="415">
        <v>10548.18</v>
      </c>
      <c r="P3306" s="415">
        <v>9175.39</v>
      </c>
      <c r="Q3306" s="481">
        <f t="shared" si="97"/>
        <v>-343.66188539999894</v>
      </c>
    </row>
    <row r="3307" spans="1:17" x14ac:dyDescent="0.3">
      <c r="A3307" s="366" t="str">
        <f>IFERROR(VLOOKUP(RIGHT(E3307,3)+0,[1]SchLocTable!$A$2:$B$47,2,FALSE)," ")</f>
        <v>Discovery</v>
      </c>
      <c r="B3307" s="366" t="str">
        <f>VLOOKUP(VALUE(D3307),$D$3:F$106,3,FALSE)</f>
        <v>School Nurses</v>
      </c>
      <c r="C3307" t="s">
        <v>314</v>
      </c>
      <c r="D3307">
        <v>860</v>
      </c>
      <c r="E3307" t="s">
        <v>1061</v>
      </c>
      <c r="F3307" t="s">
        <v>1036</v>
      </c>
      <c r="G3307" t="s">
        <v>319</v>
      </c>
      <c r="H3307" s="502">
        <v>53905</v>
      </c>
      <c r="I3307" s="415">
        <v>515</v>
      </c>
      <c r="J3307" s="415">
        <v>500</v>
      </c>
      <c r="K3307" s="415">
        <v>0</v>
      </c>
      <c r="L3307" s="415">
        <v>0</v>
      </c>
      <c r="M3307" s="415">
        <v>500</v>
      </c>
      <c r="N3307" s="415">
        <v>500</v>
      </c>
      <c r="O3307" s="415">
        <v>0</v>
      </c>
      <c r="P3307" s="415">
        <v>500</v>
      </c>
      <c r="Q3307" s="481">
        <f t="shared" si="97"/>
        <v>-15</v>
      </c>
    </row>
    <row r="3308" spans="1:17" x14ac:dyDescent="0.3">
      <c r="A3308" s="366" t="str">
        <f>IFERROR(VLOOKUP(RIGHT(E3308,3)+0,[1]SchLocTable!$A$2:$B$47,2,FALSE)," ")</f>
        <v>Discovery</v>
      </c>
      <c r="B3308" s="366" t="str">
        <f>VLOOKUP(VALUE(D3308),$D$3:F$106,3,FALSE)</f>
        <v>School Nurses</v>
      </c>
      <c r="C3308" t="s">
        <v>314</v>
      </c>
      <c r="D3308">
        <v>860</v>
      </c>
      <c r="E3308" t="s">
        <v>1061</v>
      </c>
      <c r="F3308" t="s">
        <v>316</v>
      </c>
      <c r="G3308">
        <v>1</v>
      </c>
      <c r="H3308" s="502">
        <v>51000</v>
      </c>
      <c r="I3308" s="415">
        <v>73795.292999999991</v>
      </c>
      <c r="J3308" s="415">
        <v>66951</v>
      </c>
      <c r="K3308" s="415">
        <v>57423.39</v>
      </c>
      <c r="L3308" s="415">
        <v>5377.08</v>
      </c>
      <c r="M3308" s="415">
        <v>76854.83</v>
      </c>
      <c r="N3308" s="415">
        <v>62927.07</v>
      </c>
      <c r="O3308" s="415">
        <v>0</v>
      </c>
      <c r="P3308" s="415">
        <v>72078.37</v>
      </c>
      <c r="Q3308" s="481">
        <f t="shared" si="97"/>
        <v>-6844.2929999999906</v>
      </c>
    </row>
    <row r="3309" spans="1:17" x14ac:dyDescent="0.3">
      <c r="A3309" s="366" t="str">
        <f>IFERROR(VLOOKUP(RIGHT(E3309,3)+0,[1]SchLocTable!$A$2:$B$47,2,FALSE)," ")</f>
        <v>Discovery</v>
      </c>
      <c r="B3309" s="366" t="str">
        <f>VLOOKUP(VALUE(D3309),$D$3:F$106,3,FALSE)</f>
        <v>School Nurses</v>
      </c>
      <c r="C3309" t="s">
        <v>314</v>
      </c>
      <c r="D3309">
        <v>860</v>
      </c>
      <c r="E3309" t="s">
        <v>1061</v>
      </c>
      <c r="F3309" t="s">
        <v>360</v>
      </c>
      <c r="G3309" t="s">
        <v>319</v>
      </c>
      <c r="H3309" s="502">
        <v>52920</v>
      </c>
      <c r="I3309" s="415">
        <v>0</v>
      </c>
      <c r="J3309" s="415">
        <v>0</v>
      </c>
      <c r="K3309" s="415">
        <v>0</v>
      </c>
      <c r="L3309" s="415">
        <v>0</v>
      </c>
      <c r="M3309" s="415">
        <v>2000</v>
      </c>
      <c r="N3309" s="415">
        <v>2000</v>
      </c>
      <c r="O3309" s="415">
        <v>0</v>
      </c>
      <c r="P3309" s="415">
        <v>2333.33</v>
      </c>
      <c r="Q3309" s="481">
        <f t="shared" si="97"/>
        <v>0</v>
      </c>
    </row>
    <row r="3310" spans="1:17" x14ac:dyDescent="0.3">
      <c r="A3310" s="366" t="str">
        <f>IFERROR(VLOOKUP(RIGHT(E3310,3)+0,[1]SchLocTable!$A$2:$B$47,2,FALSE)," ")</f>
        <v>Discovery</v>
      </c>
      <c r="B3310" s="366" t="str">
        <f>VLOOKUP(VALUE(D3310),$D$3:F$106,3,FALSE)</f>
        <v>School Nurses</v>
      </c>
      <c r="C3310" t="s">
        <v>314</v>
      </c>
      <c r="D3310">
        <v>860</v>
      </c>
      <c r="E3310" t="s">
        <v>1061</v>
      </c>
      <c r="F3310" t="s">
        <v>321</v>
      </c>
      <c r="G3310" t="s">
        <v>319</v>
      </c>
      <c r="H3310" s="502">
        <v>52917</v>
      </c>
      <c r="I3310" s="415">
        <v>35036.975999999995</v>
      </c>
      <c r="J3310" s="415">
        <v>30194.33</v>
      </c>
      <c r="K3310" s="415">
        <v>24821.02</v>
      </c>
      <c r="L3310" s="415">
        <v>112.76</v>
      </c>
      <c r="M3310" s="415">
        <v>1640.66</v>
      </c>
      <c r="N3310" s="415">
        <v>1262.9100000000001</v>
      </c>
      <c r="O3310" s="415">
        <v>0</v>
      </c>
      <c r="P3310" s="415">
        <v>1535.96</v>
      </c>
      <c r="Q3310" s="481">
        <f t="shared" si="97"/>
        <v>-4842.6459999999934</v>
      </c>
    </row>
    <row r="3311" spans="1:17" x14ac:dyDescent="0.3">
      <c r="A3311" s="366" t="str">
        <f>IFERROR(VLOOKUP(RIGHT(E3311,3)+0,[1]SchLocTable!$A$2:$B$47,2,FALSE)," ")</f>
        <v>Discovery</v>
      </c>
      <c r="B3311" s="366" t="str">
        <f>VLOOKUP(VALUE(D3311),$D$3:F$106,3,FALSE)</f>
        <v>School Nurses</v>
      </c>
      <c r="C3311" t="s">
        <v>314</v>
      </c>
      <c r="D3311">
        <v>860</v>
      </c>
      <c r="E3311" t="s">
        <v>1061</v>
      </c>
      <c r="F3311" t="s">
        <v>318</v>
      </c>
      <c r="G3311" t="s">
        <v>319</v>
      </c>
      <c r="H3311" s="502">
        <v>51140</v>
      </c>
      <c r="I3311" s="415">
        <v>630</v>
      </c>
      <c r="J3311" s="415">
        <v>0</v>
      </c>
      <c r="K3311" s="415">
        <v>0</v>
      </c>
      <c r="L3311" s="415">
        <v>0</v>
      </c>
      <c r="M3311" s="415">
        <v>0</v>
      </c>
      <c r="N3311" s="415">
        <v>0</v>
      </c>
      <c r="O3311" s="415">
        <v>0</v>
      </c>
      <c r="P3311" s="415">
        <v>2135</v>
      </c>
      <c r="Q3311" s="481">
        <f t="shared" si="97"/>
        <v>-630</v>
      </c>
    </row>
    <row r="3312" spans="1:17" x14ac:dyDescent="0.3">
      <c r="A3312" s="366" t="str">
        <f>IFERROR(VLOOKUP(RIGHT(E3312,3)+0,[1]SchLocTable!$A$2:$B$47,2,FALSE)," ")</f>
        <v>Discovery</v>
      </c>
      <c r="B3312" s="366" t="str">
        <f>VLOOKUP(VALUE(D3312),$D$3:F$106,3,FALSE)</f>
        <v>School Nurses</v>
      </c>
      <c r="C3312" t="s">
        <v>314</v>
      </c>
      <c r="D3312">
        <v>860</v>
      </c>
      <c r="E3312" t="s">
        <v>1061</v>
      </c>
      <c r="F3312" t="s">
        <v>320</v>
      </c>
      <c r="G3312" t="s">
        <v>319</v>
      </c>
      <c r="H3312" s="502">
        <v>52360</v>
      </c>
      <c r="I3312" s="415">
        <v>1070.0317484999998</v>
      </c>
      <c r="J3312" s="415">
        <v>767</v>
      </c>
      <c r="K3312" s="415">
        <v>698.36</v>
      </c>
      <c r="L3312" s="415">
        <v>77.97</v>
      </c>
      <c r="M3312" s="415">
        <v>1150.6500000000001</v>
      </c>
      <c r="N3312" s="415">
        <v>948.69</v>
      </c>
      <c r="O3312" s="415">
        <v>0</v>
      </c>
      <c r="P3312" s="415">
        <v>1248.2</v>
      </c>
      <c r="Q3312" s="481">
        <f t="shared" si="97"/>
        <v>-303.03174849999982</v>
      </c>
    </row>
    <row r="3313" spans="1:17" x14ac:dyDescent="0.3">
      <c r="A3313" s="366" t="str">
        <f>IFERROR(VLOOKUP(RIGHT(E3313,3)+0,[1]SchLocTable!$A$2:$B$47,2,FALSE)," ")</f>
        <v>Discovery</v>
      </c>
      <c r="B3313" s="366" t="str">
        <f>VLOOKUP(VALUE(D3313),$D$3:F$106,3,FALSE)</f>
        <v>School Nurses</v>
      </c>
      <c r="C3313" t="s">
        <v>314</v>
      </c>
      <c r="D3313">
        <v>860</v>
      </c>
      <c r="E3313" t="s">
        <v>1061</v>
      </c>
      <c r="F3313" t="s">
        <v>392</v>
      </c>
      <c r="G3313" t="s">
        <v>319</v>
      </c>
      <c r="H3313" s="502">
        <v>52504</v>
      </c>
      <c r="I3313" s="415">
        <v>15334.661885399999</v>
      </c>
      <c r="J3313" s="415">
        <v>17620.47</v>
      </c>
      <c r="K3313" s="415">
        <v>4297.5600000000004</v>
      </c>
      <c r="L3313" s="415">
        <v>1096.4000000000001</v>
      </c>
      <c r="M3313" s="415">
        <v>16473.490000000002</v>
      </c>
      <c r="N3313" s="415">
        <v>11645.62</v>
      </c>
      <c r="O3313" s="415">
        <v>0</v>
      </c>
      <c r="P3313" s="415">
        <v>9066.5</v>
      </c>
      <c r="Q3313" s="481">
        <f t="shared" si="97"/>
        <v>2285.8081146000022</v>
      </c>
    </row>
    <row r="3314" spans="1:17" x14ac:dyDescent="0.3">
      <c r="A3314" s="366" t="str">
        <f>IFERROR(VLOOKUP(RIGHT(E3314,3)+0,[1]SchLocTable!$A$2:$B$47,2,FALSE)," ")</f>
        <v>Discovery</v>
      </c>
      <c r="B3314" s="366" t="str">
        <f>VLOOKUP(VALUE(D3314),$D$3:F$106,3,FALSE)</f>
        <v>School Nurses</v>
      </c>
      <c r="C3314" t="s">
        <v>314</v>
      </c>
      <c r="D3314">
        <v>860</v>
      </c>
      <c r="E3314" t="s">
        <v>1061</v>
      </c>
      <c r="F3314" t="s">
        <v>324</v>
      </c>
      <c r="G3314" t="s">
        <v>319</v>
      </c>
      <c r="H3314" s="502">
        <v>52385</v>
      </c>
      <c r="I3314" s="415">
        <v>0</v>
      </c>
      <c r="J3314" s="415">
        <v>0</v>
      </c>
      <c r="K3314" s="415">
        <v>1800.05</v>
      </c>
      <c r="L3314" s="415">
        <v>0</v>
      </c>
      <c r="M3314" s="415">
        <v>0</v>
      </c>
      <c r="N3314" s="415">
        <v>0</v>
      </c>
      <c r="O3314" s="415">
        <v>0</v>
      </c>
      <c r="P3314" s="415">
        <v>0</v>
      </c>
      <c r="Q3314" s="481">
        <f t="shared" si="97"/>
        <v>0</v>
      </c>
    </row>
    <row r="3315" spans="1:17" x14ac:dyDescent="0.3">
      <c r="A3315" s="366" t="str">
        <f>IFERROR(VLOOKUP(RIGHT(E3315,3)+0,[1]SchLocTable!$A$2:$B$47,2,FALSE)," ")</f>
        <v>Cross</v>
      </c>
      <c r="B3315" s="366" t="str">
        <f>VLOOKUP(VALUE(D3315),$D$3:F$106,3,FALSE)</f>
        <v>School Nurses</v>
      </c>
      <c r="C3315" t="s">
        <v>314</v>
      </c>
      <c r="D3315">
        <v>860</v>
      </c>
      <c r="E3315" t="s">
        <v>1062</v>
      </c>
      <c r="F3315" t="s">
        <v>1036</v>
      </c>
      <c r="G3315" t="s">
        <v>319</v>
      </c>
      <c r="H3315" s="502">
        <v>53905</v>
      </c>
      <c r="I3315" s="415">
        <v>2626.5</v>
      </c>
      <c r="J3315" s="415">
        <v>2550</v>
      </c>
      <c r="K3315" s="415">
        <v>0</v>
      </c>
      <c r="L3315" s="415">
        <v>0</v>
      </c>
      <c r="M3315" s="415">
        <v>500</v>
      </c>
      <c r="N3315" s="415">
        <v>1000</v>
      </c>
      <c r="O3315" s="415">
        <v>2400</v>
      </c>
      <c r="P3315" s="415">
        <v>700</v>
      </c>
      <c r="Q3315" s="481">
        <f t="shared" si="97"/>
        <v>-76.5</v>
      </c>
    </row>
    <row r="3316" spans="1:17" x14ac:dyDescent="0.3">
      <c r="A3316" s="366" t="str">
        <f>IFERROR(VLOOKUP(RIGHT(E3316,3)+0,[1]SchLocTable!$A$2:$B$47,2,FALSE)," ")</f>
        <v>Cross</v>
      </c>
      <c r="B3316" s="366" t="str">
        <f>VLOOKUP(VALUE(D3316),$D$3:F$106,3,FALSE)</f>
        <v>School Nurses</v>
      </c>
      <c r="C3316" t="s">
        <v>314</v>
      </c>
      <c r="D3316">
        <v>860</v>
      </c>
      <c r="E3316" t="s">
        <v>1062</v>
      </c>
      <c r="F3316" t="s">
        <v>316</v>
      </c>
      <c r="G3316">
        <v>1</v>
      </c>
      <c r="H3316" s="502">
        <v>51000</v>
      </c>
      <c r="I3316" s="415">
        <v>72378.750599999999</v>
      </c>
      <c r="J3316" s="415">
        <v>68424</v>
      </c>
      <c r="K3316" s="415">
        <v>69272.789999999994</v>
      </c>
      <c r="L3316" s="415">
        <v>59114.44</v>
      </c>
      <c r="M3316" s="415">
        <v>76854.83</v>
      </c>
      <c r="N3316" s="415">
        <v>69961.440000000002</v>
      </c>
      <c r="O3316" s="415">
        <v>63555.58</v>
      </c>
      <c r="P3316" s="415">
        <v>63799.1</v>
      </c>
      <c r="Q3316" s="481">
        <f t="shared" si="97"/>
        <v>-3954.7505999999994</v>
      </c>
    </row>
    <row r="3317" spans="1:17" x14ac:dyDescent="0.3">
      <c r="A3317" s="366" t="str">
        <f>IFERROR(VLOOKUP(RIGHT(E3317,3)+0,[1]SchLocTable!$A$2:$B$47,2,FALSE)," ")</f>
        <v>Cross</v>
      </c>
      <c r="B3317" s="366" t="str">
        <f>VLOOKUP(VALUE(D3317),$D$3:F$106,3,FALSE)</f>
        <v>School Nurses</v>
      </c>
      <c r="C3317" t="s">
        <v>314</v>
      </c>
      <c r="D3317">
        <v>860</v>
      </c>
      <c r="E3317" t="s">
        <v>1062</v>
      </c>
      <c r="F3317" t="s">
        <v>321</v>
      </c>
      <c r="G3317" t="s">
        <v>319</v>
      </c>
      <c r="H3317" s="502">
        <v>52917</v>
      </c>
      <c r="I3317" s="415">
        <v>35036.975999999995</v>
      </c>
      <c r="J3317" s="415">
        <v>29042</v>
      </c>
      <c r="K3317" s="415">
        <v>26547.01</v>
      </c>
      <c r="L3317" s="415">
        <v>22320.3</v>
      </c>
      <c r="M3317" s="415">
        <v>12499.24</v>
      </c>
      <c r="N3317" s="415">
        <v>10330.379999999999</v>
      </c>
      <c r="O3317" s="415">
        <v>9762.2099999999991</v>
      </c>
      <c r="P3317" s="415">
        <v>9308.19</v>
      </c>
      <c r="Q3317" s="481">
        <f t="shared" si="97"/>
        <v>-5994.9759999999951</v>
      </c>
    </row>
    <row r="3318" spans="1:17" x14ac:dyDescent="0.3">
      <c r="A3318" s="366" t="str">
        <f>IFERROR(VLOOKUP(RIGHT(E3318,3)+0,[1]SchLocTable!$A$2:$B$47,2,FALSE)," ")</f>
        <v>Cross</v>
      </c>
      <c r="B3318" s="366" t="str">
        <f>VLOOKUP(VALUE(D3318),$D$3:F$106,3,FALSE)</f>
        <v>School Nurses</v>
      </c>
      <c r="C3318" t="s">
        <v>314</v>
      </c>
      <c r="D3318">
        <v>860</v>
      </c>
      <c r="E3318" t="s">
        <v>1062</v>
      </c>
      <c r="F3318" t="s">
        <v>318</v>
      </c>
      <c r="G3318" t="s">
        <v>319</v>
      </c>
      <c r="H3318" s="502">
        <v>51140</v>
      </c>
      <c r="I3318" s="415">
        <v>0</v>
      </c>
      <c r="J3318" s="415">
        <v>0</v>
      </c>
      <c r="K3318" s="415">
        <v>0</v>
      </c>
      <c r="L3318" s="415">
        <v>0</v>
      </c>
      <c r="M3318" s="415">
        <v>1400</v>
      </c>
      <c r="N3318" s="415">
        <v>1330</v>
      </c>
      <c r="O3318" s="415">
        <v>1260</v>
      </c>
      <c r="P3318" s="415">
        <v>1190</v>
      </c>
      <c r="Q3318" s="481">
        <f t="shared" si="97"/>
        <v>0</v>
      </c>
    </row>
    <row r="3319" spans="1:17" x14ac:dyDescent="0.3">
      <c r="A3319" s="366" t="str">
        <f>IFERROR(VLOOKUP(RIGHT(E3319,3)+0,[1]SchLocTable!$A$2:$B$47,2,FALSE)," ")</f>
        <v>Cross</v>
      </c>
      <c r="B3319" s="366" t="str">
        <f>VLOOKUP(VALUE(D3319),$D$3:F$106,3,FALSE)</f>
        <v>School Nurses</v>
      </c>
      <c r="C3319" t="s">
        <v>314</v>
      </c>
      <c r="D3319">
        <v>860</v>
      </c>
      <c r="E3319" t="s">
        <v>1062</v>
      </c>
      <c r="F3319" t="s">
        <v>320</v>
      </c>
      <c r="G3319" t="s">
        <v>319</v>
      </c>
      <c r="H3319" s="502">
        <v>52360</v>
      </c>
      <c r="I3319" s="415">
        <v>1049.4918837</v>
      </c>
      <c r="J3319" s="415">
        <v>825</v>
      </c>
      <c r="K3319" s="415">
        <v>866.83</v>
      </c>
      <c r="L3319" s="415">
        <v>742.49</v>
      </c>
      <c r="M3319" s="415">
        <v>1086.79</v>
      </c>
      <c r="N3319" s="415">
        <v>1003.02</v>
      </c>
      <c r="O3319" s="415">
        <v>911.35</v>
      </c>
      <c r="P3319" s="415">
        <v>911.81</v>
      </c>
      <c r="Q3319" s="481">
        <f t="shared" si="97"/>
        <v>-224.49188370000002</v>
      </c>
    </row>
    <row r="3320" spans="1:17" x14ac:dyDescent="0.3">
      <c r="A3320" s="366" t="str">
        <f>IFERROR(VLOOKUP(RIGHT(E3320,3)+0,[1]SchLocTable!$A$2:$B$47,2,FALSE)," ")</f>
        <v>Cross</v>
      </c>
      <c r="B3320" s="366" t="str">
        <f>VLOOKUP(VALUE(D3320),$D$3:F$106,3,FALSE)</f>
        <v>School Nurses</v>
      </c>
      <c r="C3320" t="s">
        <v>314</v>
      </c>
      <c r="D3320">
        <v>860</v>
      </c>
      <c r="E3320" t="s">
        <v>1062</v>
      </c>
      <c r="F3320" t="s">
        <v>392</v>
      </c>
      <c r="G3320" t="s">
        <v>319</v>
      </c>
      <c r="H3320" s="502">
        <v>52504</v>
      </c>
      <c r="I3320" s="415">
        <v>15040.304374680001</v>
      </c>
      <c r="J3320" s="415">
        <v>14218</v>
      </c>
      <c r="K3320" s="415">
        <v>14266.23</v>
      </c>
      <c r="L3320" s="415">
        <v>12056.1</v>
      </c>
      <c r="M3320" s="415">
        <v>16775.61</v>
      </c>
      <c r="N3320" s="415">
        <v>13619.29</v>
      </c>
      <c r="O3320" s="415">
        <v>10674.28</v>
      </c>
      <c r="P3320" s="415">
        <v>9284.9500000000007</v>
      </c>
      <c r="Q3320" s="481">
        <f t="shared" si="97"/>
        <v>-822.30437468000127</v>
      </c>
    </row>
    <row r="3321" spans="1:17" x14ac:dyDescent="0.3">
      <c r="A3321" s="366" t="str">
        <f>IFERROR(VLOOKUP(RIGHT(E3321,3)+0,[1]SchLocTable!$A$2:$B$47,2,FALSE)," ")</f>
        <v>Blackham</v>
      </c>
      <c r="B3321" s="366" t="str">
        <f>VLOOKUP(VALUE(D3321),$D$3:F$106,3,FALSE)</f>
        <v>School Nurses</v>
      </c>
      <c r="C3321" t="s">
        <v>314</v>
      </c>
      <c r="D3321">
        <v>860</v>
      </c>
      <c r="E3321" t="s">
        <v>1063</v>
      </c>
      <c r="F3321" t="s">
        <v>1036</v>
      </c>
      <c r="G3321" t="s">
        <v>319</v>
      </c>
      <c r="H3321" s="502">
        <v>53905</v>
      </c>
      <c r="I3321" s="415">
        <v>360.5</v>
      </c>
      <c r="J3321" s="415">
        <v>350</v>
      </c>
      <c r="K3321" s="415">
        <v>350</v>
      </c>
      <c r="L3321" s="415">
        <v>350</v>
      </c>
      <c r="M3321" s="415">
        <v>350</v>
      </c>
      <c r="N3321" s="415">
        <v>350</v>
      </c>
      <c r="O3321" s="415">
        <v>350</v>
      </c>
      <c r="P3321" s="415">
        <v>350</v>
      </c>
      <c r="Q3321" s="481">
        <f t="shared" si="97"/>
        <v>-10.5</v>
      </c>
    </row>
    <row r="3322" spans="1:17" x14ac:dyDescent="0.3">
      <c r="A3322" s="366" t="str">
        <f>IFERROR(VLOOKUP(RIGHT(E3322,3)+0,[1]SchLocTable!$A$2:$B$47,2,FALSE)," ")</f>
        <v>Blackham</v>
      </c>
      <c r="B3322" s="366" t="str">
        <f>VLOOKUP(VALUE(D3322),$D$3:F$106,3,FALSE)</f>
        <v>School Nurses</v>
      </c>
      <c r="C3322" t="s">
        <v>314</v>
      </c>
      <c r="D3322">
        <v>860</v>
      </c>
      <c r="E3322" t="s">
        <v>1063</v>
      </c>
      <c r="F3322" t="s">
        <v>316</v>
      </c>
      <c r="G3322">
        <v>1</v>
      </c>
      <c r="H3322" s="502">
        <v>51000</v>
      </c>
      <c r="I3322" s="415">
        <v>73795.292999999991</v>
      </c>
      <c r="J3322" s="415">
        <v>69931</v>
      </c>
      <c r="K3322" s="415">
        <v>70731.789999999994</v>
      </c>
      <c r="L3322" s="415">
        <v>60649.16</v>
      </c>
      <c r="M3322" s="415">
        <v>74678.23</v>
      </c>
      <c r="N3322" s="415">
        <v>66333.31</v>
      </c>
      <c r="O3322" s="415">
        <v>58681.04</v>
      </c>
      <c r="P3322" s="415">
        <v>56158.38</v>
      </c>
      <c r="Q3322" s="481">
        <f t="shared" si="97"/>
        <v>-3864.2929999999906</v>
      </c>
    </row>
    <row r="3323" spans="1:17" x14ac:dyDescent="0.3">
      <c r="A3323" s="366" t="str">
        <f>IFERROR(VLOOKUP(RIGHT(E3323,3)+0,[1]SchLocTable!$A$2:$B$47,2,FALSE)," ")</f>
        <v>Blackham</v>
      </c>
      <c r="B3323" s="366" t="str">
        <f>VLOOKUP(VALUE(D3323),$D$3:F$106,3,FALSE)</f>
        <v>School Nurses</v>
      </c>
      <c r="C3323" t="s">
        <v>314</v>
      </c>
      <c r="D3323">
        <v>860</v>
      </c>
      <c r="E3323" t="s">
        <v>1063</v>
      </c>
      <c r="F3323" t="s">
        <v>334</v>
      </c>
      <c r="G3323" t="s">
        <v>319</v>
      </c>
      <c r="H3323" s="502">
        <v>51400</v>
      </c>
      <c r="I3323" s="415">
        <v>0</v>
      </c>
      <c r="J3323" s="415">
        <v>0</v>
      </c>
      <c r="K3323" s="415">
        <v>0</v>
      </c>
      <c r="L3323" s="415">
        <v>0</v>
      </c>
      <c r="M3323" s="415">
        <v>0</v>
      </c>
      <c r="N3323" s="415">
        <v>0</v>
      </c>
      <c r="O3323" s="415">
        <v>0</v>
      </c>
      <c r="P3323" s="415">
        <v>770</v>
      </c>
      <c r="Q3323" s="481">
        <f t="shared" si="97"/>
        <v>0</v>
      </c>
    </row>
    <row r="3324" spans="1:17" x14ac:dyDescent="0.3">
      <c r="A3324" s="366" t="str">
        <f>IFERROR(VLOOKUP(RIGHT(E3324,3)+0,[1]SchLocTable!$A$2:$B$47,2,FALSE)," ")</f>
        <v>Blackham</v>
      </c>
      <c r="B3324" s="366" t="str">
        <f>VLOOKUP(VALUE(D3324),$D$3:F$106,3,FALSE)</f>
        <v>School Nurses</v>
      </c>
      <c r="C3324" t="s">
        <v>314</v>
      </c>
      <c r="D3324">
        <v>860</v>
      </c>
      <c r="E3324" t="s">
        <v>1063</v>
      </c>
      <c r="F3324" t="s">
        <v>321</v>
      </c>
      <c r="G3324" t="s">
        <v>319</v>
      </c>
      <c r="H3324" s="502">
        <v>52917</v>
      </c>
      <c r="I3324" s="415">
        <v>35036.975999999995</v>
      </c>
      <c r="J3324" s="415">
        <v>29042</v>
      </c>
      <c r="K3324" s="415">
        <v>26547.01</v>
      </c>
      <c r="L3324" s="415">
        <v>23450.98</v>
      </c>
      <c r="M3324" s="415">
        <v>28294.99</v>
      </c>
      <c r="N3324" s="415">
        <v>23289.51</v>
      </c>
      <c r="O3324" s="415">
        <v>22386.86</v>
      </c>
      <c r="P3324" s="415">
        <v>12739.15</v>
      </c>
      <c r="Q3324" s="481">
        <f t="shared" si="97"/>
        <v>-5994.9759999999951</v>
      </c>
    </row>
    <row r="3325" spans="1:17" x14ac:dyDescent="0.3">
      <c r="A3325" s="366" t="str">
        <f>IFERROR(VLOOKUP(RIGHT(E3325,3)+0,[1]SchLocTable!$A$2:$B$47,2,FALSE)," ")</f>
        <v>Blackham</v>
      </c>
      <c r="B3325" s="366" t="str">
        <f>VLOOKUP(VALUE(D3325),$D$3:F$106,3,FALSE)</f>
        <v>School Nurses</v>
      </c>
      <c r="C3325" t="s">
        <v>314</v>
      </c>
      <c r="D3325">
        <v>860</v>
      </c>
      <c r="E3325" t="s">
        <v>1063</v>
      </c>
      <c r="F3325" t="s">
        <v>318</v>
      </c>
      <c r="G3325" t="s">
        <v>319</v>
      </c>
      <c r="H3325" s="502">
        <v>51140</v>
      </c>
      <c r="I3325" s="415">
        <v>420</v>
      </c>
      <c r="J3325" s="415">
        <v>0</v>
      </c>
      <c r="K3325" s="415">
        <v>350</v>
      </c>
      <c r="L3325" s="415">
        <v>0</v>
      </c>
      <c r="M3325" s="415">
        <v>0</v>
      </c>
      <c r="N3325" s="415">
        <v>0</v>
      </c>
      <c r="O3325" s="415">
        <v>0</v>
      </c>
      <c r="P3325" s="415">
        <v>0</v>
      </c>
      <c r="Q3325" s="481">
        <f t="shared" si="97"/>
        <v>-420</v>
      </c>
    </row>
    <row r="3326" spans="1:17" x14ac:dyDescent="0.3">
      <c r="A3326" s="366" t="str">
        <f>IFERROR(VLOOKUP(RIGHT(E3326,3)+0,[1]SchLocTable!$A$2:$B$47,2,FALSE)," ")</f>
        <v>Blackham</v>
      </c>
      <c r="B3326" s="366" t="str">
        <f>VLOOKUP(VALUE(D3326),$D$3:F$106,3,FALSE)</f>
        <v>School Nurses</v>
      </c>
      <c r="C3326" t="s">
        <v>314</v>
      </c>
      <c r="D3326">
        <v>860</v>
      </c>
      <c r="E3326" t="s">
        <v>1063</v>
      </c>
      <c r="F3326" t="s">
        <v>320</v>
      </c>
      <c r="G3326" t="s">
        <v>319</v>
      </c>
      <c r="H3326" s="502">
        <v>52360</v>
      </c>
      <c r="I3326" s="415">
        <v>1070.0317484999998</v>
      </c>
      <c r="J3326" s="415">
        <v>853</v>
      </c>
      <c r="K3326" s="415">
        <v>898.14</v>
      </c>
      <c r="L3326" s="415">
        <v>763.31</v>
      </c>
      <c r="M3326" s="415">
        <v>948.53</v>
      </c>
      <c r="N3326" s="415">
        <v>852.79</v>
      </c>
      <c r="O3326" s="415">
        <v>751.96</v>
      </c>
      <c r="P3326" s="415">
        <v>771.54</v>
      </c>
      <c r="Q3326" s="481">
        <f t="shared" si="97"/>
        <v>-217.03174849999982</v>
      </c>
    </row>
    <row r="3327" spans="1:17" x14ac:dyDescent="0.3">
      <c r="A3327" s="366" t="str">
        <f>IFERROR(VLOOKUP(RIGHT(E3327,3)+0,[1]SchLocTable!$A$2:$B$47,2,FALSE)," ")</f>
        <v>Blackham</v>
      </c>
      <c r="B3327" s="366" t="str">
        <f>VLOOKUP(VALUE(D3327),$D$3:F$106,3,FALSE)</f>
        <v>School Nurses</v>
      </c>
      <c r="C3327" t="s">
        <v>314</v>
      </c>
      <c r="D3327">
        <v>860</v>
      </c>
      <c r="E3327" t="s">
        <v>1063</v>
      </c>
      <c r="F3327" t="s">
        <v>392</v>
      </c>
      <c r="G3327" t="s">
        <v>319</v>
      </c>
      <c r="H3327" s="502">
        <v>52504</v>
      </c>
      <c r="I3327" s="415">
        <v>15334.661885399999</v>
      </c>
      <c r="J3327" s="415">
        <v>14619</v>
      </c>
      <c r="K3327" s="415">
        <v>14638.85</v>
      </c>
      <c r="L3327" s="415">
        <v>12368.82</v>
      </c>
      <c r="M3327" s="415">
        <v>16006.01</v>
      </c>
      <c r="N3327" s="415">
        <v>12673.77</v>
      </c>
      <c r="O3327" s="415">
        <v>9665.94</v>
      </c>
      <c r="P3327" s="415">
        <v>3842.57</v>
      </c>
      <c r="Q3327" s="481">
        <f t="shared" ref="Q3327:Q3390" si="98">J3327-I3327</f>
        <v>-715.66188539999894</v>
      </c>
    </row>
    <row r="3328" spans="1:17" x14ac:dyDescent="0.3">
      <c r="A3328" s="366" t="str">
        <f>IFERROR(VLOOKUP(RIGHT(E3328,3)+0,[1]SchLocTable!$A$2:$B$47,2,FALSE)," ")</f>
        <v>Dunbar</v>
      </c>
      <c r="B3328" s="366" t="str">
        <f>VLOOKUP(VALUE(D3328),$D$3:F$106,3,FALSE)</f>
        <v>School Nurses</v>
      </c>
      <c r="C3328" t="s">
        <v>314</v>
      </c>
      <c r="D3328">
        <v>860</v>
      </c>
      <c r="E3328" t="s">
        <v>1064</v>
      </c>
      <c r="F3328" t="s">
        <v>1036</v>
      </c>
      <c r="G3328" t="s">
        <v>319</v>
      </c>
      <c r="H3328" s="502">
        <v>53905</v>
      </c>
      <c r="I3328" s="415">
        <v>360.5</v>
      </c>
      <c r="J3328" s="415">
        <v>350</v>
      </c>
      <c r="K3328" s="415">
        <v>350</v>
      </c>
      <c r="L3328" s="415">
        <v>350</v>
      </c>
      <c r="M3328" s="415">
        <v>350</v>
      </c>
      <c r="N3328" s="415">
        <v>350</v>
      </c>
      <c r="O3328" s="415">
        <v>350</v>
      </c>
      <c r="P3328" s="415">
        <v>350</v>
      </c>
      <c r="Q3328" s="481">
        <f t="shared" si="98"/>
        <v>-10.5</v>
      </c>
    </row>
    <row r="3329" spans="1:24" x14ac:dyDescent="0.3">
      <c r="A3329" s="366" t="str">
        <f>IFERROR(VLOOKUP(RIGHT(E3329,3)+0,[1]SchLocTable!$A$2:$B$47,2,FALSE)," ")</f>
        <v>Dunbar</v>
      </c>
      <c r="B3329" s="366" t="str">
        <f>VLOOKUP(VALUE(D3329),$D$3:F$106,3,FALSE)</f>
        <v>School Nurses</v>
      </c>
      <c r="C3329" t="s">
        <v>314</v>
      </c>
      <c r="D3329">
        <v>860</v>
      </c>
      <c r="E3329" t="s">
        <v>1064</v>
      </c>
      <c r="F3329" t="s">
        <v>316</v>
      </c>
      <c r="G3329" t="s">
        <v>319</v>
      </c>
      <c r="H3329" s="502">
        <v>51000</v>
      </c>
      <c r="I3329" s="415">
        <v>0</v>
      </c>
      <c r="J3329" s="415">
        <v>7899.13</v>
      </c>
      <c r="K3329" s="415">
        <v>82268.98</v>
      </c>
      <c r="L3329" s="415">
        <v>61836.42</v>
      </c>
      <c r="M3329" s="415">
        <v>76854.83</v>
      </c>
      <c r="N3329" s="415">
        <v>69924.52</v>
      </c>
      <c r="O3329" s="415">
        <v>68584.350000000006</v>
      </c>
      <c r="P3329" s="415">
        <v>61393.2</v>
      </c>
      <c r="Q3329" s="481">
        <f t="shared" si="98"/>
        <v>7899.13</v>
      </c>
    </row>
    <row r="3330" spans="1:24" x14ac:dyDescent="0.3">
      <c r="A3330" s="366" t="str">
        <f>IFERROR(VLOOKUP(RIGHT(E3330,3)+0,[1]SchLocTable!$A$2:$B$47,2,FALSE)," ")</f>
        <v>Dunbar</v>
      </c>
      <c r="B3330" s="366" t="str">
        <f>VLOOKUP(VALUE(D3330),$D$3:F$106,3,FALSE)</f>
        <v>School Nurses</v>
      </c>
      <c r="C3330" t="s">
        <v>314</v>
      </c>
      <c r="D3330">
        <v>860</v>
      </c>
      <c r="E3330" t="s">
        <v>1064</v>
      </c>
      <c r="F3330" t="s">
        <v>321</v>
      </c>
      <c r="G3330" t="s">
        <v>319</v>
      </c>
      <c r="H3330" s="502">
        <v>52917</v>
      </c>
      <c r="I3330" s="415">
        <v>0</v>
      </c>
      <c r="J3330" s="415">
        <v>0</v>
      </c>
      <c r="K3330" s="415">
        <v>12693.6</v>
      </c>
      <c r="L3330" s="415">
        <v>9765.2999999999993</v>
      </c>
      <c r="M3330" s="415">
        <v>11787.15</v>
      </c>
      <c r="N3330" s="415">
        <v>9441.31</v>
      </c>
      <c r="O3330" s="415">
        <v>9326.7800000000007</v>
      </c>
      <c r="P3330" s="415">
        <v>8862.34</v>
      </c>
      <c r="Q3330" s="481">
        <f t="shared" si="98"/>
        <v>0</v>
      </c>
      <c r="X3330" s="400"/>
    </row>
    <row r="3331" spans="1:24" x14ac:dyDescent="0.3">
      <c r="A3331" s="366" t="str">
        <f>IFERROR(VLOOKUP(RIGHT(E3331,3)+0,[1]SchLocTable!$A$2:$B$47,2,FALSE)," ")</f>
        <v>Dunbar</v>
      </c>
      <c r="B3331" s="366" t="str">
        <f>VLOOKUP(VALUE(D3331),$D$3:F$106,3,FALSE)</f>
        <v>School Nurses</v>
      </c>
      <c r="C3331" t="s">
        <v>314</v>
      </c>
      <c r="D3331">
        <v>860</v>
      </c>
      <c r="E3331" t="s">
        <v>1064</v>
      </c>
      <c r="F3331" t="s">
        <v>318</v>
      </c>
      <c r="G3331" t="s">
        <v>319</v>
      </c>
      <c r="H3331" s="502">
        <v>51140</v>
      </c>
      <c r="I3331" s="415">
        <v>466.64</v>
      </c>
      <c r="J3331" s="415">
        <v>466.64</v>
      </c>
      <c r="K3331" s="415">
        <v>630</v>
      </c>
      <c r="L3331" s="415">
        <v>560</v>
      </c>
      <c r="M3331" s="415">
        <v>490</v>
      </c>
      <c r="N3331" s="415">
        <v>420</v>
      </c>
      <c r="O3331" s="415">
        <v>350</v>
      </c>
      <c r="P3331" s="415">
        <v>0</v>
      </c>
      <c r="Q3331" s="481">
        <f t="shared" si="98"/>
        <v>0</v>
      </c>
      <c r="X3331" s="400"/>
    </row>
    <row r="3332" spans="1:24" x14ac:dyDescent="0.3">
      <c r="A3332" s="366" t="str">
        <f>IFERROR(VLOOKUP(RIGHT(E3332,3)+0,[1]SchLocTable!$A$2:$B$47,2,FALSE)," ")</f>
        <v>Dunbar</v>
      </c>
      <c r="B3332" s="366" t="str">
        <f>VLOOKUP(VALUE(D3332),$D$3:F$106,3,FALSE)</f>
        <v>School Nurses</v>
      </c>
      <c r="C3332" t="s">
        <v>314</v>
      </c>
      <c r="D3332">
        <v>860</v>
      </c>
      <c r="E3332" t="s">
        <v>1064</v>
      </c>
      <c r="F3332" t="s">
        <v>320</v>
      </c>
      <c r="G3332" t="s">
        <v>319</v>
      </c>
      <c r="H3332" s="502">
        <v>52360</v>
      </c>
      <c r="I3332" s="415">
        <v>0</v>
      </c>
      <c r="J3332" s="415">
        <v>121.3</v>
      </c>
      <c r="K3332" s="415">
        <v>1107</v>
      </c>
      <c r="L3332" s="415">
        <v>844.09</v>
      </c>
      <c r="M3332" s="415">
        <v>1068.98</v>
      </c>
      <c r="N3332" s="415">
        <v>974.05</v>
      </c>
      <c r="O3332" s="415">
        <v>961.64</v>
      </c>
      <c r="P3332" s="415">
        <v>854.6</v>
      </c>
      <c r="Q3332" s="481">
        <f t="shared" si="98"/>
        <v>121.3</v>
      </c>
      <c r="X3332" s="400"/>
    </row>
    <row r="3333" spans="1:24" x14ac:dyDescent="0.3">
      <c r="A3333" s="366" t="str">
        <f>IFERROR(VLOOKUP(RIGHT(E3333,3)+0,[1]SchLocTable!$A$2:$B$47,2,FALSE)," ")</f>
        <v>Dunbar</v>
      </c>
      <c r="B3333" s="366" t="str">
        <f>VLOOKUP(VALUE(D3333),$D$3:F$106,3,FALSE)</f>
        <v>School Nurses</v>
      </c>
      <c r="C3333" t="s">
        <v>314</v>
      </c>
      <c r="D3333">
        <v>860</v>
      </c>
      <c r="E3333" t="s">
        <v>1064</v>
      </c>
      <c r="F3333" t="s">
        <v>392</v>
      </c>
      <c r="G3333" t="s">
        <v>319</v>
      </c>
      <c r="H3333" s="502">
        <v>52504</v>
      </c>
      <c r="I3333" s="415">
        <v>0</v>
      </c>
      <c r="J3333" s="415">
        <v>96.97</v>
      </c>
      <c r="K3333" s="415">
        <v>17068.919999999998</v>
      </c>
      <c r="L3333" s="415">
        <v>12725.47</v>
      </c>
      <c r="M3333" s="415">
        <v>16579.23</v>
      </c>
      <c r="N3333" s="415">
        <v>13439.18</v>
      </c>
      <c r="O3333" s="415">
        <v>11349.35</v>
      </c>
      <c r="P3333" s="415">
        <v>8773.11</v>
      </c>
      <c r="Q3333" s="481">
        <f t="shared" si="98"/>
        <v>96.97</v>
      </c>
      <c r="X3333" s="400"/>
    </row>
    <row r="3334" spans="1:24" x14ac:dyDescent="0.3">
      <c r="A3334" s="366" t="str">
        <f>IFERROR(VLOOKUP(RIGHT(E3334,3)+0,[1]SchLocTable!$A$2:$B$47,2,FALSE)," ")</f>
        <v>Skane</v>
      </c>
      <c r="B3334" s="366" t="str">
        <f>VLOOKUP(VALUE(D3334),$D$3:F$106,3,FALSE)</f>
        <v>School Nurses</v>
      </c>
      <c r="C3334" t="s">
        <v>314</v>
      </c>
      <c r="D3334">
        <v>860</v>
      </c>
      <c r="E3334" t="s">
        <v>1065</v>
      </c>
      <c r="F3334" t="s">
        <v>316</v>
      </c>
      <c r="G3334">
        <v>1</v>
      </c>
      <c r="H3334" s="502">
        <v>51000</v>
      </c>
      <c r="I3334" s="415">
        <v>73795.293000000005</v>
      </c>
      <c r="J3334" s="415">
        <v>69931</v>
      </c>
      <c r="K3334" s="415">
        <v>70731.78</v>
      </c>
      <c r="L3334" s="415">
        <v>60649.15</v>
      </c>
      <c r="M3334" s="415">
        <v>75178.240000000005</v>
      </c>
      <c r="N3334" s="415">
        <v>65592.63</v>
      </c>
      <c r="O3334" s="415">
        <v>38413.870000000003</v>
      </c>
      <c r="P3334" s="415">
        <v>32386.63</v>
      </c>
      <c r="Q3334" s="481">
        <f t="shared" si="98"/>
        <v>-3864.2930000000051</v>
      </c>
      <c r="X3334" s="400"/>
    </row>
    <row r="3335" spans="1:24" x14ac:dyDescent="0.3">
      <c r="A3335" s="366" t="str">
        <f>IFERROR(VLOOKUP(RIGHT(E3335,3)+0,[1]SchLocTable!$A$2:$B$47,2,FALSE)," ")</f>
        <v>Skane</v>
      </c>
      <c r="B3335" s="366" t="str">
        <f>VLOOKUP(VALUE(D3335),$D$3:F$106,3,FALSE)</f>
        <v>School Nurses</v>
      </c>
      <c r="C3335" t="s">
        <v>314</v>
      </c>
      <c r="D3335">
        <v>860</v>
      </c>
      <c r="E3335" t="s">
        <v>1065</v>
      </c>
      <c r="F3335" t="s">
        <v>321</v>
      </c>
      <c r="G3335" t="s">
        <v>319</v>
      </c>
      <c r="H3335" s="502">
        <v>52917</v>
      </c>
      <c r="I3335" s="415">
        <v>35036.975999999995</v>
      </c>
      <c r="J3335" s="415">
        <v>29042</v>
      </c>
      <c r="K3335" s="415">
        <v>26547.01</v>
      </c>
      <c r="L3335" s="415">
        <v>23450.98</v>
      </c>
      <c r="M3335" s="415">
        <v>28294.99</v>
      </c>
      <c r="N3335" s="415">
        <v>23451.35</v>
      </c>
      <c r="O3335" s="415">
        <v>13354.42</v>
      </c>
      <c r="P3335" s="415">
        <v>13318.48</v>
      </c>
      <c r="Q3335" s="481">
        <f t="shared" si="98"/>
        <v>-5994.9759999999951</v>
      </c>
      <c r="X3335" s="400"/>
    </row>
    <row r="3336" spans="1:24" x14ac:dyDescent="0.3">
      <c r="A3336" s="366" t="str">
        <f>IFERROR(VLOOKUP(RIGHT(E3336,3)+0,[1]SchLocTable!$A$2:$B$47,2,FALSE)," ")</f>
        <v>Skane</v>
      </c>
      <c r="B3336" s="366" t="str">
        <f>VLOOKUP(VALUE(D3336),$D$3:F$106,3,FALSE)</f>
        <v>School Nurses</v>
      </c>
      <c r="C3336" t="s">
        <v>314</v>
      </c>
      <c r="D3336">
        <v>860</v>
      </c>
      <c r="E3336" t="s">
        <v>1065</v>
      </c>
      <c r="F3336" t="s">
        <v>320</v>
      </c>
      <c r="G3336" t="s">
        <v>319</v>
      </c>
      <c r="H3336" s="502">
        <v>52360</v>
      </c>
      <c r="I3336" s="415">
        <v>1070.0317485</v>
      </c>
      <c r="J3336" s="415">
        <v>847</v>
      </c>
      <c r="K3336" s="415">
        <v>887.98</v>
      </c>
      <c r="L3336" s="415">
        <v>758.23</v>
      </c>
      <c r="M3336" s="415">
        <v>950.71</v>
      </c>
      <c r="N3336" s="415">
        <v>839.35</v>
      </c>
      <c r="O3336" s="415">
        <v>494.93</v>
      </c>
      <c r="P3336" s="415">
        <v>430.88</v>
      </c>
      <c r="Q3336" s="481">
        <f t="shared" si="98"/>
        <v>-223.03174850000005</v>
      </c>
      <c r="X3336" s="400"/>
    </row>
    <row r="3337" spans="1:24" x14ac:dyDescent="0.3">
      <c r="A3337" s="366" t="str">
        <f>IFERROR(VLOOKUP(RIGHT(E3337,3)+0,[1]SchLocTable!$A$2:$B$47,2,FALSE)," ")</f>
        <v>Skane</v>
      </c>
      <c r="B3337" s="366" t="str">
        <f>VLOOKUP(VALUE(D3337),$D$3:F$106,3,FALSE)</f>
        <v>School Nurses</v>
      </c>
      <c r="C3337" t="s">
        <v>314</v>
      </c>
      <c r="D3337">
        <v>860</v>
      </c>
      <c r="E3337" t="s">
        <v>1065</v>
      </c>
      <c r="F3337" t="s">
        <v>392</v>
      </c>
      <c r="G3337" t="s">
        <v>319</v>
      </c>
      <c r="H3337" s="502">
        <v>52504</v>
      </c>
      <c r="I3337" s="415">
        <v>15334.661885400001</v>
      </c>
      <c r="J3337" s="415">
        <v>14532</v>
      </c>
      <c r="K3337" s="415">
        <v>14566.78</v>
      </c>
      <c r="L3337" s="415">
        <v>12368.82</v>
      </c>
      <c r="M3337" s="415">
        <v>16113.91</v>
      </c>
      <c r="N3337" s="415">
        <v>12532.9</v>
      </c>
      <c r="O3337" s="415">
        <v>1284.83</v>
      </c>
      <c r="P3337" s="415">
        <v>4778</v>
      </c>
      <c r="Q3337" s="481">
        <f t="shared" si="98"/>
        <v>-802.66188540000076</v>
      </c>
      <c r="X3337" s="400"/>
    </row>
    <row r="3338" spans="1:24" x14ac:dyDescent="0.3">
      <c r="A3338" s="366" t="str">
        <f>IFERROR(VLOOKUP(RIGHT(E3338,3)+0,[1]SchLocTable!$A$2:$B$47,2,FALSE)," ")</f>
        <v>High Horizons Magnet</v>
      </c>
      <c r="B3338" s="366" t="str">
        <f>VLOOKUP(VALUE(D3338),$D$3:F$106,3,FALSE)</f>
        <v>School Nurses</v>
      </c>
      <c r="C3338" t="s">
        <v>314</v>
      </c>
      <c r="D3338">
        <v>860</v>
      </c>
      <c r="E3338" t="s">
        <v>1066</v>
      </c>
      <c r="F3338" t="s">
        <v>1036</v>
      </c>
      <c r="G3338" t="s">
        <v>319</v>
      </c>
      <c r="H3338" s="502">
        <v>53905</v>
      </c>
      <c r="I3338" s="415">
        <v>0</v>
      </c>
      <c r="J3338" s="415">
        <v>0</v>
      </c>
      <c r="K3338" s="415">
        <v>0</v>
      </c>
      <c r="L3338" s="415">
        <v>350</v>
      </c>
      <c r="M3338" s="415">
        <v>0</v>
      </c>
      <c r="N3338" s="415">
        <v>0</v>
      </c>
      <c r="O3338" s="415">
        <v>600</v>
      </c>
      <c r="P3338" s="415">
        <v>600</v>
      </c>
      <c r="Q3338" s="481">
        <f t="shared" si="98"/>
        <v>0</v>
      </c>
      <c r="X3338" s="400"/>
    </row>
    <row r="3339" spans="1:24" x14ac:dyDescent="0.3">
      <c r="A3339" s="366" t="str">
        <f>IFERROR(VLOOKUP(RIGHT(E3339,3)+0,[1]SchLocTable!$A$2:$B$47,2,FALSE)," ")</f>
        <v>High Horizons Magnet</v>
      </c>
      <c r="B3339" s="366" t="str">
        <f>VLOOKUP(VALUE(D3339),$D$3:F$106,3,FALSE)</f>
        <v>School Nurses</v>
      </c>
      <c r="C3339" t="s">
        <v>314</v>
      </c>
      <c r="D3339">
        <v>860</v>
      </c>
      <c r="E3339" t="s">
        <v>1066</v>
      </c>
      <c r="F3339" t="s">
        <v>316</v>
      </c>
      <c r="G3339" t="s">
        <v>319</v>
      </c>
      <c r="H3339" s="502">
        <v>51000</v>
      </c>
      <c r="I3339" s="415">
        <v>0</v>
      </c>
      <c r="J3339" s="415">
        <v>0</v>
      </c>
      <c r="K3339" s="415">
        <v>18099.18</v>
      </c>
      <c r="L3339" s="415">
        <v>56459.34</v>
      </c>
      <c r="M3339" s="415">
        <v>0</v>
      </c>
      <c r="N3339" s="415">
        <v>21887.68</v>
      </c>
      <c r="O3339" s="415">
        <v>63555.58</v>
      </c>
      <c r="P3339" s="415">
        <v>63799.11</v>
      </c>
      <c r="Q3339" s="481">
        <f t="shared" si="98"/>
        <v>0</v>
      </c>
      <c r="X3339" s="400"/>
    </row>
    <row r="3340" spans="1:24" x14ac:dyDescent="0.3">
      <c r="A3340" s="366" t="str">
        <f>IFERROR(VLOOKUP(RIGHT(E3340,3)+0,[1]SchLocTable!$A$2:$B$47,2,FALSE)," ")</f>
        <v>High Horizons Magnet</v>
      </c>
      <c r="B3340" s="366" t="str">
        <f>VLOOKUP(VALUE(D3340),$D$3:F$106,3,FALSE)</f>
        <v>School Nurses</v>
      </c>
      <c r="C3340" t="s">
        <v>314</v>
      </c>
      <c r="D3340">
        <v>860</v>
      </c>
      <c r="E3340" t="s">
        <v>1066</v>
      </c>
      <c r="F3340" t="s">
        <v>321</v>
      </c>
      <c r="G3340" t="s">
        <v>319</v>
      </c>
      <c r="H3340" s="502">
        <v>52917</v>
      </c>
      <c r="I3340" s="415">
        <v>0</v>
      </c>
      <c r="J3340" s="415">
        <v>0</v>
      </c>
      <c r="K3340" s="415">
        <v>7032</v>
      </c>
      <c r="L3340" s="415">
        <v>21976.7</v>
      </c>
      <c r="M3340" s="415">
        <v>0</v>
      </c>
      <c r="N3340" s="415">
        <v>129.43</v>
      </c>
      <c r="O3340" s="415">
        <v>808.23</v>
      </c>
      <c r="P3340" s="415">
        <v>825.7</v>
      </c>
      <c r="Q3340" s="481">
        <f t="shared" si="98"/>
        <v>0</v>
      </c>
      <c r="X3340" s="400"/>
    </row>
    <row r="3341" spans="1:24" x14ac:dyDescent="0.3">
      <c r="A3341" s="366" t="str">
        <f>IFERROR(VLOOKUP(RIGHT(E3341,3)+0,[1]SchLocTable!$A$2:$B$47,2,FALSE)," ")</f>
        <v>High Horizons Magnet</v>
      </c>
      <c r="B3341" s="366" t="str">
        <f>VLOOKUP(VALUE(D3341),$D$3:F$106,3,FALSE)</f>
        <v>School Nurses</v>
      </c>
      <c r="C3341" t="s">
        <v>314</v>
      </c>
      <c r="D3341">
        <v>860</v>
      </c>
      <c r="E3341" t="s">
        <v>1066</v>
      </c>
      <c r="F3341" t="s">
        <v>318</v>
      </c>
      <c r="G3341" t="s">
        <v>319</v>
      </c>
      <c r="H3341" s="502">
        <v>51140</v>
      </c>
      <c r="I3341" s="415">
        <v>0</v>
      </c>
      <c r="J3341" s="415">
        <v>0</v>
      </c>
      <c r="K3341" s="415">
        <v>0</v>
      </c>
      <c r="L3341" s="415">
        <v>1470</v>
      </c>
      <c r="M3341" s="415">
        <v>0</v>
      </c>
      <c r="N3341" s="415">
        <v>577.5</v>
      </c>
      <c r="O3341" s="415">
        <v>560</v>
      </c>
      <c r="P3341" s="415">
        <v>490</v>
      </c>
      <c r="Q3341" s="481">
        <f t="shared" si="98"/>
        <v>0</v>
      </c>
      <c r="X3341" s="400"/>
    </row>
    <row r="3342" spans="1:24" x14ac:dyDescent="0.3">
      <c r="A3342" s="366" t="str">
        <f>IFERROR(VLOOKUP(RIGHT(E3342,3)+0,[1]SchLocTable!$A$2:$B$47,2,FALSE)," ")</f>
        <v>High Horizons Magnet</v>
      </c>
      <c r="B3342" s="366" t="str">
        <f>VLOOKUP(VALUE(D3342),$D$3:F$106,3,FALSE)</f>
        <v>School Nurses</v>
      </c>
      <c r="C3342" t="s">
        <v>314</v>
      </c>
      <c r="D3342">
        <v>860</v>
      </c>
      <c r="E3342" t="s">
        <v>1066</v>
      </c>
      <c r="F3342" t="s">
        <v>320</v>
      </c>
      <c r="G3342" t="s">
        <v>319</v>
      </c>
      <c r="H3342" s="502">
        <v>52360</v>
      </c>
      <c r="I3342" s="415">
        <v>0</v>
      </c>
      <c r="J3342" s="415">
        <v>0</v>
      </c>
      <c r="K3342" s="415">
        <v>229.54</v>
      </c>
      <c r="L3342" s="415">
        <v>742.6</v>
      </c>
      <c r="M3342" s="415">
        <v>0</v>
      </c>
      <c r="N3342" s="415">
        <v>332.99</v>
      </c>
      <c r="O3342" s="415">
        <v>967.38</v>
      </c>
      <c r="P3342" s="415">
        <v>969.9</v>
      </c>
      <c r="Q3342" s="481">
        <f t="shared" si="98"/>
        <v>0</v>
      </c>
      <c r="X3342" s="400"/>
    </row>
    <row r="3343" spans="1:24" x14ac:dyDescent="0.3">
      <c r="A3343" s="366" t="str">
        <f>IFERROR(VLOOKUP(RIGHT(E3343,3)+0,[1]SchLocTable!$A$2:$B$47,2,FALSE)," ")</f>
        <v>High Horizons Magnet</v>
      </c>
      <c r="B3343" s="366" t="str">
        <f>VLOOKUP(VALUE(D3343),$D$3:F$106,3,FALSE)</f>
        <v>School Nurses</v>
      </c>
      <c r="C3343" t="s">
        <v>314</v>
      </c>
      <c r="D3343">
        <v>860</v>
      </c>
      <c r="E3343" t="s">
        <v>1066</v>
      </c>
      <c r="F3343" t="s">
        <v>392</v>
      </c>
      <c r="G3343" t="s">
        <v>319</v>
      </c>
      <c r="H3343" s="502">
        <v>52504</v>
      </c>
      <c r="I3343" s="415">
        <v>0</v>
      </c>
      <c r="J3343" s="415">
        <v>0</v>
      </c>
      <c r="K3343" s="415">
        <v>3726.62</v>
      </c>
      <c r="L3343" s="415">
        <v>11814.62</v>
      </c>
      <c r="M3343" s="415">
        <v>0</v>
      </c>
      <c r="N3343" s="415">
        <v>2399.89</v>
      </c>
      <c r="O3343" s="415">
        <v>10559.55</v>
      </c>
      <c r="P3343" s="415">
        <v>9185.35</v>
      </c>
      <c r="Q3343" s="481">
        <f t="shared" si="98"/>
        <v>0</v>
      </c>
      <c r="X3343" s="400"/>
    </row>
    <row r="3344" spans="1:24" x14ac:dyDescent="0.3">
      <c r="A3344" s="366" t="str">
        <f>IFERROR(VLOOKUP(RIGHT(E3344,3)+0,[1]SchLocTable!$A$2:$B$47,2,FALSE)," ")</f>
        <v>Multicultural Magnet</v>
      </c>
      <c r="B3344" s="366" t="str">
        <f>VLOOKUP(VALUE(D3344),$D$3:F$106,3,FALSE)</f>
        <v>School Nurses</v>
      </c>
      <c r="C3344" t="s">
        <v>314</v>
      </c>
      <c r="D3344">
        <v>860</v>
      </c>
      <c r="E3344" t="s">
        <v>1067</v>
      </c>
      <c r="F3344" t="s">
        <v>1036</v>
      </c>
      <c r="G3344" t="s">
        <v>319</v>
      </c>
      <c r="H3344" s="502">
        <v>53905</v>
      </c>
      <c r="I3344" s="415">
        <v>515</v>
      </c>
      <c r="J3344" s="415">
        <v>500</v>
      </c>
      <c r="K3344" s="415">
        <v>0</v>
      </c>
      <c r="L3344" s="415">
        <v>500</v>
      </c>
      <c r="M3344" s="415">
        <v>500</v>
      </c>
      <c r="N3344" s="415">
        <v>500</v>
      </c>
      <c r="O3344" s="415">
        <v>500</v>
      </c>
      <c r="P3344" s="415">
        <v>500</v>
      </c>
      <c r="Q3344" s="481">
        <f t="shared" si="98"/>
        <v>-15</v>
      </c>
      <c r="X3344" s="400"/>
    </row>
    <row r="3345" spans="1:24" x14ac:dyDescent="0.3">
      <c r="A3345" s="366" t="str">
        <f>IFERROR(VLOOKUP(RIGHT(E3345,3)+0,[1]SchLocTable!$A$2:$B$47,2,FALSE)," ")</f>
        <v>Multicultural Magnet</v>
      </c>
      <c r="B3345" s="366" t="str">
        <f>VLOOKUP(VALUE(D3345),$D$3:F$106,3,FALSE)</f>
        <v>School Nurses</v>
      </c>
      <c r="C3345" t="s">
        <v>314</v>
      </c>
      <c r="D3345">
        <v>860</v>
      </c>
      <c r="E3345" t="s">
        <v>1067</v>
      </c>
      <c r="F3345" t="s">
        <v>316</v>
      </c>
      <c r="G3345">
        <v>2</v>
      </c>
      <c r="H3345" s="502">
        <v>51000</v>
      </c>
      <c r="I3345" s="415">
        <v>136296.99719999998</v>
      </c>
      <c r="J3345" s="415">
        <v>130190.36</v>
      </c>
      <c r="K3345" s="415">
        <v>87618.64</v>
      </c>
      <c r="L3345" s="415">
        <v>61836.42</v>
      </c>
      <c r="M3345" s="415">
        <v>76854.83</v>
      </c>
      <c r="N3345" s="415">
        <v>69973.36</v>
      </c>
      <c r="O3345" s="415">
        <v>63555.59</v>
      </c>
      <c r="P3345" s="415">
        <v>63764.34</v>
      </c>
      <c r="Q3345" s="481">
        <f t="shared" si="98"/>
        <v>-6106.6371999999828</v>
      </c>
      <c r="X3345" s="400"/>
    </row>
    <row r="3346" spans="1:24" x14ac:dyDescent="0.3">
      <c r="A3346" s="366" t="str">
        <f>IFERROR(VLOOKUP(RIGHT(E3346,3)+0,[1]SchLocTable!$A$2:$B$47,2,FALSE)," ")</f>
        <v>Multicultural Magnet</v>
      </c>
      <c r="B3346" s="366" t="str">
        <f>VLOOKUP(VALUE(D3346),$D$3:F$106,3,FALSE)</f>
        <v>School Nurses</v>
      </c>
      <c r="C3346" t="s">
        <v>314</v>
      </c>
      <c r="D3346">
        <v>860</v>
      </c>
      <c r="E3346" t="s">
        <v>1067</v>
      </c>
      <c r="F3346" t="s">
        <v>360</v>
      </c>
      <c r="G3346" t="s">
        <v>319</v>
      </c>
      <c r="H3346" s="502">
        <v>52920</v>
      </c>
      <c r="I3346" s="415">
        <v>2000</v>
      </c>
      <c r="J3346" s="415">
        <v>0</v>
      </c>
      <c r="K3346" s="415">
        <v>1166.67</v>
      </c>
      <c r="L3346" s="415">
        <v>0</v>
      </c>
      <c r="M3346" s="415">
        <v>0</v>
      </c>
      <c r="N3346" s="415">
        <v>0</v>
      </c>
      <c r="O3346" s="415">
        <v>0</v>
      </c>
      <c r="P3346" s="415">
        <v>0</v>
      </c>
      <c r="Q3346" s="481">
        <f t="shared" si="98"/>
        <v>-2000</v>
      </c>
      <c r="X3346" s="400"/>
    </row>
    <row r="3347" spans="1:24" x14ac:dyDescent="0.3">
      <c r="A3347" s="366" t="str">
        <f>IFERROR(VLOOKUP(RIGHT(E3347,3)+0,[1]SchLocTable!$A$2:$B$47,2,FALSE)," ")</f>
        <v>Multicultural Magnet</v>
      </c>
      <c r="B3347" s="366" t="str">
        <f>VLOOKUP(VALUE(D3347),$D$3:F$106,3,FALSE)</f>
        <v>School Nurses</v>
      </c>
      <c r="C3347" t="s">
        <v>314</v>
      </c>
      <c r="D3347">
        <v>860</v>
      </c>
      <c r="E3347" t="s">
        <v>1067</v>
      </c>
      <c r="F3347" t="s">
        <v>321</v>
      </c>
      <c r="G3347" t="s">
        <v>319</v>
      </c>
      <c r="H3347" s="502">
        <v>52917</v>
      </c>
      <c r="I3347" s="415">
        <v>35036.975999999995</v>
      </c>
      <c r="J3347" s="415">
        <v>28966</v>
      </c>
      <c r="K3347" s="415">
        <v>21307.9</v>
      </c>
      <c r="L3347" s="415">
        <v>24070.14</v>
      </c>
      <c r="M3347" s="415">
        <v>28702.31</v>
      </c>
      <c r="N3347" s="415">
        <v>26312.2</v>
      </c>
      <c r="O3347" s="415">
        <v>27630.59</v>
      </c>
      <c r="P3347" s="415">
        <v>26243.11</v>
      </c>
      <c r="Q3347" s="481">
        <f t="shared" si="98"/>
        <v>-6070.9759999999951</v>
      </c>
      <c r="X3347" s="400"/>
    </row>
    <row r="3348" spans="1:24" x14ac:dyDescent="0.3">
      <c r="A3348" s="366" t="str">
        <f>IFERROR(VLOOKUP(RIGHT(E3348,3)+0,[1]SchLocTable!$A$2:$B$47,2,FALSE)," ")</f>
        <v>Multicultural Magnet</v>
      </c>
      <c r="B3348" s="366" t="str">
        <f>VLOOKUP(VALUE(D3348),$D$3:F$106,3,FALSE)</f>
        <v>School Nurses</v>
      </c>
      <c r="C3348" t="s">
        <v>314</v>
      </c>
      <c r="D3348">
        <v>860</v>
      </c>
      <c r="E3348" t="s">
        <v>1067</v>
      </c>
      <c r="F3348" t="s">
        <v>318</v>
      </c>
      <c r="G3348" t="s">
        <v>319</v>
      </c>
      <c r="H3348" s="502">
        <v>51140</v>
      </c>
      <c r="I3348" s="415">
        <v>0</v>
      </c>
      <c r="J3348" s="415">
        <v>0</v>
      </c>
      <c r="K3348" s="415">
        <v>1283.33</v>
      </c>
      <c r="L3348" s="415">
        <v>1330</v>
      </c>
      <c r="M3348" s="415">
        <v>1260</v>
      </c>
      <c r="N3348" s="415">
        <v>1190</v>
      </c>
      <c r="O3348" s="415">
        <v>1120</v>
      </c>
      <c r="P3348" s="415">
        <v>1050</v>
      </c>
      <c r="Q3348" s="481">
        <f t="shared" si="98"/>
        <v>0</v>
      </c>
      <c r="X3348" s="400"/>
    </row>
    <row r="3349" spans="1:24" x14ac:dyDescent="0.3">
      <c r="A3349" s="366" t="str">
        <f>IFERROR(VLOOKUP(RIGHT(E3349,3)+0,[1]SchLocTable!$A$2:$B$47,2,FALSE)," ")</f>
        <v>Multicultural Magnet</v>
      </c>
      <c r="B3349" s="366" t="str">
        <f>VLOOKUP(VALUE(D3349),$D$3:F$106,3,FALSE)</f>
        <v>School Nurses</v>
      </c>
      <c r="C3349" t="s">
        <v>314</v>
      </c>
      <c r="D3349">
        <v>860</v>
      </c>
      <c r="E3349" t="s">
        <v>1067</v>
      </c>
      <c r="F3349" t="s">
        <v>320</v>
      </c>
      <c r="G3349" t="s">
        <v>319</v>
      </c>
      <c r="H3349" s="502">
        <v>52360</v>
      </c>
      <c r="I3349" s="415">
        <v>2005.3064593999998</v>
      </c>
      <c r="J3349" s="415">
        <v>1743</v>
      </c>
      <c r="K3349" s="415">
        <v>1230.55</v>
      </c>
      <c r="L3349" s="415">
        <v>810.96</v>
      </c>
      <c r="M3349" s="415">
        <v>1006.45</v>
      </c>
      <c r="N3349" s="415">
        <v>917.83</v>
      </c>
      <c r="O3349" s="415">
        <v>817.84</v>
      </c>
      <c r="P3349" s="415">
        <v>826.71</v>
      </c>
      <c r="Q3349" s="481">
        <f t="shared" si="98"/>
        <v>-262.30645939999977</v>
      </c>
      <c r="X3349" s="400"/>
    </row>
    <row r="3350" spans="1:24" x14ac:dyDescent="0.3">
      <c r="A3350" s="366" t="str">
        <f>IFERROR(VLOOKUP(RIGHT(E3350,3)+0,[1]SchLocTable!$A$2:$B$47,2,FALSE)," ")</f>
        <v>Multicultural Magnet</v>
      </c>
      <c r="B3350" s="366" t="str">
        <f>VLOOKUP(VALUE(D3350),$D$3:F$106,3,FALSE)</f>
        <v>School Nurses</v>
      </c>
      <c r="C3350" t="s">
        <v>314</v>
      </c>
      <c r="D3350">
        <v>860</v>
      </c>
      <c r="E3350" t="s">
        <v>1067</v>
      </c>
      <c r="F3350" t="s">
        <v>392</v>
      </c>
      <c r="G3350" t="s">
        <v>319</v>
      </c>
      <c r="H3350" s="502">
        <v>52504</v>
      </c>
      <c r="I3350" s="415">
        <v>28738.116018159999</v>
      </c>
      <c r="J3350" s="415">
        <v>27365</v>
      </c>
      <c r="K3350" s="415">
        <v>6326.09</v>
      </c>
      <c r="L3350" s="415">
        <v>12882.47</v>
      </c>
      <c r="M3350" s="415">
        <v>16745.400000000001</v>
      </c>
      <c r="N3350" s="415">
        <v>13594.92</v>
      </c>
      <c r="O3350" s="415">
        <v>10651.41</v>
      </c>
      <c r="P3350" s="415">
        <v>9260.09</v>
      </c>
      <c r="Q3350" s="481">
        <f t="shared" si="98"/>
        <v>-1373.1160181599989</v>
      </c>
      <c r="X3350" s="400"/>
    </row>
    <row r="3351" spans="1:24" x14ac:dyDescent="0.3">
      <c r="A3351" s="366" t="str">
        <f>IFERROR(VLOOKUP(RIGHT(E3351,3)+0,[1]SchLocTable!$A$2:$B$47,2,FALSE)," ")</f>
        <v>Multicultural Magnet</v>
      </c>
      <c r="B3351" s="366" t="str">
        <f>VLOOKUP(VALUE(D3351),$D$3:F$106,3,FALSE)</f>
        <v>School Nurses</v>
      </c>
      <c r="C3351" t="s">
        <v>314</v>
      </c>
      <c r="D3351">
        <v>860</v>
      </c>
      <c r="E3351" t="s">
        <v>1067</v>
      </c>
      <c r="F3351" t="s">
        <v>324</v>
      </c>
      <c r="G3351" t="s">
        <v>319</v>
      </c>
      <c r="H3351" s="502">
        <v>52385</v>
      </c>
      <c r="I3351" s="415">
        <v>0</v>
      </c>
      <c r="J3351" s="415">
        <v>0</v>
      </c>
      <c r="K3351" s="415">
        <v>3289.6</v>
      </c>
      <c r="L3351" s="415">
        <v>0</v>
      </c>
      <c r="M3351" s="415">
        <v>0</v>
      </c>
      <c r="N3351" s="415">
        <v>0</v>
      </c>
      <c r="O3351" s="415">
        <v>0</v>
      </c>
      <c r="P3351" s="415">
        <v>0</v>
      </c>
      <c r="Q3351" s="481">
        <f t="shared" si="98"/>
        <v>0</v>
      </c>
      <c r="X3351" s="400"/>
    </row>
    <row r="3352" spans="1:24" x14ac:dyDescent="0.3">
      <c r="A3352" s="366" t="str">
        <f>IFERROR(VLOOKUP(RIGHT(E3352,3)+0,[1]SchLocTable!$A$2:$B$47,2,FALSE)," ")</f>
        <v>Multicultural Magnet</v>
      </c>
      <c r="B3352" s="366" t="str">
        <f>VLOOKUP(VALUE(D3352),$D$3:F$106,3,FALSE)</f>
        <v>School Nurses</v>
      </c>
      <c r="C3352" t="s">
        <v>314</v>
      </c>
      <c r="D3352">
        <v>860</v>
      </c>
      <c r="E3352" t="s">
        <v>1067</v>
      </c>
      <c r="F3352" t="s">
        <v>329</v>
      </c>
      <c r="G3352" t="s">
        <v>319</v>
      </c>
      <c r="H3352" s="502">
        <v>51154</v>
      </c>
      <c r="I3352" s="415">
        <v>0</v>
      </c>
      <c r="J3352" s="415">
        <v>0</v>
      </c>
      <c r="K3352" s="415">
        <v>2546.42</v>
      </c>
      <c r="L3352" s="415">
        <v>0</v>
      </c>
      <c r="M3352" s="415">
        <v>0</v>
      </c>
      <c r="N3352" s="415">
        <v>0</v>
      </c>
      <c r="O3352" s="415">
        <v>0</v>
      </c>
      <c r="P3352" s="415">
        <v>0</v>
      </c>
      <c r="Q3352" s="481">
        <f t="shared" si="98"/>
        <v>0</v>
      </c>
      <c r="X3352" s="400"/>
    </row>
    <row r="3353" spans="1:24" x14ac:dyDescent="0.3">
      <c r="A3353" s="366" t="str">
        <f>IFERROR(VLOOKUP(RIGHT(E3353,3)+0,[1]SchLocTable!$A$2:$B$47,2,FALSE)," ")</f>
        <v>Central HS</v>
      </c>
      <c r="B3353" s="366" t="str">
        <f>VLOOKUP(VALUE(D3353),$D$3:F$106,3,FALSE)</f>
        <v>School Nurses</v>
      </c>
      <c r="C3353" t="s">
        <v>314</v>
      </c>
      <c r="D3353">
        <v>860</v>
      </c>
      <c r="E3353" t="s">
        <v>1068</v>
      </c>
      <c r="F3353" t="s">
        <v>1036</v>
      </c>
      <c r="G3353" t="s">
        <v>319</v>
      </c>
      <c r="H3353" s="502">
        <v>53905</v>
      </c>
      <c r="I3353" s="415">
        <v>515</v>
      </c>
      <c r="J3353" s="415">
        <v>500</v>
      </c>
      <c r="K3353" s="415">
        <v>500</v>
      </c>
      <c r="L3353" s="415">
        <v>500</v>
      </c>
      <c r="M3353" s="415">
        <v>500</v>
      </c>
      <c r="N3353" s="415">
        <v>500</v>
      </c>
      <c r="O3353" s="415">
        <v>500</v>
      </c>
      <c r="P3353" s="415">
        <v>500</v>
      </c>
      <c r="Q3353" s="481">
        <f t="shared" si="98"/>
        <v>-15</v>
      </c>
      <c r="X3353" s="400"/>
    </row>
    <row r="3354" spans="1:24" x14ac:dyDescent="0.3">
      <c r="A3354" s="366" t="str">
        <f>IFERROR(VLOOKUP(RIGHT(E3354,3)+0,[1]SchLocTable!$A$2:$B$47,2,FALSE)," ")</f>
        <v>Central HS</v>
      </c>
      <c r="B3354" s="366" t="str">
        <f>VLOOKUP(VALUE(D3354),$D$3:F$106,3,FALSE)</f>
        <v>School Nurses</v>
      </c>
      <c r="C3354" t="s">
        <v>314</v>
      </c>
      <c r="D3354">
        <v>860</v>
      </c>
      <c r="E3354" t="s">
        <v>1068</v>
      </c>
      <c r="F3354" t="s">
        <v>316</v>
      </c>
      <c r="G3354">
        <v>1</v>
      </c>
      <c r="H3354" s="502">
        <v>51000</v>
      </c>
      <c r="I3354" s="415">
        <v>73795.292999999991</v>
      </c>
      <c r="J3354" s="415">
        <v>71300</v>
      </c>
      <c r="K3354" s="415">
        <v>71574.03</v>
      </c>
      <c r="L3354" s="415">
        <v>61836.42</v>
      </c>
      <c r="M3354" s="415">
        <v>75949.23</v>
      </c>
      <c r="N3354" s="415">
        <v>67954.55</v>
      </c>
      <c r="O3354" s="415">
        <v>56352.74</v>
      </c>
      <c r="P3354" s="415">
        <v>58247.41</v>
      </c>
      <c r="Q3354" s="481">
        <f t="shared" si="98"/>
        <v>-2495.2929999999906</v>
      </c>
      <c r="X3354" s="400"/>
    </row>
    <row r="3355" spans="1:24" x14ac:dyDescent="0.3">
      <c r="A3355" s="366" t="str">
        <f>IFERROR(VLOOKUP(RIGHT(E3355,3)+0,[1]SchLocTable!$A$2:$B$47,2,FALSE)," ")</f>
        <v>Central HS</v>
      </c>
      <c r="B3355" s="366" t="str">
        <f>VLOOKUP(VALUE(D3355),$D$3:F$106,3,FALSE)</f>
        <v>School Nurses</v>
      </c>
      <c r="C3355" t="s">
        <v>314</v>
      </c>
      <c r="D3355">
        <v>860</v>
      </c>
      <c r="E3355" t="s">
        <v>1068</v>
      </c>
      <c r="F3355" t="s">
        <v>321</v>
      </c>
      <c r="G3355" t="s">
        <v>319</v>
      </c>
      <c r="H3355" s="502">
        <v>52917</v>
      </c>
      <c r="I3355" s="415">
        <v>43153.968000000001</v>
      </c>
      <c r="J3355" s="415">
        <v>35784</v>
      </c>
      <c r="K3355" s="415">
        <v>32724.63</v>
      </c>
      <c r="L3355" s="415">
        <v>28926.720000000001</v>
      </c>
      <c r="M3355" s="415">
        <v>34918.29</v>
      </c>
      <c r="N3355" s="415">
        <v>28565.8</v>
      </c>
      <c r="O3355" s="415">
        <v>25965.83</v>
      </c>
      <c r="P3355" s="415">
        <v>23551.57</v>
      </c>
      <c r="Q3355" s="481">
        <f t="shared" si="98"/>
        <v>-7369.9680000000008</v>
      </c>
      <c r="X3355" s="400"/>
    </row>
    <row r="3356" spans="1:24" ht="18" customHeight="1" x14ac:dyDescent="0.3">
      <c r="A3356" s="366" t="str">
        <f>IFERROR(VLOOKUP(RIGHT(E3356,3)+0,[1]SchLocTable!$A$2:$B$47,2,FALSE)," ")</f>
        <v>Central HS</v>
      </c>
      <c r="B3356" s="366" t="str">
        <f>VLOOKUP(VALUE(D3356),$D$3:F$106,3,FALSE)</f>
        <v>School Nurses</v>
      </c>
      <c r="C3356" t="s">
        <v>314</v>
      </c>
      <c r="D3356">
        <v>860</v>
      </c>
      <c r="E3356" t="s">
        <v>1068</v>
      </c>
      <c r="F3356" t="s">
        <v>318</v>
      </c>
      <c r="G3356" t="s">
        <v>319</v>
      </c>
      <c r="H3356" s="502">
        <v>51140</v>
      </c>
      <c r="I3356" s="415">
        <v>490</v>
      </c>
      <c r="J3356" s="415">
        <v>0</v>
      </c>
      <c r="K3356" s="415">
        <v>420</v>
      </c>
      <c r="L3356" s="415">
        <v>350</v>
      </c>
      <c r="M3356" s="415">
        <v>0</v>
      </c>
      <c r="N3356" s="415">
        <v>0</v>
      </c>
      <c r="O3356" s="415">
        <v>0</v>
      </c>
      <c r="P3356" s="415">
        <v>0</v>
      </c>
      <c r="Q3356" s="481">
        <f t="shared" si="98"/>
        <v>-490</v>
      </c>
      <c r="X3356" s="400"/>
    </row>
    <row r="3357" spans="1:24" x14ac:dyDescent="0.3">
      <c r="A3357" s="366" t="str">
        <f>IFERROR(VLOOKUP(RIGHT(E3357,3)+0,[1]SchLocTable!$A$2:$B$47,2,FALSE)," ")</f>
        <v>Central HS</v>
      </c>
      <c r="B3357" s="366" t="str">
        <f>VLOOKUP(VALUE(D3357),$D$3:F$106,3,FALSE)</f>
        <v>School Nurses</v>
      </c>
      <c r="C3357" t="s">
        <v>314</v>
      </c>
      <c r="D3357">
        <v>860</v>
      </c>
      <c r="E3357" t="s">
        <v>1068</v>
      </c>
      <c r="F3357" t="s">
        <v>320</v>
      </c>
      <c r="G3357" t="s">
        <v>319</v>
      </c>
      <c r="H3357" s="502">
        <v>52360</v>
      </c>
      <c r="I3357" s="415">
        <v>1070.0317484999998</v>
      </c>
      <c r="J3357" s="415">
        <v>837</v>
      </c>
      <c r="K3357" s="415">
        <v>882.83</v>
      </c>
      <c r="L3357" s="415">
        <v>760.73</v>
      </c>
      <c r="M3357" s="415">
        <v>938.04</v>
      </c>
      <c r="N3357" s="415">
        <v>850.15</v>
      </c>
      <c r="O3357" s="415">
        <v>704.61</v>
      </c>
      <c r="P3357" s="415">
        <v>766.83</v>
      </c>
      <c r="Q3357" s="481">
        <f t="shared" si="98"/>
        <v>-233.03174849999982</v>
      </c>
      <c r="X3357" s="400"/>
    </row>
    <row r="3358" spans="1:24" x14ac:dyDescent="0.3">
      <c r="A3358" s="366" t="str">
        <f>IFERROR(VLOOKUP(RIGHT(E3358,3)+0,[1]SchLocTable!$A$2:$B$47,2,FALSE)," ")</f>
        <v>Central HS</v>
      </c>
      <c r="B3358" s="366" t="str">
        <f>VLOOKUP(VALUE(D3358),$D$3:F$106,3,FALSE)</f>
        <v>School Nurses</v>
      </c>
      <c r="C3358" t="s">
        <v>314</v>
      </c>
      <c r="D3358">
        <v>860</v>
      </c>
      <c r="E3358" t="s">
        <v>1068</v>
      </c>
      <c r="F3358" t="s">
        <v>392</v>
      </c>
      <c r="G3358" t="s">
        <v>319</v>
      </c>
      <c r="H3358" s="502">
        <v>52504</v>
      </c>
      <c r="I3358" s="415">
        <v>15334.661885399999</v>
      </c>
      <c r="J3358" s="415">
        <v>14918</v>
      </c>
      <c r="K3358" s="415">
        <v>14826.7</v>
      </c>
      <c r="L3358" s="415">
        <v>12682.65</v>
      </c>
      <c r="M3358" s="415">
        <v>16278.21</v>
      </c>
      <c r="N3358" s="415">
        <v>12983.4</v>
      </c>
      <c r="O3358" s="415">
        <v>9285.4</v>
      </c>
      <c r="P3358" s="415">
        <v>8432.77</v>
      </c>
      <c r="Q3358" s="481">
        <f t="shared" si="98"/>
        <v>-416.66188539999894</v>
      </c>
      <c r="X3358" s="400"/>
    </row>
    <row r="3359" spans="1:24" x14ac:dyDescent="0.3">
      <c r="A3359" s="366" t="str">
        <f>IFERROR(VLOOKUP(RIGHT(E3359,3)+0,[1]SchLocTable!$A$2:$B$47,2,FALSE)," ")</f>
        <v>Aquaculture</v>
      </c>
      <c r="B3359" s="366" t="str">
        <f>VLOOKUP(VALUE(D3359),$D$3:F$106,3,FALSE)</f>
        <v>School Nurses</v>
      </c>
      <c r="C3359" t="s">
        <v>314</v>
      </c>
      <c r="D3359">
        <v>860</v>
      </c>
      <c r="E3359" t="s">
        <v>1069</v>
      </c>
      <c r="F3359" t="s">
        <v>1036</v>
      </c>
      <c r="G3359" t="s">
        <v>319</v>
      </c>
      <c r="H3359" s="502">
        <v>53905</v>
      </c>
      <c r="I3359" s="415">
        <v>0</v>
      </c>
      <c r="J3359" s="415">
        <v>0</v>
      </c>
      <c r="K3359" s="415">
        <v>500</v>
      </c>
      <c r="L3359" s="415">
        <v>500</v>
      </c>
      <c r="M3359" s="415">
        <v>0</v>
      </c>
      <c r="N3359" s="415">
        <v>0</v>
      </c>
      <c r="O3359" s="415">
        <v>360</v>
      </c>
      <c r="P3359" s="415">
        <v>360</v>
      </c>
      <c r="Q3359" s="481">
        <f t="shared" si="98"/>
        <v>0</v>
      </c>
      <c r="X3359" s="400"/>
    </row>
    <row r="3360" spans="1:24" x14ac:dyDescent="0.3">
      <c r="A3360" s="366" t="str">
        <f>IFERROR(VLOOKUP(RIGHT(E3360,3)+0,[1]SchLocTable!$A$2:$B$47,2,FALSE)," ")</f>
        <v>Aquaculture</v>
      </c>
      <c r="B3360" s="366" t="str">
        <f>VLOOKUP(VALUE(D3360),$D$3:F$106,3,FALSE)</f>
        <v>School Nurses</v>
      </c>
      <c r="C3360" t="s">
        <v>314</v>
      </c>
      <c r="D3360">
        <v>860</v>
      </c>
      <c r="E3360" t="s">
        <v>1069</v>
      </c>
      <c r="F3360" t="s">
        <v>316</v>
      </c>
      <c r="G3360">
        <v>1</v>
      </c>
      <c r="H3360" s="502">
        <v>51000</v>
      </c>
      <c r="I3360" s="415">
        <v>73794.754799999995</v>
      </c>
      <c r="J3360" s="415">
        <v>71300</v>
      </c>
      <c r="K3360" s="415">
        <v>71574</v>
      </c>
      <c r="L3360" s="415">
        <v>61836.42</v>
      </c>
      <c r="M3360" s="415">
        <v>0</v>
      </c>
      <c r="N3360" s="415">
        <v>1000.49</v>
      </c>
      <c r="O3360" s="415">
        <v>27198.18</v>
      </c>
      <c r="P3360" s="415">
        <v>37947.040000000001</v>
      </c>
      <c r="Q3360" s="481">
        <f t="shared" si="98"/>
        <v>-2494.7547999999952</v>
      </c>
      <c r="X3360" s="400"/>
    </row>
    <row r="3361" spans="1:24" x14ac:dyDescent="0.3">
      <c r="A3361" s="366" t="str">
        <f>IFERROR(VLOOKUP(RIGHT(E3361,3)+0,[1]SchLocTable!$A$2:$B$47,2,FALSE)," ")</f>
        <v>Aquaculture</v>
      </c>
      <c r="B3361" s="366" t="str">
        <f>VLOOKUP(VALUE(D3361),$D$3:F$106,3,FALSE)</f>
        <v>School Nurses</v>
      </c>
      <c r="C3361" t="s">
        <v>314</v>
      </c>
      <c r="D3361">
        <v>860</v>
      </c>
      <c r="E3361" t="s">
        <v>1069</v>
      </c>
      <c r="F3361" t="s">
        <v>334</v>
      </c>
      <c r="G3361" t="s">
        <v>319</v>
      </c>
      <c r="H3361" s="502">
        <v>51400</v>
      </c>
      <c r="I3361" s="415">
        <v>0</v>
      </c>
      <c r="J3361" s="415">
        <v>0</v>
      </c>
      <c r="K3361" s="415">
        <v>0</v>
      </c>
      <c r="L3361" s="415">
        <v>0</v>
      </c>
      <c r="M3361" s="415">
        <v>0</v>
      </c>
      <c r="N3361" s="415">
        <v>0</v>
      </c>
      <c r="O3361" s="415">
        <v>0</v>
      </c>
      <c r="P3361" s="415">
        <v>0</v>
      </c>
      <c r="Q3361" s="481">
        <f t="shared" si="98"/>
        <v>0</v>
      </c>
      <c r="X3361" s="400"/>
    </row>
    <row r="3362" spans="1:24" x14ac:dyDescent="0.3">
      <c r="A3362" s="366" t="str">
        <f>IFERROR(VLOOKUP(RIGHT(E3362,3)+0,[1]SchLocTable!$A$2:$B$47,2,FALSE)," ")</f>
        <v>Aquaculture</v>
      </c>
      <c r="B3362" s="366" t="str">
        <f>VLOOKUP(VALUE(D3362),$D$3:F$106,3,FALSE)</f>
        <v>School Nurses</v>
      </c>
      <c r="C3362" t="s">
        <v>314</v>
      </c>
      <c r="D3362">
        <v>860</v>
      </c>
      <c r="E3362" t="s">
        <v>1069</v>
      </c>
      <c r="F3362" t="s">
        <v>360</v>
      </c>
      <c r="G3362" t="s">
        <v>319</v>
      </c>
      <c r="H3362" s="502">
        <v>52920</v>
      </c>
      <c r="I3362" s="415">
        <v>2000</v>
      </c>
      <c r="J3362" s="415">
        <v>0</v>
      </c>
      <c r="K3362" s="415">
        <v>2000</v>
      </c>
      <c r="L3362" s="415">
        <v>2000</v>
      </c>
      <c r="M3362" s="415">
        <v>0</v>
      </c>
      <c r="N3362" s="415">
        <v>0</v>
      </c>
      <c r="O3362" s="415">
        <v>800</v>
      </c>
      <c r="P3362" s="415">
        <v>1200</v>
      </c>
      <c r="Q3362" s="481">
        <f t="shared" si="98"/>
        <v>-2000</v>
      </c>
      <c r="X3362" s="400"/>
    </row>
    <row r="3363" spans="1:24" x14ac:dyDescent="0.3">
      <c r="A3363" s="366" t="str">
        <f>IFERROR(VLOOKUP(RIGHT(E3363,3)+0,[1]SchLocTable!$A$2:$B$47,2,FALSE)," ")</f>
        <v>Aquaculture</v>
      </c>
      <c r="B3363" s="366" t="str">
        <f>VLOOKUP(VALUE(D3363),$D$3:F$106,3,FALSE)</f>
        <v>School Nurses</v>
      </c>
      <c r="C3363" t="s">
        <v>314</v>
      </c>
      <c r="D3363">
        <v>860</v>
      </c>
      <c r="E3363" t="s">
        <v>1069</v>
      </c>
      <c r="F3363" t="s">
        <v>321</v>
      </c>
      <c r="G3363" t="s">
        <v>319</v>
      </c>
      <c r="H3363" s="502">
        <v>52917</v>
      </c>
      <c r="I3363" s="415">
        <v>1052.6879999999999</v>
      </c>
      <c r="J3363" s="415">
        <v>876</v>
      </c>
      <c r="K3363" s="415">
        <v>895.69</v>
      </c>
      <c r="L3363" s="415">
        <v>855.78</v>
      </c>
      <c r="M3363" s="415">
        <v>0</v>
      </c>
      <c r="N3363" s="415">
        <v>0</v>
      </c>
      <c r="O3363" s="415">
        <v>191.34</v>
      </c>
      <c r="P3363" s="415">
        <v>289.77</v>
      </c>
      <c r="Q3363" s="481">
        <f t="shared" si="98"/>
        <v>-176.68799999999987</v>
      </c>
      <c r="X3363" s="400"/>
    </row>
    <row r="3364" spans="1:24" x14ac:dyDescent="0.3">
      <c r="A3364" s="366" t="str">
        <f>IFERROR(VLOOKUP(RIGHT(E3364,3)+0,[1]SchLocTable!$A$2:$B$47,2,FALSE)," ")</f>
        <v>Aquaculture</v>
      </c>
      <c r="B3364" s="366" t="str">
        <f>VLOOKUP(VALUE(D3364),$D$3:F$106,3,FALSE)</f>
        <v>School Nurses</v>
      </c>
      <c r="C3364" t="s">
        <v>314</v>
      </c>
      <c r="D3364">
        <v>860</v>
      </c>
      <c r="E3364" t="s">
        <v>1069</v>
      </c>
      <c r="F3364" t="s">
        <v>318</v>
      </c>
      <c r="G3364" t="s">
        <v>319</v>
      </c>
      <c r="H3364" s="502">
        <v>51140</v>
      </c>
      <c r="I3364" s="415">
        <v>700</v>
      </c>
      <c r="J3364" s="415">
        <v>0</v>
      </c>
      <c r="K3364" s="415">
        <v>630</v>
      </c>
      <c r="L3364" s="415">
        <v>560</v>
      </c>
      <c r="M3364" s="415">
        <v>0</v>
      </c>
      <c r="N3364" s="415">
        <v>0</v>
      </c>
      <c r="O3364" s="415">
        <v>504</v>
      </c>
      <c r="P3364" s="415">
        <v>336</v>
      </c>
      <c r="Q3364" s="481">
        <f t="shared" si="98"/>
        <v>-700</v>
      </c>
      <c r="X3364" s="400"/>
    </row>
    <row r="3365" spans="1:24" x14ac:dyDescent="0.3">
      <c r="A3365" s="366" t="str">
        <f>IFERROR(VLOOKUP(RIGHT(E3365,3)+0,[1]SchLocTable!$A$2:$B$47,2,FALSE)," ")</f>
        <v>Aquaculture</v>
      </c>
      <c r="B3365" s="366" t="str">
        <f>VLOOKUP(VALUE(D3365),$D$3:F$106,3,FALSE)</f>
        <v>School Nurses</v>
      </c>
      <c r="C3365" t="s">
        <v>314</v>
      </c>
      <c r="D3365">
        <v>860</v>
      </c>
      <c r="E3365" t="s">
        <v>1069</v>
      </c>
      <c r="F3365" t="s">
        <v>320</v>
      </c>
      <c r="G3365" t="s">
        <v>319</v>
      </c>
      <c r="H3365" s="502">
        <v>52360</v>
      </c>
      <c r="I3365" s="415">
        <v>1099.0239446</v>
      </c>
      <c r="J3365" s="415">
        <v>1044</v>
      </c>
      <c r="K3365" s="415">
        <v>1086.47</v>
      </c>
      <c r="L3365" s="415">
        <v>944.62</v>
      </c>
      <c r="M3365" s="415">
        <v>0</v>
      </c>
      <c r="N3365" s="415">
        <v>14.51</v>
      </c>
      <c r="O3365" s="415">
        <v>418.53</v>
      </c>
      <c r="P3365" s="415">
        <v>577.84</v>
      </c>
      <c r="Q3365" s="481">
        <f t="shared" si="98"/>
        <v>-55.02394460000005</v>
      </c>
      <c r="X3365" s="400"/>
    </row>
    <row r="3366" spans="1:24" x14ac:dyDescent="0.3">
      <c r="A3366" s="366" t="str">
        <f>IFERROR(VLOOKUP(RIGHT(E3366,3)+0,[1]SchLocTable!$A$2:$B$47,2,FALSE)," ")</f>
        <v>Aquaculture</v>
      </c>
      <c r="B3366" s="366" t="str">
        <f>VLOOKUP(VALUE(D3366),$D$3:F$106,3,FALSE)</f>
        <v>School Nurses</v>
      </c>
      <c r="C3366" t="s">
        <v>314</v>
      </c>
      <c r="D3366">
        <v>860</v>
      </c>
      <c r="E3366" t="s">
        <v>1069</v>
      </c>
      <c r="F3366" t="s">
        <v>392</v>
      </c>
      <c r="G3366" t="s">
        <v>319</v>
      </c>
      <c r="H3366" s="502">
        <v>52504</v>
      </c>
      <c r="I3366" s="415">
        <v>15750.15004744</v>
      </c>
      <c r="J3366" s="415">
        <v>14961</v>
      </c>
      <c r="K3366" s="415">
        <v>14869.94</v>
      </c>
      <c r="L3366" s="415">
        <v>12725.47</v>
      </c>
      <c r="M3366" s="415">
        <v>0</v>
      </c>
      <c r="N3366" s="415">
        <v>190.3</v>
      </c>
      <c r="O3366" s="415">
        <v>4177.3900000000003</v>
      </c>
      <c r="P3366" s="415">
        <v>5470.06</v>
      </c>
      <c r="Q3366" s="481">
        <f t="shared" si="98"/>
        <v>-789.15004743999998</v>
      </c>
      <c r="X3366" s="400"/>
    </row>
    <row r="3367" spans="1:24" x14ac:dyDescent="0.3">
      <c r="A3367" s="366" t="str">
        <f>IFERROR(VLOOKUP(RIGHT(E3367,3)+0,[1]SchLocTable!$A$2:$B$47,2,FALSE)," ")</f>
        <v>Aquaculture</v>
      </c>
      <c r="B3367" s="366" t="str">
        <f>VLOOKUP(VALUE(D3367),$D$3:F$106,3,FALSE)</f>
        <v>School Nurses</v>
      </c>
      <c r="C3367" t="s">
        <v>314</v>
      </c>
      <c r="D3367">
        <v>860</v>
      </c>
      <c r="E3367" t="s">
        <v>1069</v>
      </c>
      <c r="F3367" t="s">
        <v>560</v>
      </c>
      <c r="G3367" t="s">
        <v>319</v>
      </c>
      <c r="H3367" s="502">
        <v>51404</v>
      </c>
      <c r="I3367" s="415">
        <v>0</v>
      </c>
      <c r="J3367" s="415">
        <v>0</v>
      </c>
      <c r="K3367" s="415">
        <v>225</v>
      </c>
      <c r="L3367" s="415">
        <v>250</v>
      </c>
      <c r="M3367" s="415">
        <v>0</v>
      </c>
      <c r="N3367" s="415">
        <v>0</v>
      </c>
      <c r="O3367" s="415">
        <v>0</v>
      </c>
      <c r="P3367" s="415">
        <v>0</v>
      </c>
      <c r="Q3367" s="481">
        <f t="shared" si="98"/>
        <v>0</v>
      </c>
      <c r="X3367" s="400"/>
    </row>
    <row r="3368" spans="1:24" x14ac:dyDescent="0.3">
      <c r="A3368" s="366" t="str">
        <f>IFERROR(VLOOKUP(RIGHT(E3368,3)+0,[1]SchLocTable!$A$2:$B$47,2,FALSE)," ")</f>
        <v>FCW campus</v>
      </c>
      <c r="B3368" s="366" t="str">
        <f>VLOOKUP(VALUE(D3368),$D$3:F$106,3,FALSE)</f>
        <v>School Nurses</v>
      </c>
      <c r="C3368" t="s">
        <v>314</v>
      </c>
      <c r="D3368">
        <v>860</v>
      </c>
      <c r="E3368" t="s">
        <v>1070</v>
      </c>
      <c r="F3368" t="s">
        <v>1036</v>
      </c>
      <c r="G3368" t="s">
        <v>319</v>
      </c>
      <c r="H3368" s="502">
        <v>53905</v>
      </c>
      <c r="I3368" s="415">
        <v>515</v>
      </c>
      <c r="J3368" s="415">
        <v>500</v>
      </c>
      <c r="K3368" s="415">
        <v>500</v>
      </c>
      <c r="L3368" s="415">
        <v>500</v>
      </c>
      <c r="M3368" s="415">
        <v>500</v>
      </c>
      <c r="N3368" s="415">
        <v>500</v>
      </c>
      <c r="O3368" s="415">
        <v>500</v>
      </c>
      <c r="P3368" s="415">
        <v>500</v>
      </c>
      <c r="Q3368" s="481">
        <f t="shared" si="98"/>
        <v>-15</v>
      </c>
      <c r="X3368" s="400"/>
    </row>
    <row r="3369" spans="1:24" x14ac:dyDescent="0.3">
      <c r="A3369" s="366" t="str">
        <f>IFERROR(VLOOKUP(RIGHT(E3369,3)+0,[1]SchLocTable!$A$2:$B$47,2,FALSE)," ")</f>
        <v>FCW campus</v>
      </c>
      <c r="B3369" s="366" t="str">
        <f>VLOOKUP(VALUE(D3369),$D$3:F$106,3,FALSE)</f>
        <v>School Nurses</v>
      </c>
      <c r="C3369" t="s">
        <v>314</v>
      </c>
      <c r="D3369">
        <v>860</v>
      </c>
      <c r="E3369" t="s">
        <v>1070</v>
      </c>
      <c r="F3369" t="s">
        <v>316</v>
      </c>
      <c r="G3369">
        <v>1</v>
      </c>
      <c r="H3369" s="502">
        <v>51000</v>
      </c>
      <c r="I3369" s="415">
        <v>73795.292999999991</v>
      </c>
      <c r="J3369" s="415">
        <v>71300</v>
      </c>
      <c r="K3369" s="415">
        <v>71574.02</v>
      </c>
      <c r="L3369" s="415">
        <v>69902.039999999994</v>
      </c>
      <c r="M3369" s="415">
        <v>68789.210000000006</v>
      </c>
      <c r="N3369" s="415">
        <v>69910.62</v>
      </c>
      <c r="O3369" s="415">
        <v>59942.92</v>
      </c>
      <c r="P3369" s="415">
        <v>62574.48</v>
      </c>
      <c r="Q3369" s="481">
        <f t="shared" si="98"/>
        <v>-2495.2929999999906</v>
      </c>
      <c r="X3369" s="400"/>
    </row>
    <row r="3370" spans="1:24" x14ac:dyDescent="0.3">
      <c r="A3370" s="366" t="str">
        <f>IFERROR(VLOOKUP(RIGHT(E3370,3)+0,[1]SchLocTable!$A$2:$B$47,2,FALSE)," ")</f>
        <v>FCW campus</v>
      </c>
      <c r="B3370" s="366" t="str">
        <f>VLOOKUP(VALUE(D3370),$D$3:F$106,3,FALSE)</f>
        <v>School Nurses</v>
      </c>
      <c r="C3370" t="s">
        <v>314</v>
      </c>
      <c r="D3370">
        <v>860</v>
      </c>
      <c r="E3370" t="s">
        <v>1070</v>
      </c>
      <c r="F3370" t="s">
        <v>321</v>
      </c>
      <c r="G3370" t="s">
        <v>319</v>
      </c>
      <c r="H3370" s="502">
        <v>52917</v>
      </c>
      <c r="I3370" s="415">
        <v>15361.008</v>
      </c>
      <c r="J3370" s="415">
        <v>12732</v>
      </c>
      <c r="K3370" s="415">
        <v>11604.16</v>
      </c>
      <c r="L3370" s="415">
        <v>11327.94</v>
      </c>
      <c r="M3370" s="415">
        <v>10648.31</v>
      </c>
      <c r="N3370" s="415">
        <v>9842.83</v>
      </c>
      <c r="O3370" s="415">
        <v>9326.7800000000007</v>
      </c>
      <c r="P3370" s="415">
        <v>8862.34</v>
      </c>
      <c r="Q3370" s="481">
        <f t="shared" si="98"/>
        <v>-2629.0079999999998</v>
      </c>
      <c r="R3370" s="400"/>
      <c r="S3370" s="400"/>
      <c r="T3370" s="400"/>
      <c r="U3370" s="400"/>
      <c r="V3370" s="400"/>
      <c r="W3370" s="400"/>
      <c r="X3370" s="400"/>
    </row>
    <row r="3371" spans="1:24" x14ac:dyDescent="0.3">
      <c r="A3371" s="366" t="str">
        <f>IFERROR(VLOOKUP(RIGHT(E3371,3)+0,[1]SchLocTable!$A$2:$B$47,2,FALSE)," ")</f>
        <v>FCW campus</v>
      </c>
      <c r="B3371" s="366" t="str">
        <f>VLOOKUP(VALUE(D3371),$D$3:F$106,3,FALSE)</f>
        <v>School Nurses</v>
      </c>
      <c r="C3371" t="s">
        <v>314</v>
      </c>
      <c r="D3371">
        <v>860</v>
      </c>
      <c r="E3371" t="s">
        <v>1070</v>
      </c>
      <c r="F3371" t="s">
        <v>318</v>
      </c>
      <c r="G3371" t="s">
        <v>319</v>
      </c>
      <c r="H3371" s="502">
        <v>51140</v>
      </c>
      <c r="I3371" s="415">
        <v>1260</v>
      </c>
      <c r="J3371" s="415">
        <v>0</v>
      </c>
      <c r="K3371" s="415">
        <v>1190</v>
      </c>
      <c r="L3371" s="415">
        <v>1120</v>
      </c>
      <c r="M3371" s="415">
        <v>1050</v>
      </c>
      <c r="N3371" s="415">
        <v>980</v>
      </c>
      <c r="O3371" s="415">
        <v>910</v>
      </c>
      <c r="P3371" s="415">
        <v>840</v>
      </c>
      <c r="Q3371" s="481">
        <f t="shared" si="98"/>
        <v>-1260</v>
      </c>
    </row>
    <row r="3372" spans="1:24" x14ac:dyDescent="0.3">
      <c r="A3372" s="366" t="str">
        <f>IFERROR(VLOOKUP(RIGHT(E3372,3)+0,[1]SchLocTable!$A$2:$B$47,2,FALSE)," ")</f>
        <v>FCW campus</v>
      </c>
      <c r="B3372" s="366" t="str">
        <f>VLOOKUP(VALUE(D3372),$D$3:F$106,3,FALSE)</f>
        <v>School Nurses</v>
      </c>
      <c r="C3372" t="s">
        <v>314</v>
      </c>
      <c r="D3372">
        <v>860</v>
      </c>
      <c r="E3372" t="s">
        <v>1070</v>
      </c>
      <c r="F3372" t="s">
        <v>320</v>
      </c>
      <c r="G3372" t="s">
        <v>319</v>
      </c>
      <c r="H3372" s="502">
        <v>52360</v>
      </c>
      <c r="I3372" s="415">
        <v>1070.0317484999998</v>
      </c>
      <c r="J3372" s="415">
        <v>1052</v>
      </c>
      <c r="K3372" s="415">
        <v>1062.3399999999999</v>
      </c>
      <c r="L3372" s="415">
        <v>1045.77</v>
      </c>
      <c r="M3372" s="415">
        <v>1019.92</v>
      </c>
      <c r="N3372" s="415">
        <v>1035.1600000000001</v>
      </c>
      <c r="O3372" s="415">
        <v>933.06</v>
      </c>
      <c r="P3372" s="415">
        <v>926.77</v>
      </c>
      <c r="Q3372" s="481">
        <f t="shared" si="98"/>
        <v>-18.031748499999821</v>
      </c>
    </row>
    <row r="3373" spans="1:24" x14ac:dyDescent="0.3">
      <c r="A3373" s="366" t="str">
        <f>IFERROR(VLOOKUP(RIGHT(E3373,3)+0,[1]SchLocTable!$A$2:$B$47,2,FALSE)," ")</f>
        <v>FCW campus</v>
      </c>
      <c r="B3373" s="366" t="str">
        <f>VLOOKUP(VALUE(D3373),$D$3:F$106,3,FALSE)</f>
        <v>School Nurses</v>
      </c>
      <c r="C3373" t="s">
        <v>314</v>
      </c>
      <c r="D3373">
        <v>860</v>
      </c>
      <c r="E3373" t="s">
        <v>1070</v>
      </c>
      <c r="F3373" t="s">
        <v>392</v>
      </c>
      <c r="G3373" t="s">
        <v>319</v>
      </c>
      <c r="H3373" s="502">
        <v>52504</v>
      </c>
      <c r="I3373" s="415">
        <v>15334.661885399999</v>
      </c>
      <c r="J3373" s="415">
        <v>15078</v>
      </c>
      <c r="K3373" s="415">
        <v>14985.24</v>
      </c>
      <c r="L3373" s="415">
        <v>14607.79</v>
      </c>
      <c r="M3373" s="415">
        <v>15055.48</v>
      </c>
      <c r="N3373" s="415">
        <v>13660.21</v>
      </c>
      <c r="O3373" s="415">
        <v>8305.4500000000007</v>
      </c>
      <c r="P3373" s="415">
        <v>9181.7800000000007</v>
      </c>
      <c r="Q3373" s="481">
        <f t="shared" si="98"/>
        <v>-256.66188539999894</v>
      </c>
    </row>
    <row r="3374" spans="1:24" x14ac:dyDescent="0.3">
      <c r="A3374" s="366" t="str">
        <f>IFERROR(VLOOKUP(RIGHT(E3374,3)+0,[1]SchLocTable!$A$2:$B$47,2,FALSE)," ")</f>
        <v>FCW campus</v>
      </c>
      <c r="B3374" s="366" t="str">
        <f>VLOOKUP(VALUE(D3374),$D$3:F$106,3,FALSE)</f>
        <v>School Nurses</v>
      </c>
      <c r="C3374" t="s">
        <v>314</v>
      </c>
      <c r="D3374">
        <v>860</v>
      </c>
      <c r="E3374" t="s">
        <v>1070</v>
      </c>
      <c r="F3374" t="s">
        <v>317</v>
      </c>
      <c r="G3374" t="s">
        <v>319</v>
      </c>
      <c r="H3374" s="502">
        <v>51100</v>
      </c>
      <c r="I3374" s="415">
        <v>0</v>
      </c>
      <c r="J3374" s="415">
        <v>0</v>
      </c>
      <c r="K3374" s="415">
        <v>0</v>
      </c>
      <c r="L3374" s="415">
        <v>600</v>
      </c>
      <c r="M3374" s="415">
        <v>0</v>
      </c>
      <c r="N3374" s="415">
        <v>0</v>
      </c>
      <c r="O3374" s="415">
        <v>0</v>
      </c>
      <c r="P3374" s="415">
        <v>0</v>
      </c>
      <c r="Q3374" s="481">
        <f t="shared" si="98"/>
        <v>0</v>
      </c>
    </row>
    <row r="3375" spans="1:24" x14ac:dyDescent="0.3">
      <c r="A3375" s="366" t="str">
        <f>IFERROR(VLOOKUP(RIGHT(E3375,3)+0,[1]SchLocTable!$A$2:$B$47,2,FALSE)," ")</f>
        <v xml:space="preserve"> </v>
      </c>
      <c r="B3375" s="366" t="str">
        <f>VLOOKUP(VALUE(D3375),$D$3:F$106,3,FALSE)</f>
        <v>Occupational Therapy</v>
      </c>
      <c r="C3375" t="s">
        <v>314</v>
      </c>
      <c r="D3375">
        <v>861</v>
      </c>
      <c r="E3375" t="s">
        <v>1071</v>
      </c>
      <c r="F3375" t="s">
        <v>316</v>
      </c>
      <c r="G3375">
        <v>13</v>
      </c>
      <c r="H3375" s="502">
        <v>51000</v>
      </c>
      <c r="I3375" s="415">
        <v>924552.15884999977</v>
      </c>
      <c r="J3375" s="415">
        <v>913578.53</v>
      </c>
      <c r="K3375" s="415">
        <v>856697.39</v>
      </c>
      <c r="L3375" s="415">
        <v>599143.34</v>
      </c>
      <c r="M3375" s="415">
        <v>565928.38</v>
      </c>
      <c r="N3375" s="415">
        <v>601730.31000000006</v>
      </c>
      <c r="O3375" s="415">
        <v>371916.26</v>
      </c>
      <c r="P3375" s="415">
        <v>368142.3</v>
      </c>
      <c r="Q3375" s="481">
        <f t="shared" si="98"/>
        <v>-10973.628849999746</v>
      </c>
    </row>
    <row r="3376" spans="1:24" x14ac:dyDescent="0.3">
      <c r="A3376" s="366" t="str">
        <f>IFERROR(VLOOKUP(RIGHT(E3376,3)+0,[1]SchLocTable!$A$2:$B$47,2,FALSE)," ")</f>
        <v xml:space="preserve"> </v>
      </c>
      <c r="B3376" s="366" t="str">
        <f>VLOOKUP(VALUE(D3376),$D$3:F$106,3,FALSE)</f>
        <v>Occupational Therapy</v>
      </c>
      <c r="C3376" t="s">
        <v>314</v>
      </c>
      <c r="D3376">
        <v>861</v>
      </c>
      <c r="E3376" t="s">
        <v>1071</v>
      </c>
      <c r="F3376" t="s">
        <v>360</v>
      </c>
      <c r="G3376" t="s">
        <v>319</v>
      </c>
      <c r="H3376" s="502">
        <v>52920</v>
      </c>
      <c r="I3376" s="415">
        <v>16500</v>
      </c>
      <c r="J3376" s="415">
        <v>15000</v>
      </c>
      <c r="K3376" s="415">
        <v>20500</v>
      </c>
      <c r="L3376" s="415">
        <v>13500</v>
      </c>
      <c r="M3376" s="415">
        <v>16500</v>
      </c>
      <c r="N3376" s="415">
        <v>13250</v>
      </c>
      <c r="O3376" s="415">
        <v>3750</v>
      </c>
      <c r="P3376" s="415">
        <v>6000</v>
      </c>
      <c r="Q3376" s="481">
        <f t="shared" si="98"/>
        <v>-1500</v>
      </c>
    </row>
    <row r="3377" spans="1:17" x14ac:dyDescent="0.3">
      <c r="A3377" s="366" t="str">
        <f>IFERROR(VLOOKUP(RIGHT(E3377,3)+0,[1]SchLocTable!$A$2:$B$47,2,FALSE)," ")</f>
        <v xml:space="preserve"> </v>
      </c>
      <c r="B3377" s="366" t="str">
        <f>VLOOKUP(VALUE(D3377),$D$3:F$106,3,FALSE)</f>
        <v>Occupational Therapy</v>
      </c>
      <c r="C3377" t="s">
        <v>314</v>
      </c>
      <c r="D3377">
        <v>861</v>
      </c>
      <c r="E3377" t="s">
        <v>1071</v>
      </c>
      <c r="F3377" t="s">
        <v>321</v>
      </c>
      <c r="G3377" t="s">
        <v>319</v>
      </c>
      <c r="H3377" s="502">
        <v>52917</v>
      </c>
      <c r="I3377" s="415">
        <v>241264.92</v>
      </c>
      <c r="J3377" s="415">
        <v>170107</v>
      </c>
      <c r="K3377" s="415">
        <v>143273.66</v>
      </c>
      <c r="L3377" s="415">
        <v>108496.49</v>
      </c>
      <c r="M3377" s="415">
        <v>124616.52</v>
      </c>
      <c r="N3377" s="415">
        <v>127461.1</v>
      </c>
      <c r="O3377" s="415">
        <v>107424.97</v>
      </c>
      <c r="P3377" s="415">
        <v>86415.35</v>
      </c>
      <c r="Q3377" s="481">
        <f t="shared" si="98"/>
        <v>-71157.920000000013</v>
      </c>
    </row>
    <row r="3378" spans="1:17" x14ac:dyDescent="0.3">
      <c r="A3378" s="366" t="str">
        <f>IFERROR(VLOOKUP(RIGHT(E3378,3)+0,[1]SchLocTable!$A$2:$B$47,2,FALSE)," ")</f>
        <v xml:space="preserve"> </v>
      </c>
      <c r="B3378" s="366" t="str">
        <f>VLOOKUP(VALUE(D3378),$D$3:F$106,3,FALSE)</f>
        <v>Occupational Therapy</v>
      </c>
      <c r="C3378" t="s">
        <v>314</v>
      </c>
      <c r="D3378">
        <v>861</v>
      </c>
      <c r="E3378" t="s">
        <v>1071</v>
      </c>
      <c r="F3378" t="s">
        <v>318</v>
      </c>
      <c r="G3378" t="s">
        <v>319</v>
      </c>
      <c r="H3378" s="502">
        <v>51140</v>
      </c>
      <c r="I3378" s="415">
        <v>3300</v>
      </c>
      <c r="J3378" s="415">
        <v>0</v>
      </c>
      <c r="K3378" s="415">
        <v>4125</v>
      </c>
      <c r="L3378" s="415">
        <v>3825</v>
      </c>
      <c r="M3378" s="415">
        <v>3410</v>
      </c>
      <c r="N3378" s="415">
        <v>2625</v>
      </c>
      <c r="O3378" s="415">
        <v>2400</v>
      </c>
      <c r="P3378" s="415">
        <v>1500</v>
      </c>
      <c r="Q3378" s="481">
        <f t="shared" si="98"/>
        <v>-3300</v>
      </c>
    </row>
    <row r="3379" spans="1:17" x14ac:dyDescent="0.3">
      <c r="A3379" s="366" t="str">
        <f>IFERROR(VLOOKUP(RIGHT(E3379,3)+0,[1]SchLocTable!$A$2:$B$47,2,FALSE)," ")</f>
        <v xml:space="preserve"> </v>
      </c>
      <c r="B3379" s="366" t="str">
        <f>VLOOKUP(VALUE(D3379),$D$3:F$106,3,FALSE)</f>
        <v>Occupational Therapy</v>
      </c>
      <c r="C3379" t="s">
        <v>314</v>
      </c>
      <c r="D3379">
        <v>861</v>
      </c>
      <c r="E3379" t="s">
        <v>1071</v>
      </c>
      <c r="F3379" t="s">
        <v>320</v>
      </c>
      <c r="G3379" t="s">
        <v>319</v>
      </c>
      <c r="H3379" s="502">
        <v>52360</v>
      </c>
      <c r="I3379" s="415">
        <v>13645.256303325001</v>
      </c>
      <c r="J3379" s="415">
        <v>12973</v>
      </c>
      <c r="K3379" s="415">
        <v>12101.42</v>
      </c>
      <c r="L3379" s="415">
        <v>8338.7900000000009</v>
      </c>
      <c r="M3379" s="415">
        <v>7845.92</v>
      </c>
      <c r="N3379" s="415">
        <v>8247.1299999999992</v>
      </c>
      <c r="O3379" s="415">
        <v>4859.3999999999996</v>
      </c>
      <c r="P3379" s="415">
        <v>4978.6499999999996</v>
      </c>
      <c r="Q3379" s="481">
        <f t="shared" si="98"/>
        <v>-672.25630332500077</v>
      </c>
    </row>
    <row r="3380" spans="1:17" x14ac:dyDescent="0.3">
      <c r="A3380" s="366" t="str">
        <f>IFERROR(VLOOKUP(RIGHT(E3380,3)+0,[1]SchLocTable!$A$2:$B$47,2,FALSE)," ")</f>
        <v xml:space="preserve"> </v>
      </c>
      <c r="B3380" s="366" t="str">
        <f>VLOOKUP(VALUE(D3380),$D$3:F$106,3,FALSE)</f>
        <v>Occupational Therapy</v>
      </c>
      <c r="C3380" t="s">
        <v>314</v>
      </c>
      <c r="D3380">
        <v>861</v>
      </c>
      <c r="E3380" t="s">
        <v>1071</v>
      </c>
      <c r="F3380" t="s">
        <v>392</v>
      </c>
      <c r="G3380" t="s">
        <v>319</v>
      </c>
      <c r="H3380" s="502">
        <v>52504</v>
      </c>
      <c r="I3380" s="415">
        <v>195550.63860903002</v>
      </c>
      <c r="J3380" s="415">
        <v>164681</v>
      </c>
      <c r="K3380" s="415">
        <v>157611.26999999999</v>
      </c>
      <c r="L3380" s="415">
        <v>122979.44</v>
      </c>
      <c r="M3380" s="415">
        <v>122642.84</v>
      </c>
      <c r="N3380" s="415">
        <v>83264.100000000006</v>
      </c>
      <c r="O3380" s="415">
        <v>61529.71</v>
      </c>
      <c r="P3380" s="415">
        <v>52698.13</v>
      </c>
      <c r="Q3380" s="481">
        <f t="shared" si="98"/>
        <v>-30869.638609030022</v>
      </c>
    </row>
    <row r="3381" spans="1:17" x14ac:dyDescent="0.3">
      <c r="A3381" s="366" t="str">
        <f>IFERROR(VLOOKUP(RIGHT(E3381,3)+0,[1]SchLocTable!$A$2:$B$47,2,FALSE)," ")</f>
        <v xml:space="preserve"> </v>
      </c>
      <c r="B3381" s="366" t="str">
        <f>VLOOKUP(VALUE(D3381),$D$3:F$106,3,FALSE)</f>
        <v>Occupational Therapy</v>
      </c>
      <c r="C3381" t="s">
        <v>314</v>
      </c>
      <c r="D3381">
        <v>861</v>
      </c>
      <c r="E3381" t="s">
        <v>1071</v>
      </c>
      <c r="F3381" t="s">
        <v>419</v>
      </c>
      <c r="G3381" t="s">
        <v>319</v>
      </c>
      <c r="H3381" s="502">
        <v>51318</v>
      </c>
      <c r="I3381" s="415">
        <v>0</v>
      </c>
      <c r="J3381" s="415">
        <v>0</v>
      </c>
      <c r="K3381" s="415">
        <v>0</v>
      </c>
      <c r="L3381" s="415">
        <v>977.97</v>
      </c>
      <c r="M3381" s="415">
        <v>778.47</v>
      </c>
      <c r="N3381" s="415">
        <v>0</v>
      </c>
      <c r="O3381" s="415">
        <v>0</v>
      </c>
      <c r="P3381" s="415">
        <v>0</v>
      </c>
      <c r="Q3381" s="481">
        <f t="shared" si="98"/>
        <v>0</v>
      </c>
    </row>
    <row r="3382" spans="1:17" x14ac:dyDescent="0.3">
      <c r="A3382" s="366" t="str">
        <f>IFERROR(VLOOKUP(RIGHT(E3382,3)+0,[1]SchLocTable!$A$2:$B$47,2,FALSE)," ")</f>
        <v xml:space="preserve"> </v>
      </c>
      <c r="B3382" s="366" t="str">
        <f>VLOOKUP(VALUE(D3382),$D$3:F$106,3,FALSE)</f>
        <v>Occupational Therapy</v>
      </c>
      <c r="C3382" t="s">
        <v>314</v>
      </c>
      <c r="D3382">
        <v>861</v>
      </c>
      <c r="E3382" t="s">
        <v>1071</v>
      </c>
      <c r="F3382" t="s">
        <v>324</v>
      </c>
      <c r="G3382" t="s">
        <v>319</v>
      </c>
      <c r="H3382" s="502">
        <v>52385</v>
      </c>
      <c r="I3382" s="415">
        <v>0</v>
      </c>
      <c r="J3382" s="415">
        <v>0</v>
      </c>
      <c r="K3382" s="415">
        <v>3101.42</v>
      </c>
      <c r="L3382" s="415">
        <v>0</v>
      </c>
      <c r="M3382" s="415">
        <v>0</v>
      </c>
      <c r="N3382" s="415">
        <v>9711.24</v>
      </c>
      <c r="O3382" s="415">
        <v>0</v>
      </c>
      <c r="P3382" s="415">
        <v>0</v>
      </c>
      <c r="Q3382" s="481">
        <f t="shared" si="98"/>
        <v>0</v>
      </c>
    </row>
    <row r="3383" spans="1:17" x14ac:dyDescent="0.3">
      <c r="A3383" s="366" t="str">
        <f>IFERROR(VLOOKUP(RIGHT(E3383,3)+0,[1]SchLocTable!$A$2:$B$47,2,FALSE)," ")</f>
        <v xml:space="preserve"> </v>
      </c>
      <c r="B3383" s="366" t="str">
        <f>VLOOKUP(VALUE(D3383),$D$3:F$106,3,FALSE)</f>
        <v>Occupational Therapy</v>
      </c>
      <c r="C3383" t="s">
        <v>314</v>
      </c>
      <c r="D3383">
        <v>861</v>
      </c>
      <c r="E3383" t="s">
        <v>1071</v>
      </c>
      <c r="F3383" t="s">
        <v>329</v>
      </c>
      <c r="G3383" t="s">
        <v>319</v>
      </c>
      <c r="H3383" s="502">
        <v>51154</v>
      </c>
      <c r="I3383" s="415">
        <v>0</v>
      </c>
      <c r="J3383" s="415">
        <v>0</v>
      </c>
      <c r="K3383" s="415">
        <v>0</v>
      </c>
      <c r="L3383" s="415">
        <v>1595.44</v>
      </c>
      <c r="M3383" s="415">
        <v>2505.9299999999998</v>
      </c>
      <c r="N3383" s="415">
        <v>0</v>
      </c>
      <c r="O3383" s="415">
        <v>0</v>
      </c>
      <c r="P3383" s="415">
        <v>0</v>
      </c>
      <c r="Q3383" s="481">
        <f t="shared" si="98"/>
        <v>0</v>
      </c>
    </row>
    <row r="3384" spans="1:17" x14ac:dyDescent="0.3">
      <c r="A3384" s="366" t="str">
        <f>IFERROR(VLOOKUP(RIGHT(E3384,3)+0,[1]SchLocTable!$A$2:$B$47,2,FALSE)," ")</f>
        <v>Batalla</v>
      </c>
      <c r="B3384" s="366" t="str">
        <f>VLOOKUP(VALUE(D3384),$D$3:F$106,3,FALSE)</f>
        <v>Occupational Therapy</v>
      </c>
      <c r="C3384" t="s">
        <v>314</v>
      </c>
      <c r="D3384">
        <v>861</v>
      </c>
      <c r="E3384" t="s">
        <v>1072</v>
      </c>
      <c r="F3384" t="s">
        <v>316</v>
      </c>
      <c r="G3384">
        <v>1</v>
      </c>
      <c r="H3384" s="502">
        <v>51000</v>
      </c>
      <c r="I3384" s="415">
        <v>94871.204999999987</v>
      </c>
      <c r="J3384" s="415">
        <v>91663</v>
      </c>
      <c r="K3384" s="415">
        <v>90004.89</v>
      </c>
      <c r="L3384" s="415">
        <v>90156.97</v>
      </c>
      <c r="M3384" s="415">
        <v>83280.100000000006</v>
      </c>
      <c r="N3384" s="415">
        <v>82445.009999999995</v>
      </c>
      <c r="O3384" s="415">
        <v>81647.33</v>
      </c>
      <c r="P3384" s="415">
        <v>81387.179999999993</v>
      </c>
      <c r="Q3384" s="481">
        <f t="shared" si="98"/>
        <v>-3208.2049999999872</v>
      </c>
    </row>
    <row r="3385" spans="1:17" x14ac:dyDescent="0.3">
      <c r="A3385" s="366" t="str">
        <f>IFERROR(VLOOKUP(RIGHT(E3385,3)+0,[1]SchLocTable!$A$2:$B$47,2,FALSE)," ")</f>
        <v>Batalla</v>
      </c>
      <c r="B3385" s="366" t="str">
        <f>VLOOKUP(VALUE(D3385),$D$3:F$106,3,FALSE)</f>
        <v>Occupational Therapy</v>
      </c>
      <c r="C3385" t="s">
        <v>314</v>
      </c>
      <c r="D3385">
        <v>861</v>
      </c>
      <c r="E3385" t="s">
        <v>1072</v>
      </c>
      <c r="F3385" t="s">
        <v>321</v>
      </c>
      <c r="G3385" t="s">
        <v>319</v>
      </c>
      <c r="H3385" s="502">
        <v>52917</v>
      </c>
      <c r="I3385" s="415">
        <v>36951.719999999994</v>
      </c>
      <c r="J3385" s="415">
        <v>27127</v>
      </c>
      <c r="K3385" s="415">
        <v>26562.18</v>
      </c>
      <c r="L3385" s="415">
        <v>29997.85</v>
      </c>
      <c r="M3385" s="415">
        <v>26830.11</v>
      </c>
      <c r="N3385" s="415">
        <v>25195.5</v>
      </c>
      <c r="O3385" s="415">
        <v>24198.639999999999</v>
      </c>
      <c r="P3385" s="415">
        <v>23439.83</v>
      </c>
      <c r="Q3385" s="481">
        <f t="shared" si="98"/>
        <v>-9824.7199999999939</v>
      </c>
    </row>
    <row r="3386" spans="1:17" x14ac:dyDescent="0.3">
      <c r="A3386" s="366" t="str">
        <f>IFERROR(VLOOKUP(RIGHT(E3386,3)+0,[1]SchLocTable!$A$2:$B$47,2,FALSE)," ")</f>
        <v>Batalla</v>
      </c>
      <c r="B3386" s="366" t="str">
        <f>VLOOKUP(VALUE(D3386),$D$3:F$106,3,FALSE)</f>
        <v>Occupational Therapy</v>
      </c>
      <c r="C3386" t="s">
        <v>314</v>
      </c>
      <c r="D3386">
        <v>861</v>
      </c>
      <c r="E3386" t="s">
        <v>1072</v>
      </c>
      <c r="F3386" t="s">
        <v>318</v>
      </c>
      <c r="G3386" t="s">
        <v>319</v>
      </c>
      <c r="H3386" s="502">
        <v>51140</v>
      </c>
      <c r="I3386" s="415">
        <v>975</v>
      </c>
      <c r="J3386" s="415">
        <v>0</v>
      </c>
      <c r="K3386" s="415">
        <v>900</v>
      </c>
      <c r="L3386" s="415">
        <v>825</v>
      </c>
      <c r="M3386" s="415">
        <v>750</v>
      </c>
      <c r="N3386" s="415">
        <v>0</v>
      </c>
      <c r="O3386" s="415">
        <v>0</v>
      </c>
      <c r="P3386" s="415">
        <v>0</v>
      </c>
      <c r="Q3386" s="481">
        <f t="shared" si="98"/>
        <v>-975</v>
      </c>
    </row>
    <row r="3387" spans="1:17" x14ac:dyDescent="0.3">
      <c r="A3387" s="366" t="str">
        <f>IFERROR(VLOOKUP(RIGHT(E3387,3)+0,[1]SchLocTable!$A$2:$B$47,2,FALSE)," ")</f>
        <v>Batalla</v>
      </c>
      <c r="B3387" s="366" t="str">
        <f>VLOOKUP(VALUE(D3387),$D$3:F$106,3,FALSE)</f>
        <v>Occupational Therapy</v>
      </c>
      <c r="C3387" t="s">
        <v>314</v>
      </c>
      <c r="D3387">
        <v>861</v>
      </c>
      <c r="E3387" t="s">
        <v>1072</v>
      </c>
      <c r="F3387" t="s">
        <v>320</v>
      </c>
      <c r="G3387" t="s">
        <v>319</v>
      </c>
      <c r="H3387" s="502">
        <v>52360</v>
      </c>
      <c r="I3387" s="415">
        <v>1375.6324724999999</v>
      </c>
      <c r="J3387" s="415">
        <v>1216</v>
      </c>
      <c r="K3387" s="415">
        <v>1194.05</v>
      </c>
      <c r="L3387" s="415">
        <v>1103.6400000000001</v>
      </c>
      <c r="M3387" s="415">
        <v>1002.61</v>
      </c>
      <c r="N3387" s="415">
        <v>1001.99</v>
      </c>
      <c r="O3387" s="415">
        <v>1005.08</v>
      </c>
      <c r="P3387" s="415">
        <v>1020.31</v>
      </c>
      <c r="Q3387" s="481">
        <f t="shared" si="98"/>
        <v>-159.63247249999995</v>
      </c>
    </row>
    <row r="3388" spans="1:17" x14ac:dyDescent="0.3">
      <c r="A3388" s="366" t="str">
        <f>IFERROR(VLOOKUP(RIGHT(E3388,3)+0,[1]SchLocTable!$A$2:$B$47,2,FALSE)," ")</f>
        <v>Batalla</v>
      </c>
      <c r="B3388" s="366" t="str">
        <f>VLOOKUP(VALUE(D3388),$D$3:F$106,3,FALSE)</f>
        <v>Occupational Therapy</v>
      </c>
      <c r="C3388" t="s">
        <v>314</v>
      </c>
      <c r="D3388">
        <v>861</v>
      </c>
      <c r="E3388" t="s">
        <v>1072</v>
      </c>
      <c r="F3388" t="s">
        <v>392</v>
      </c>
      <c r="G3388" t="s">
        <v>319</v>
      </c>
      <c r="H3388" s="502">
        <v>52504</v>
      </c>
      <c r="I3388" s="415">
        <v>19714.236398999998</v>
      </c>
      <c r="J3388" s="415">
        <v>19088.349999999999</v>
      </c>
      <c r="K3388" s="415">
        <v>18723.84</v>
      </c>
      <c r="L3388" s="415">
        <v>18557.95</v>
      </c>
      <c r="M3388" s="415">
        <v>18095.91</v>
      </c>
      <c r="N3388" s="415">
        <v>15746.17</v>
      </c>
      <c r="O3388" s="415">
        <v>13431.09</v>
      </c>
      <c r="P3388" s="415">
        <v>11608.26</v>
      </c>
      <c r="Q3388" s="481">
        <f t="shared" si="98"/>
        <v>-625.88639899999907</v>
      </c>
    </row>
    <row r="3389" spans="1:17" x14ac:dyDescent="0.3">
      <c r="A3389" s="366" t="str">
        <f>IFERROR(VLOOKUP(RIGHT(E3389,3)+0,[1]SchLocTable!$A$2:$B$47,2,FALSE)," ")</f>
        <v>Skane</v>
      </c>
      <c r="B3389" s="366" t="str">
        <f>VLOOKUP(VALUE(D3389),$D$3:F$106,3,FALSE)</f>
        <v>Occupational Therapy</v>
      </c>
      <c r="C3389" t="s">
        <v>314</v>
      </c>
      <c r="D3389">
        <v>861</v>
      </c>
      <c r="E3389" t="s">
        <v>1073</v>
      </c>
      <c r="F3389" t="s">
        <v>316</v>
      </c>
      <c r="G3389">
        <v>2</v>
      </c>
      <c r="H3389" s="502">
        <v>51000</v>
      </c>
      <c r="I3389" s="415">
        <v>156035.75129999997</v>
      </c>
      <c r="J3389" s="415">
        <v>150759</v>
      </c>
      <c r="K3389" s="415">
        <v>148140.76999999999</v>
      </c>
      <c r="L3389" s="415">
        <v>148173.54</v>
      </c>
      <c r="M3389" s="415">
        <v>136971.76999999999</v>
      </c>
      <c r="N3389" s="415">
        <v>135598.25</v>
      </c>
      <c r="O3389" s="415">
        <v>134286.26999999999</v>
      </c>
      <c r="P3389" s="415">
        <v>134426.03</v>
      </c>
      <c r="Q3389" s="481">
        <f t="shared" si="98"/>
        <v>-5276.7512999999744</v>
      </c>
    </row>
    <row r="3390" spans="1:17" x14ac:dyDescent="0.3">
      <c r="A3390" s="366" t="str">
        <f>IFERROR(VLOOKUP(RIGHT(E3390,3)+0,[1]SchLocTable!$A$2:$B$47,2,FALSE)," ")</f>
        <v>Skane</v>
      </c>
      <c r="B3390" s="366" t="str">
        <f>VLOOKUP(VALUE(D3390),$D$3:F$106,3,FALSE)</f>
        <v>Occupational Therapy</v>
      </c>
      <c r="C3390" t="s">
        <v>314</v>
      </c>
      <c r="D3390">
        <v>861</v>
      </c>
      <c r="E3390" t="s">
        <v>1073</v>
      </c>
      <c r="F3390" t="s">
        <v>334</v>
      </c>
      <c r="G3390" t="s">
        <v>319</v>
      </c>
      <c r="H3390" s="502">
        <v>51400</v>
      </c>
      <c r="I3390" s="415">
        <v>0</v>
      </c>
      <c r="J3390" s="415">
        <v>0</v>
      </c>
      <c r="K3390" s="415">
        <v>4695.3900000000003</v>
      </c>
      <c r="L3390" s="415">
        <v>0</v>
      </c>
      <c r="M3390" s="415">
        <v>0</v>
      </c>
      <c r="N3390" s="415">
        <v>0</v>
      </c>
      <c r="O3390" s="415">
        <v>1455</v>
      </c>
      <c r="P3390" s="415">
        <v>0</v>
      </c>
      <c r="Q3390" s="481">
        <f t="shared" si="98"/>
        <v>0</v>
      </c>
    </row>
    <row r="3391" spans="1:17" x14ac:dyDescent="0.3">
      <c r="A3391" s="366" t="str">
        <f>IFERROR(VLOOKUP(RIGHT(E3391,3)+0,[1]SchLocTable!$A$2:$B$47,2,FALSE)," ")</f>
        <v>Skane</v>
      </c>
      <c r="B3391" s="366" t="str">
        <f>VLOOKUP(VALUE(D3391),$D$3:F$106,3,FALSE)</f>
        <v>Occupational Therapy</v>
      </c>
      <c r="C3391" t="s">
        <v>314</v>
      </c>
      <c r="D3391">
        <v>861</v>
      </c>
      <c r="E3391" t="s">
        <v>1073</v>
      </c>
      <c r="F3391" t="s">
        <v>360</v>
      </c>
      <c r="G3391" t="s">
        <v>319</v>
      </c>
      <c r="H3391" s="502">
        <v>52920</v>
      </c>
      <c r="I3391" s="415">
        <v>3000</v>
      </c>
      <c r="J3391" s="415">
        <v>3000</v>
      </c>
      <c r="K3391" s="415">
        <v>3000</v>
      </c>
      <c r="L3391" s="415">
        <v>3000</v>
      </c>
      <c r="M3391" s="415">
        <v>3000</v>
      </c>
      <c r="N3391" s="415">
        <v>3000</v>
      </c>
      <c r="O3391" s="415">
        <v>3000</v>
      </c>
      <c r="P3391" s="415">
        <v>3000</v>
      </c>
      <c r="Q3391" s="481">
        <f t="shared" ref="Q3391:Q3454" si="99">J3391-I3391</f>
        <v>0</v>
      </c>
    </row>
    <row r="3392" spans="1:17" x14ac:dyDescent="0.3">
      <c r="A3392" s="366" t="str">
        <f>IFERROR(VLOOKUP(RIGHT(E3392,3)+0,[1]SchLocTable!$A$2:$B$47,2,FALSE)," ")</f>
        <v>Skane</v>
      </c>
      <c r="B3392" s="366" t="str">
        <f>VLOOKUP(VALUE(D3392),$D$3:F$106,3,FALSE)</f>
        <v>Occupational Therapy</v>
      </c>
      <c r="C3392" t="s">
        <v>314</v>
      </c>
      <c r="D3392">
        <v>861</v>
      </c>
      <c r="E3392" t="s">
        <v>1073</v>
      </c>
      <c r="F3392" t="s">
        <v>321</v>
      </c>
      <c r="G3392" t="s">
        <v>319</v>
      </c>
      <c r="H3392" s="502">
        <v>52917</v>
      </c>
      <c r="I3392" s="415">
        <v>38447.759999999995</v>
      </c>
      <c r="J3392" s="415">
        <v>28384</v>
      </c>
      <c r="K3392" s="415">
        <v>27785.74</v>
      </c>
      <c r="L3392" s="415">
        <v>27333.01</v>
      </c>
      <c r="M3392" s="415">
        <v>26794.81</v>
      </c>
      <c r="N3392" s="415">
        <v>24840.48</v>
      </c>
      <c r="O3392" s="415">
        <v>23659.61</v>
      </c>
      <c r="P3392" s="415">
        <v>22624.2</v>
      </c>
      <c r="Q3392" s="481">
        <f t="shared" si="99"/>
        <v>-10063.759999999995</v>
      </c>
    </row>
    <row r="3393" spans="1:17" x14ac:dyDescent="0.3">
      <c r="A3393" s="366" t="str">
        <f>IFERROR(VLOOKUP(RIGHT(E3393,3)+0,[1]SchLocTable!$A$2:$B$47,2,FALSE)," ")</f>
        <v>Skane</v>
      </c>
      <c r="B3393" s="366" t="str">
        <f>VLOOKUP(VALUE(D3393),$D$3:F$106,3,FALSE)</f>
        <v>Occupational Therapy</v>
      </c>
      <c r="C3393" t="s">
        <v>314</v>
      </c>
      <c r="D3393">
        <v>861</v>
      </c>
      <c r="E3393" t="s">
        <v>1073</v>
      </c>
      <c r="F3393" t="s">
        <v>318</v>
      </c>
      <c r="G3393" t="s">
        <v>319</v>
      </c>
      <c r="H3393" s="502">
        <v>51140</v>
      </c>
      <c r="I3393" s="415">
        <v>2400</v>
      </c>
      <c r="J3393" s="415">
        <v>0</v>
      </c>
      <c r="K3393" s="415">
        <v>2250</v>
      </c>
      <c r="L3393" s="415">
        <v>2100</v>
      </c>
      <c r="M3393" s="415">
        <v>1950</v>
      </c>
      <c r="N3393" s="415">
        <v>1800</v>
      </c>
      <c r="O3393" s="415">
        <v>1650</v>
      </c>
      <c r="P3393" s="415">
        <v>1500</v>
      </c>
      <c r="Q3393" s="481">
        <f t="shared" si="99"/>
        <v>-2400</v>
      </c>
    </row>
    <row r="3394" spans="1:17" x14ac:dyDescent="0.3">
      <c r="A3394" s="366" t="str">
        <f>IFERROR(VLOOKUP(RIGHT(E3394,3)+0,[1]SchLocTable!$A$2:$B$47,2,FALSE)," ")</f>
        <v>Skane</v>
      </c>
      <c r="B3394" s="366" t="str">
        <f>VLOOKUP(VALUE(D3394),$D$3:F$106,3,FALSE)</f>
        <v>Occupational Therapy</v>
      </c>
      <c r="C3394" t="s">
        <v>314</v>
      </c>
      <c r="D3394">
        <v>861</v>
      </c>
      <c r="E3394" t="s">
        <v>1073</v>
      </c>
      <c r="F3394" t="s">
        <v>320</v>
      </c>
      <c r="G3394" t="s">
        <v>319</v>
      </c>
      <c r="H3394" s="502">
        <v>52360</v>
      </c>
      <c r="I3394" s="415">
        <v>2306.0183938499999</v>
      </c>
      <c r="J3394" s="415">
        <v>2094</v>
      </c>
      <c r="K3394" s="415">
        <v>2168.19</v>
      </c>
      <c r="L3394" s="415">
        <v>2101.15</v>
      </c>
      <c r="M3394" s="415">
        <v>1938.61</v>
      </c>
      <c r="N3394" s="415">
        <v>1925.95</v>
      </c>
      <c r="O3394" s="415">
        <v>1931.31</v>
      </c>
      <c r="P3394" s="415">
        <v>1925.79</v>
      </c>
      <c r="Q3394" s="481">
        <f t="shared" si="99"/>
        <v>-212.01839384999994</v>
      </c>
    </row>
    <row r="3395" spans="1:17" x14ac:dyDescent="0.3">
      <c r="A3395" s="366" t="str">
        <f>IFERROR(VLOOKUP(RIGHT(E3395,3)+0,[1]SchLocTable!$A$2:$B$47,2,FALSE)," ")</f>
        <v>Skane</v>
      </c>
      <c r="B3395" s="366" t="str">
        <f>VLOOKUP(VALUE(D3395),$D$3:F$106,3,FALSE)</f>
        <v>Occupational Therapy</v>
      </c>
      <c r="C3395" t="s">
        <v>314</v>
      </c>
      <c r="D3395">
        <v>861</v>
      </c>
      <c r="E3395" t="s">
        <v>1073</v>
      </c>
      <c r="F3395" t="s">
        <v>392</v>
      </c>
      <c r="G3395" t="s">
        <v>319</v>
      </c>
      <c r="H3395" s="502">
        <v>52504</v>
      </c>
      <c r="I3395" s="415">
        <v>33047.629120139994</v>
      </c>
      <c r="J3395" s="415">
        <v>31394.85</v>
      </c>
      <c r="K3395" s="415">
        <v>31943.01</v>
      </c>
      <c r="L3395" s="415">
        <v>30651.8</v>
      </c>
      <c r="M3395" s="415">
        <v>29917.18</v>
      </c>
      <c r="N3395" s="415">
        <v>26240.19</v>
      </c>
      <c r="O3395" s="415">
        <v>22599.1</v>
      </c>
      <c r="P3395" s="415">
        <v>19386.5</v>
      </c>
      <c r="Q3395" s="481">
        <f t="shared" si="99"/>
        <v>-1652.7791201399959</v>
      </c>
    </row>
    <row r="3396" spans="1:17" x14ac:dyDescent="0.3">
      <c r="A3396" s="366" t="str">
        <f>IFERROR(VLOOKUP(RIGHT(E3396,3)+0,[1]SchLocTable!$A$2:$B$47,2,FALSE)," ")</f>
        <v xml:space="preserve"> </v>
      </c>
      <c r="B3396" s="366" t="str">
        <f>VLOOKUP(VALUE(D3396),$D$3:F$106,3,FALSE)</f>
        <v>BOE Administration</v>
      </c>
      <c r="C3396" t="s">
        <v>314</v>
      </c>
      <c r="D3396">
        <v>863</v>
      </c>
      <c r="E3396" t="s">
        <v>1074</v>
      </c>
      <c r="F3396" t="s">
        <v>1036</v>
      </c>
      <c r="G3396" t="s">
        <v>319</v>
      </c>
      <c r="H3396" s="502">
        <v>53905</v>
      </c>
      <c r="I3396" s="415">
        <v>5830.4592000000002</v>
      </c>
      <c r="J3396" s="415">
        <v>5660.64</v>
      </c>
      <c r="K3396" s="415">
        <v>62.97</v>
      </c>
      <c r="L3396" s="415">
        <v>8080.31</v>
      </c>
      <c r="M3396" s="415">
        <v>0</v>
      </c>
      <c r="N3396" s="415">
        <v>0</v>
      </c>
      <c r="O3396" s="415">
        <v>0</v>
      </c>
      <c r="P3396" s="415">
        <v>0</v>
      </c>
      <c r="Q3396" s="481">
        <f t="shared" si="99"/>
        <v>-169.81919999999991</v>
      </c>
    </row>
    <row r="3397" spans="1:17" x14ac:dyDescent="0.3">
      <c r="A3397" s="366" t="str">
        <f>IFERROR(VLOOKUP(RIGHT(E3397,3)+0,[1]SchLocTable!$A$2:$B$47,2,FALSE)," ")</f>
        <v xml:space="preserve"> </v>
      </c>
      <c r="B3397" s="366" t="str">
        <f>VLOOKUP(VALUE(D3397),$D$3:F$106,3,FALSE)</f>
        <v>BOE Administration</v>
      </c>
      <c r="C3397" t="s">
        <v>314</v>
      </c>
      <c r="D3397">
        <v>863</v>
      </c>
      <c r="E3397" t="s">
        <v>1074</v>
      </c>
      <c r="F3397" t="s">
        <v>316</v>
      </c>
      <c r="G3397">
        <v>3</v>
      </c>
      <c r="H3397" s="502">
        <v>51000</v>
      </c>
      <c r="I3397" s="415">
        <v>260522.40304999996</v>
      </c>
      <c r="J3397" s="415">
        <v>638670.85</v>
      </c>
      <c r="K3397" s="415">
        <v>915646.43</v>
      </c>
      <c r="L3397" s="415">
        <v>602783.53</v>
      </c>
      <c r="M3397" s="415">
        <v>473149.5</v>
      </c>
      <c r="N3397" s="415">
        <v>391330.18</v>
      </c>
      <c r="O3397" s="415">
        <v>400784.32</v>
      </c>
      <c r="P3397" s="415">
        <v>264688.05</v>
      </c>
      <c r="Q3397" s="481">
        <f t="shared" si="99"/>
        <v>378148.44695000001</v>
      </c>
    </row>
    <row r="3398" spans="1:17" x14ac:dyDescent="0.3">
      <c r="A3398" s="366" t="str">
        <f>IFERROR(VLOOKUP(RIGHT(E3398,3)+0,[1]SchLocTable!$A$2:$B$47,2,FALSE)," ")</f>
        <v xml:space="preserve"> </v>
      </c>
      <c r="B3398" s="366" t="str">
        <f>VLOOKUP(VALUE(D3398),$D$3:F$106,3,FALSE)</f>
        <v>BOE Administration</v>
      </c>
      <c r="C3398" t="s">
        <v>314</v>
      </c>
      <c r="D3398">
        <v>863</v>
      </c>
      <c r="E3398" t="s">
        <v>1074</v>
      </c>
      <c r="F3398" t="s">
        <v>321</v>
      </c>
      <c r="G3398" t="s">
        <v>319</v>
      </c>
      <c r="H3398" s="502">
        <v>52917</v>
      </c>
      <c r="I3398" s="415">
        <v>45853.079999999994</v>
      </c>
      <c r="J3398" s="415">
        <v>114916.49</v>
      </c>
      <c r="K3398" s="415">
        <v>122869.54</v>
      </c>
      <c r="L3398" s="415">
        <v>73853.67</v>
      </c>
      <c r="M3398" s="415">
        <v>27524.18</v>
      </c>
      <c r="N3398" s="415">
        <v>20078.95</v>
      </c>
      <c r="O3398" s="415">
        <v>18662.98</v>
      </c>
      <c r="P3398" s="415">
        <v>9940.8700000000008</v>
      </c>
      <c r="Q3398" s="481">
        <f t="shared" si="99"/>
        <v>69063.41</v>
      </c>
    </row>
    <row r="3399" spans="1:17" x14ac:dyDescent="0.3">
      <c r="A3399" s="366" t="str">
        <f>IFERROR(VLOOKUP(RIGHT(E3399,3)+0,[1]SchLocTable!$A$2:$B$47,2,FALSE)," ")</f>
        <v xml:space="preserve"> </v>
      </c>
      <c r="B3399" s="366" t="str">
        <f>VLOOKUP(VALUE(D3399),$D$3:F$106,3,FALSE)</f>
        <v>BOE Administration</v>
      </c>
      <c r="C3399" t="s">
        <v>314</v>
      </c>
      <c r="D3399">
        <v>863</v>
      </c>
      <c r="E3399" t="s">
        <v>1074</v>
      </c>
      <c r="F3399" t="s">
        <v>891</v>
      </c>
      <c r="G3399" t="s">
        <v>319</v>
      </c>
      <c r="H3399" s="502">
        <v>53420</v>
      </c>
      <c r="I3399" s="415">
        <v>58238.26</v>
      </c>
      <c r="J3399" s="415">
        <v>56542</v>
      </c>
      <c r="K3399" s="415">
        <v>55161</v>
      </c>
      <c r="L3399" s="415">
        <v>55926</v>
      </c>
      <c r="M3399" s="415">
        <v>56542</v>
      </c>
      <c r="N3399" s="415">
        <v>51232</v>
      </c>
      <c r="O3399" s="415">
        <v>46932</v>
      </c>
      <c r="P3399" s="415">
        <v>47267</v>
      </c>
      <c r="Q3399" s="481">
        <f t="shared" si="99"/>
        <v>-1696.260000000002</v>
      </c>
    </row>
    <row r="3400" spans="1:17" x14ac:dyDescent="0.3">
      <c r="A3400" s="366" t="str">
        <f>IFERROR(VLOOKUP(RIGHT(E3400,3)+0,[1]SchLocTable!$A$2:$B$47,2,FALSE)," ")</f>
        <v xml:space="preserve"> </v>
      </c>
      <c r="B3400" s="366" t="str">
        <f>VLOOKUP(VALUE(D3400),$D$3:F$106,3,FALSE)</f>
        <v>BOE Administration</v>
      </c>
      <c r="C3400" t="s">
        <v>314</v>
      </c>
      <c r="D3400">
        <v>863</v>
      </c>
      <c r="E3400" t="s">
        <v>1074</v>
      </c>
      <c r="F3400" t="s">
        <v>318</v>
      </c>
      <c r="G3400" t="s">
        <v>319</v>
      </c>
      <c r="H3400" s="502">
        <v>51140</v>
      </c>
      <c r="I3400" s="415">
        <v>0</v>
      </c>
      <c r="J3400" s="415">
        <v>0</v>
      </c>
      <c r="K3400" s="415">
        <v>1687.5</v>
      </c>
      <c r="L3400" s="415">
        <v>5200</v>
      </c>
      <c r="M3400" s="415">
        <v>3600</v>
      </c>
      <c r="N3400" s="415">
        <v>1850</v>
      </c>
      <c r="O3400" s="415">
        <v>2940</v>
      </c>
      <c r="P3400" s="415">
        <v>1464</v>
      </c>
      <c r="Q3400" s="481">
        <f t="shared" si="99"/>
        <v>0</v>
      </c>
    </row>
    <row r="3401" spans="1:17" x14ac:dyDescent="0.3">
      <c r="A3401" s="366" t="str">
        <f>IFERROR(VLOOKUP(RIGHT(E3401,3)+0,[1]SchLocTable!$A$2:$B$47,2,FALSE)," ")</f>
        <v xml:space="preserve"> </v>
      </c>
      <c r="B3401" s="366" t="str">
        <f>VLOOKUP(VALUE(D3401),$D$3:F$106,3,FALSE)</f>
        <v>BOE Administration</v>
      </c>
      <c r="C3401" t="s">
        <v>314</v>
      </c>
      <c r="D3401">
        <v>863</v>
      </c>
      <c r="E3401" t="s">
        <v>1074</v>
      </c>
      <c r="F3401" t="s">
        <v>320</v>
      </c>
      <c r="G3401" t="s">
        <v>319</v>
      </c>
      <c r="H3401" s="502">
        <v>52360</v>
      </c>
      <c r="I3401" s="415">
        <v>3874.8879692250002</v>
      </c>
      <c r="J3401" s="415">
        <v>9626.82</v>
      </c>
      <c r="K3401" s="415">
        <v>14550.14</v>
      </c>
      <c r="L3401" s="415">
        <v>9225.15</v>
      </c>
      <c r="M3401" s="415">
        <v>7584.91</v>
      </c>
      <c r="N3401" s="415">
        <v>6042.4</v>
      </c>
      <c r="O3401" s="415">
        <v>5602.55</v>
      </c>
      <c r="P3401" s="415">
        <v>4104.63</v>
      </c>
      <c r="Q3401" s="481">
        <f t="shared" si="99"/>
        <v>5751.9320307749995</v>
      </c>
    </row>
    <row r="3402" spans="1:17" x14ac:dyDescent="0.3">
      <c r="A3402" s="366" t="str">
        <f>IFERROR(VLOOKUP(RIGHT(E3402,3)+0,[1]SchLocTable!$A$2:$B$47,2,FALSE)," ")</f>
        <v xml:space="preserve"> </v>
      </c>
      <c r="B3402" s="366" t="str">
        <f>VLOOKUP(VALUE(D3402),$D$3:F$106,3,FALSE)</f>
        <v>BOE Administration</v>
      </c>
      <c r="C3402" t="s">
        <v>314</v>
      </c>
      <c r="D3402">
        <v>863</v>
      </c>
      <c r="E3402" t="s">
        <v>1074</v>
      </c>
      <c r="F3402" t="s">
        <v>893</v>
      </c>
      <c r="G3402" t="s">
        <v>319</v>
      </c>
      <c r="H3402" s="502">
        <v>54595</v>
      </c>
      <c r="I3402" s="415">
        <v>3605</v>
      </c>
      <c r="J3402" s="415">
        <v>3500</v>
      </c>
      <c r="K3402" s="415">
        <v>0</v>
      </c>
      <c r="L3402" s="415">
        <v>0</v>
      </c>
      <c r="M3402" s="415">
        <v>0</v>
      </c>
      <c r="N3402" s="415">
        <v>0</v>
      </c>
      <c r="O3402" s="415">
        <v>0</v>
      </c>
      <c r="P3402" s="415">
        <v>0</v>
      </c>
      <c r="Q3402" s="481">
        <f t="shared" si="99"/>
        <v>-105</v>
      </c>
    </row>
    <row r="3403" spans="1:17" x14ac:dyDescent="0.3">
      <c r="A3403" s="366" t="str">
        <f>IFERROR(VLOOKUP(RIGHT(E3403,3)+0,[1]SchLocTable!$A$2:$B$47,2,FALSE)," ")</f>
        <v xml:space="preserve"> </v>
      </c>
      <c r="B3403" s="366" t="str">
        <f>VLOOKUP(VALUE(D3403),$D$3:F$106,3,FALSE)</f>
        <v>BOE Administration</v>
      </c>
      <c r="C3403" t="s">
        <v>314</v>
      </c>
      <c r="D3403">
        <v>863</v>
      </c>
      <c r="E3403" t="s">
        <v>1074</v>
      </c>
      <c r="F3403" t="s">
        <v>473</v>
      </c>
      <c r="G3403" t="s">
        <v>319</v>
      </c>
      <c r="H3403" s="502">
        <v>53605</v>
      </c>
      <c r="I3403" s="415">
        <v>88054.7</v>
      </c>
      <c r="J3403" s="415">
        <v>85490</v>
      </c>
      <c r="K3403" s="415">
        <v>61350.5</v>
      </c>
      <c r="L3403" s="415">
        <v>125410.5</v>
      </c>
      <c r="M3403" s="415">
        <v>92257</v>
      </c>
      <c r="N3403" s="415">
        <v>89105.5</v>
      </c>
      <c r="O3403" s="415">
        <v>103440</v>
      </c>
      <c r="P3403" s="415">
        <v>67993</v>
      </c>
      <c r="Q3403" s="481">
        <f t="shared" si="99"/>
        <v>-2564.6999999999971</v>
      </c>
    </row>
    <row r="3404" spans="1:17" x14ac:dyDescent="0.3">
      <c r="A3404" s="366" t="str">
        <f>IFERROR(VLOOKUP(RIGHT(E3404,3)+0,[1]SchLocTable!$A$2:$B$47,2,FALSE)," ")</f>
        <v xml:space="preserve"> </v>
      </c>
      <c r="B3404" s="366" t="str">
        <f>VLOOKUP(VALUE(D3404),$D$3:F$106,3,FALSE)</f>
        <v>BOE Administration</v>
      </c>
      <c r="C3404" t="s">
        <v>314</v>
      </c>
      <c r="D3404">
        <v>863</v>
      </c>
      <c r="E3404" t="s">
        <v>1074</v>
      </c>
      <c r="F3404" t="s">
        <v>392</v>
      </c>
      <c r="G3404" t="s">
        <v>319</v>
      </c>
      <c r="H3404" s="502">
        <v>52504</v>
      </c>
      <c r="I3404" s="415">
        <v>0</v>
      </c>
      <c r="J3404" s="415">
        <v>0</v>
      </c>
      <c r="K3404" s="415">
        <v>13843.34</v>
      </c>
      <c r="L3404" s="415">
        <v>20420.810000000001</v>
      </c>
      <c r="M3404" s="415">
        <v>0</v>
      </c>
      <c r="N3404" s="415">
        <v>0</v>
      </c>
      <c r="O3404" s="415">
        <v>0</v>
      </c>
      <c r="P3404" s="415">
        <v>0</v>
      </c>
      <c r="Q3404" s="481">
        <f t="shared" si="99"/>
        <v>0</v>
      </c>
    </row>
    <row r="3405" spans="1:17" x14ac:dyDescent="0.3">
      <c r="A3405" s="366" t="str">
        <f>IFERROR(VLOOKUP(RIGHT(E3405,3)+0,[1]SchLocTable!$A$2:$B$47,2,FALSE)," ")</f>
        <v xml:space="preserve"> </v>
      </c>
      <c r="B3405" s="366" t="str">
        <f>VLOOKUP(VALUE(D3405),$D$3:F$106,3,FALSE)</f>
        <v>BOE Administration</v>
      </c>
      <c r="C3405" t="s">
        <v>314</v>
      </c>
      <c r="D3405">
        <v>863</v>
      </c>
      <c r="E3405" t="s">
        <v>1074</v>
      </c>
      <c r="F3405" t="s">
        <v>458</v>
      </c>
      <c r="G3405" t="s">
        <v>319</v>
      </c>
      <c r="H3405" s="502">
        <v>54675</v>
      </c>
      <c r="I3405" s="415">
        <v>9233.9500000000007</v>
      </c>
      <c r="J3405" s="415">
        <v>8965</v>
      </c>
      <c r="K3405" s="415">
        <v>14039.48</v>
      </c>
      <c r="L3405" s="415">
        <v>5895.97</v>
      </c>
      <c r="M3405" s="415">
        <v>6364.9</v>
      </c>
      <c r="N3405" s="415">
        <v>14133.98</v>
      </c>
      <c r="O3405" s="415">
        <v>3067.84</v>
      </c>
      <c r="P3405" s="415">
        <v>3189.3</v>
      </c>
      <c r="Q3405" s="481">
        <f t="shared" si="99"/>
        <v>-268.95000000000073</v>
      </c>
    </row>
    <row r="3406" spans="1:17" x14ac:dyDescent="0.3">
      <c r="A3406" s="366" t="str">
        <f>IFERROR(VLOOKUP(RIGHT(E3406,3)+0,[1]SchLocTable!$A$2:$B$47,2,FALSE)," ")</f>
        <v xml:space="preserve"> </v>
      </c>
      <c r="B3406" s="366" t="str">
        <f>VLOOKUP(VALUE(D3406),$D$3:F$106,3,FALSE)</f>
        <v>BOE Administration</v>
      </c>
      <c r="C3406" t="s">
        <v>314</v>
      </c>
      <c r="D3406">
        <v>863</v>
      </c>
      <c r="E3406" t="s">
        <v>1074</v>
      </c>
      <c r="F3406" t="s">
        <v>464</v>
      </c>
      <c r="G3406" t="s">
        <v>319</v>
      </c>
      <c r="H3406" s="502">
        <v>56180</v>
      </c>
      <c r="I3406" s="415">
        <v>131743.18</v>
      </c>
      <c r="J3406" s="415">
        <v>127906</v>
      </c>
      <c r="K3406" s="415">
        <v>93885.01</v>
      </c>
      <c r="L3406" s="415">
        <v>58619.45</v>
      </c>
      <c r="M3406" s="415">
        <v>70337.89</v>
      </c>
      <c r="N3406" s="415">
        <v>34313.67</v>
      </c>
      <c r="O3406" s="415">
        <v>30391.48</v>
      </c>
      <c r="P3406" s="415">
        <v>61306.01</v>
      </c>
      <c r="Q3406" s="481">
        <f t="shared" si="99"/>
        <v>-3837.179999999993</v>
      </c>
    </row>
    <row r="3407" spans="1:17" x14ac:dyDescent="0.3">
      <c r="A3407" s="366" t="str">
        <f>IFERROR(VLOOKUP(RIGHT(E3407,3)+0,[1]SchLocTable!$A$2:$B$47,2,FALSE)," ")</f>
        <v xml:space="preserve"> </v>
      </c>
      <c r="B3407" s="366" t="str">
        <f>VLOOKUP(VALUE(D3407),$D$3:F$106,3,FALSE)</f>
        <v>BOE Administration</v>
      </c>
      <c r="C3407" t="s">
        <v>314</v>
      </c>
      <c r="D3407">
        <v>863</v>
      </c>
      <c r="E3407" t="s">
        <v>1074</v>
      </c>
      <c r="F3407" t="s">
        <v>898</v>
      </c>
      <c r="G3407" t="s">
        <v>319</v>
      </c>
      <c r="H3407" s="502">
        <v>54680</v>
      </c>
      <c r="I3407" s="415">
        <v>551.05000000000007</v>
      </c>
      <c r="J3407" s="415">
        <v>535</v>
      </c>
      <c r="K3407" s="415">
        <v>0</v>
      </c>
      <c r="L3407" s="415">
        <v>0</v>
      </c>
      <c r="M3407" s="415">
        <v>0</v>
      </c>
      <c r="N3407" s="415">
        <v>0</v>
      </c>
      <c r="O3407" s="415">
        <v>0</v>
      </c>
      <c r="P3407" s="415">
        <v>0</v>
      </c>
      <c r="Q3407" s="481">
        <f t="shared" si="99"/>
        <v>-16.050000000000068</v>
      </c>
    </row>
    <row r="3408" spans="1:17" x14ac:dyDescent="0.3">
      <c r="A3408" s="366" t="str">
        <f>IFERROR(VLOOKUP(RIGHT(E3408,3)+0,[1]SchLocTable!$A$2:$B$47,2,FALSE)," ")</f>
        <v xml:space="preserve"> </v>
      </c>
      <c r="B3408" s="366" t="str">
        <f>VLOOKUP(VALUE(D3408),$D$3:F$106,3,FALSE)</f>
        <v>BOE Administration</v>
      </c>
      <c r="C3408" t="s">
        <v>314</v>
      </c>
      <c r="D3408">
        <v>863</v>
      </c>
      <c r="E3408" t="s">
        <v>1074</v>
      </c>
      <c r="F3408" t="s">
        <v>419</v>
      </c>
      <c r="G3408" t="s">
        <v>319</v>
      </c>
      <c r="H3408" s="502">
        <v>51318</v>
      </c>
      <c r="I3408" s="415">
        <v>0</v>
      </c>
      <c r="J3408" s="415">
        <v>0</v>
      </c>
      <c r="K3408" s="415">
        <v>898.68</v>
      </c>
      <c r="L3408" s="415">
        <v>0</v>
      </c>
      <c r="M3408" s="415">
        <v>0</v>
      </c>
      <c r="N3408" s="415">
        <v>0</v>
      </c>
      <c r="O3408" s="415">
        <v>0</v>
      </c>
      <c r="P3408" s="415">
        <v>0</v>
      </c>
      <c r="Q3408" s="481">
        <f t="shared" si="99"/>
        <v>0</v>
      </c>
    </row>
    <row r="3409" spans="1:17" x14ac:dyDescent="0.3">
      <c r="A3409" s="366" t="str">
        <f>IFERROR(VLOOKUP(RIGHT(E3409,3)+0,[1]SchLocTable!$A$2:$B$47,2,FALSE)," ")</f>
        <v xml:space="preserve"> </v>
      </c>
      <c r="B3409" s="366" t="str">
        <f>VLOOKUP(VALUE(D3409),$D$3:F$106,3,FALSE)</f>
        <v>BOE Administration</v>
      </c>
      <c r="C3409" t="s">
        <v>314</v>
      </c>
      <c r="D3409">
        <v>863</v>
      </c>
      <c r="E3409" t="s">
        <v>1074</v>
      </c>
      <c r="F3409" t="s">
        <v>463</v>
      </c>
      <c r="G3409" t="s">
        <v>319</v>
      </c>
      <c r="H3409" s="502">
        <v>54725</v>
      </c>
      <c r="I3409" s="415">
        <v>51500</v>
      </c>
      <c r="J3409" s="415">
        <v>50000</v>
      </c>
      <c r="K3409" s="415">
        <v>1531.82</v>
      </c>
      <c r="L3409" s="415">
        <v>138.29</v>
      </c>
      <c r="M3409" s="415">
        <v>0</v>
      </c>
      <c r="N3409" s="415">
        <v>0</v>
      </c>
      <c r="O3409" s="415">
        <v>0</v>
      </c>
      <c r="P3409" s="415">
        <v>0</v>
      </c>
      <c r="Q3409" s="481">
        <f t="shared" si="99"/>
        <v>-1500</v>
      </c>
    </row>
    <row r="3410" spans="1:17" x14ac:dyDescent="0.3">
      <c r="A3410" s="366" t="str">
        <f>IFERROR(VLOOKUP(RIGHT(E3410,3)+0,[1]SchLocTable!$A$2:$B$47,2,FALSE)," ")</f>
        <v xml:space="preserve"> </v>
      </c>
      <c r="B3410" s="366" t="str">
        <f>VLOOKUP(VALUE(D3410),$D$3:F$106,3,FALSE)</f>
        <v>BOE Administration</v>
      </c>
      <c r="C3410" t="s">
        <v>314</v>
      </c>
      <c r="D3410">
        <v>863</v>
      </c>
      <c r="E3410" t="s">
        <v>1074</v>
      </c>
      <c r="F3410" t="s">
        <v>459</v>
      </c>
      <c r="G3410" t="s">
        <v>319</v>
      </c>
      <c r="H3410" s="502">
        <v>59015</v>
      </c>
      <c r="I3410" s="415">
        <v>1545</v>
      </c>
      <c r="J3410" s="415">
        <v>1500</v>
      </c>
      <c r="K3410" s="415">
        <v>643.79999999999995</v>
      </c>
      <c r="L3410" s="415">
        <v>1529</v>
      </c>
      <c r="M3410" s="415">
        <v>39.85</v>
      </c>
      <c r="N3410" s="415">
        <v>0</v>
      </c>
      <c r="O3410" s="415">
        <v>2267.5</v>
      </c>
      <c r="P3410" s="415">
        <v>0</v>
      </c>
      <c r="Q3410" s="481">
        <f t="shared" si="99"/>
        <v>-45</v>
      </c>
    </row>
    <row r="3411" spans="1:17" x14ac:dyDescent="0.3">
      <c r="A3411" s="366" t="str">
        <f>IFERROR(VLOOKUP(RIGHT(E3411,3)+0,[1]SchLocTable!$A$2:$B$47,2,FALSE)," ")</f>
        <v xml:space="preserve"> </v>
      </c>
      <c r="B3411" s="366" t="str">
        <f>VLOOKUP(VALUE(D3411),$D$3:F$106,3,FALSE)</f>
        <v>BOE Administration</v>
      </c>
      <c r="C3411" t="s">
        <v>314</v>
      </c>
      <c r="D3411">
        <v>863</v>
      </c>
      <c r="E3411" t="s">
        <v>1074</v>
      </c>
      <c r="F3411" t="s">
        <v>324</v>
      </c>
      <c r="G3411" t="s">
        <v>319</v>
      </c>
      <c r="H3411" s="502">
        <v>52385</v>
      </c>
      <c r="I3411" s="415">
        <v>0</v>
      </c>
      <c r="J3411" s="415">
        <v>0</v>
      </c>
      <c r="K3411" s="415">
        <v>4218.09</v>
      </c>
      <c r="L3411" s="415">
        <v>0</v>
      </c>
      <c r="M3411" s="415">
        <v>0</v>
      </c>
      <c r="N3411" s="415">
        <v>0</v>
      </c>
      <c r="O3411" s="415">
        <v>0</v>
      </c>
      <c r="P3411" s="415">
        <v>0</v>
      </c>
      <c r="Q3411" s="481">
        <f t="shared" si="99"/>
        <v>0</v>
      </c>
    </row>
    <row r="3412" spans="1:17" x14ac:dyDescent="0.3">
      <c r="A3412" s="366" t="str">
        <f>IFERROR(VLOOKUP(RIGHT(E3412,3)+0,[1]SchLocTable!$A$2:$B$47,2,FALSE)," ")</f>
        <v xml:space="preserve"> </v>
      </c>
      <c r="B3412" s="366" t="str">
        <f>VLOOKUP(VALUE(D3412),$D$3:F$106,3,FALSE)</f>
        <v>BOE Administration</v>
      </c>
      <c r="C3412" t="s">
        <v>314</v>
      </c>
      <c r="D3412">
        <v>863</v>
      </c>
      <c r="E3412" t="s">
        <v>1074</v>
      </c>
      <c r="F3412" t="s">
        <v>899</v>
      </c>
      <c r="G3412" t="s">
        <v>319</v>
      </c>
      <c r="H3412" s="502">
        <v>54705</v>
      </c>
      <c r="I3412" s="415">
        <v>257.5</v>
      </c>
      <c r="J3412" s="415">
        <v>250</v>
      </c>
      <c r="K3412" s="415">
        <v>0</v>
      </c>
      <c r="L3412" s="415">
        <v>0</v>
      </c>
      <c r="M3412" s="415">
        <v>79</v>
      </c>
      <c r="N3412" s="415">
        <v>0</v>
      </c>
      <c r="O3412" s="415">
        <v>0</v>
      </c>
      <c r="P3412" s="415">
        <v>0</v>
      </c>
      <c r="Q3412" s="481">
        <f t="shared" si="99"/>
        <v>-7.5</v>
      </c>
    </row>
    <row r="3413" spans="1:17" x14ac:dyDescent="0.3">
      <c r="A3413" s="366" t="str">
        <f>IFERROR(VLOOKUP(RIGHT(E3413,3)+0,[1]SchLocTable!$A$2:$B$47,2,FALSE)," ")</f>
        <v xml:space="preserve"> </v>
      </c>
      <c r="B3413" s="366" t="str">
        <f>VLOOKUP(VALUE(D3413),$D$3:F$106,3,FALSE)</f>
        <v>BOE Administration</v>
      </c>
      <c r="C3413" t="s">
        <v>314</v>
      </c>
      <c r="D3413">
        <v>863</v>
      </c>
      <c r="E3413" t="s">
        <v>1074</v>
      </c>
      <c r="F3413" t="s">
        <v>465</v>
      </c>
      <c r="G3413" t="s">
        <v>319</v>
      </c>
      <c r="H3413" s="502">
        <v>56240</v>
      </c>
      <c r="I3413" s="415">
        <v>0</v>
      </c>
      <c r="J3413" s="415">
        <v>0</v>
      </c>
      <c r="K3413" s="415">
        <v>300</v>
      </c>
      <c r="L3413" s="415">
        <v>0</v>
      </c>
      <c r="M3413" s="415">
        <v>0</v>
      </c>
      <c r="N3413" s="415">
        <v>0</v>
      </c>
      <c r="O3413" s="415">
        <v>0</v>
      </c>
      <c r="P3413" s="415">
        <v>0</v>
      </c>
      <c r="Q3413" s="481">
        <f t="shared" si="99"/>
        <v>0</v>
      </c>
    </row>
    <row r="3414" spans="1:17" x14ac:dyDescent="0.3">
      <c r="A3414" s="366" t="str">
        <f>IFERROR(VLOOKUP(RIGHT(E3414,3)+0,[1]SchLocTable!$A$2:$B$47,2,FALSE)," ")</f>
        <v xml:space="preserve"> </v>
      </c>
      <c r="B3414" s="366" t="str">
        <f>VLOOKUP(VALUE(D3414),$D$3:F$106,3,FALSE)</f>
        <v>BOE Administration</v>
      </c>
      <c r="C3414" t="s">
        <v>314</v>
      </c>
      <c r="D3414">
        <v>863</v>
      </c>
      <c r="E3414" t="s">
        <v>1074</v>
      </c>
      <c r="F3414" t="s">
        <v>560</v>
      </c>
      <c r="G3414" t="s">
        <v>319</v>
      </c>
      <c r="H3414" s="502">
        <v>51404</v>
      </c>
      <c r="I3414" s="415">
        <v>6711.25</v>
      </c>
      <c r="J3414" s="415">
        <v>200</v>
      </c>
      <c r="K3414" s="415">
        <v>7300</v>
      </c>
      <c r="L3414" s="415">
        <v>6650</v>
      </c>
      <c r="M3414" s="415">
        <v>3250</v>
      </c>
      <c r="N3414" s="415">
        <v>0</v>
      </c>
      <c r="O3414" s="415">
        <v>0</v>
      </c>
      <c r="P3414" s="415">
        <v>1136</v>
      </c>
      <c r="Q3414" s="481">
        <f t="shared" si="99"/>
        <v>-6511.25</v>
      </c>
    </row>
    <row r="3415" spans="1:17" x14ac:dyDescent="0.3">
      <c r="A3415" s="366" t="str">
        <f>IFERROR(VLOOKUP(RIGHT(E3415,3)+0,[1]SchLocTable!$A$2:$B$47,2,FALSE)," ")</f>
        <v xml:space="preserve"> </v>
      </c>
      <c r="B3415" s="366" t="str">
        <f>VLOOKUP(VALUE(D3415),$D$3:F$106,3,FALSE)</f>
        <v>BOE Administration</v>
      </c>
      <c r="C3415" t="s">
        <v>314</v>
      </c>
      <c r="D3415">
        <v>863</v>
      </c>
      <c r="E3415" t="s">
        <v>1074</v>
      </c>
      <c r="F3415" t="s">
        <v>1075</v>
      </c>
      <c r="G3415" t="s">
        <v>319</v>
      </c>
      <c r="H3415" s="502">
        <v>56250</v>
      </c>
      <c r="I3415" s="415">
        <v>1483.2</v>
      </c>
      <c r="J3415" s="415">
        <v>1440</v>
      </c>
      <c r="K3415" s="415">
        <v>21372.54</v>
      </c>
      <c r="L3415" s="415">
        <v>11037.43</v>
      </c>
      <c r="M3415" s="415">
        <v>0</v>
      </c>
      <c r="N3415" s="415">
        <v>0</v>
      </c>
      <c r="O3415" s="415">
        <v>0</v>
      </c>
      <c r="P3415" s="415">
        <v>0</v>
      </c>
      <c r="Q3415" s="481">
        <f t="shared" si="99"/>
        <v>-43.200000000000045</v>
      </c>
    </row>
    <row r="3416" spans="1:17" x14ac:dyDescent="0.3">
      <c r="A3416" s="366" t="str">
        <f>IFERROR(VLOOKUP(RIGHT(E3416,3)+0,[1]SchLocTable!$A$2:$B$47,2,FALSE)," ")</f>
        <v xml:space="preserve"> </v>
      </c>
      <c r="B3416" s="366" t="str">
        <f>VLOOKUP(VALUE(D3416),$D$3:F$106,3,FALSE)</f>
        <v>BOE Administration</v>
      </c>
      <c r="C3416" t="s">
        <v>314</v>
      </c>
      <c r="D3416">
        <v>863</v>
      </c>
      <c r="E3416" t="s">
        <v>1074</v>
      </c>
      <c r="F3416" t="s">
        <v>329</v>
      </c>
      <c r="G3416" t="s">
        <v>319</v>
      </c>
      <c r="H3416" s="502">
        <v>51154</v>
      </c>
      <c r="I3416" s="415">
        <v>0</v>
      </c>
      <c r="J3416" s="415">
        <v>0</v>
      </c>
      <c r="K3416" s="415">
        <v>37232.400000000001</v>
      </c>
      <c r="L3416" s="415">
        <v>0</v>
      </c>
      <c r="M3416" s="415">
        <v>0</v>
      </c>
      <c r="N3416" s="415">
        <v>0</v>
      </c>
      <c r="O3416" s="415">
        <v>0</v>
      </c>
      <c r="P3416" s="415">
        <v>0</v>
      </c>
      <c r="Q3416" s="481">
        <f t="shared" si="99"/>
        <v>0</v>
      </c>
    </row>
    <row r="3417" spans="1:17" x14ac:dyDescent="0.3">
      <c r="A3417" s="366" t="str">
        <f>IFERROR(VLOOKUP(RIGHT(E3417,3)+0,[1]SchLocTable!$A$2:$B$47,2,FALSE)," ")</f>
        <v xml:space="preserve"> </v>
      </c>
      <c r="B3417" s="366" t="str">
        <f>VLOOKUP(VALUE(D3417),$D$3:F$106,3,FALSE)</f>
        <v>BOE Administration</v>
      </c>
      <c r="C3417" t="s">
        <v>314</v>
      </c>
      <c r="D3417">
        <v>863</v>
      </c>
      <c r="E3417" t="s">
        <v>1074</v>
      </c>
      <c r="F3417" t="s">
        <v>418</v>
      </c>
      <c r="G3417" t="s">
        <v>319</v>
      </c>
      <c r="H3417" s="502">
        <v>51314</v>
      </c>
      <c r="I3417" s="415">
        <v>15634.9365</v>
      </c>
      <c r="J3417" s="415">
        <v>0</v>
      </c>
      <c r="K3417" s="415">
        <v>15179.55</v>
      </c>
      <c r="L3417" s="415">
        <v>0</v>
      </c>
      <c r="M3417" s="415">
        <v>0</v>
      </c>
      <c r="N3417" s="415">
        <v>0</v>
      </c>
      <c r="O3417" s="415">
        <v>0</v>
      </c>
      <c r="P3417" s="415">
        <v>0</v>
      </c>
      <c r="Q3417" s="481">
        <f t="shared" si="99"/>
        <v>-15634.9365</v>
      </c>
    </row>
    <row r="3418" spans="1:17" x14ac:dyDescent="0.3">
      <c r="A3418" s="366" t="str">
        <f>IFERROR(VLOOKUP(RIGHT(E3418,3)+0,[1]SchLocTable!$A$2:$B$47,2,FALSE)," ")</f>
        <v xml:space="preserve"> </v>
      </c>
      <c r="B3418" s="366" t="str">
        <f>VLOOKUP(VALUE(D3418),$D$3:F$106,3,FALSE)</f>
        <v>BOE Administration</v>
      </c>
      <c r="C3418" t="s">
        <v>314</v>
      </c>
      <c r="D3418">
        <v>863</v>
      </c>
      <c r="E3418" t="s">
        <v>1074</v>
      </c>
      <c r="F3418" t="s">
        <v>356</v>
      </c>
      <c r="G3418" t="s">
        <v>319</v>
      </c>
      <c r="H3418" s="502">
        <v>51156</v>
      </c>
      <c r="I3418" s="415">
        <v>29622.799999999999</v>
      </c>
      <c r="J3418" s="415">
        <v>0</v>
      </c>
      <c r="K3418" s="415">
        <v>40869.22</v>
      </c>
      <c r="L3418" s="415">
        <v>4807.7</v>
      </c>
      <c r="M3418" s="415">
        <v>0</v>
      </c>
      <c r="N3418" s="415">
        <v>0</v>
      </c>
      <c r="O3418" s="415">
        <v>0</v>
      </c>
      <c r="P3418" s="415">
        <v>15928.21</v>
      </c>
      <c r="Q3418" s="481">
        <f t="shared" si="99"/>
        <v>-29622.799999999999</v>
      </c>
    </row>
    <row r="3419" spans="1:17" x14ac:dyDescent="0.3">
      <c r="A3419" s="366" t="str">
        <f>IFERROR(VLOOKUP(RIGHT(E3419,3)+0,[1]SchLocTable!$A$2:$B$47,2,FALSE)," ")</f>
        <v xml:space="preserve"> </v>
      </c>
      <c r="B3419" s="366" t="str">
        <f>VLOOKUP(VALUE(D3419),$D$3:F$106,3,FALSE)</f>
        <v>BOE Administration Clericals</v>
      </c>
      <c r="C3419" t="s">
        <v>314</v>
      </c>
      <c r="D3419">
        <v>864</v>
      </c>
      <c r="E3419" t="s">
        <v>1076</v>
      </c>
      <c r="F3419" t="s">
        <v>316</v>
      </c>
      <c r="G3419">
        <v>8</v>
      </c>
      <c r="H3419" s="502">
        <v>51000</v>
      </c>
      <c r="I3419" s="415">
        <v>462753.59374400007</v>
      </c>
      <c r="J3419" s="415">
        <v>424366.2</v>
      </c>
      <c r="K3419" s="415">
        <v>400673.31</v>
      </c>
      <c r="L3419" s="415">
        <v>173993.43</v>
      </c>
      <c r="M3419" s="415">
        <v>171866.79</v>
      </c>
      <c r="N3419" s="415">
        <v>177888.57</v>
      </c>
      <c r="O3419" s="415">
        <v>197564.87</v>
      </c>
      <c r="P3419" s="415">
        <v>157461.81</v>
      </c>
      <c r="Q3419" s="481">
        <f t="shared" si="99"/>
        <v>-38387.393744000059</v>
      </c>
    </row>
    <row r="3420" spans="1:17" x14ac:dyDescent="0.3">
      <c r="A3420" s="366" t="str">
        <f>IFERROR(VLOOKUP(RIGHT(E3420,3)+0,[1]SchLocTable!$A$2:$B$47,2,FALSE)," ")</f>
        <v xml:space="preserve"> </v>
      </c>
      <c r="B3420" s="366" t="str">
        <f>VLOOKUP(VALUE(D3420),$D$3:F$106,3,FALSE)</f>
        <v>BOE Administration Clericals</v>
      </c>
      <c r="C3420" t="s">
        <v>314</v>
      </c>
      <c r="D3420">
        <v>864</v>
      </c>
      <c r="E3420" t="s">
        <v>1076</v>
      </c>
      <c r="F3420" t="s">
        <v>360</v>
      </c>
      <c r="G3420" t="s">
        <v>319</v>
      </c>
      <c r="H3420" s="502">
        <v>52920</v>
      </c>
      <c r="I3420" s="415">
        <v>2666.68</v>
      </c>
      <c r="J3420" s="415">
        <v>500</v>
      </c>
      <c r="K3420" s="415">
        <v>3333.35</v>
      </c>
      <c r="L3420" s="415">
        <v>1125.03</v>
      </c>
      <c r="M3420" s="415">
        <v>500</v>
      </c>
      <c r="N3420" s="415">
        <v>500</v>
      </c>
      <c r="O3420" s="415">
        <v>500</v>
      </c>
      <c r="P3420" s="415">
        <v>500</v>
      </c>
      <c r="Q3420" s="481">
        <f t="shared" si="99"/>
        <v>-2166.6799999999998</v>
      </c>
    </row>
    <row r="3421" spans="1:17" x14ac:dyDescent="0.3">
      <c r="A3421" s="366" t="str">
        <f>IFERROR(VLOOKUP(RIGHT(E3421,3)+0,[1]SchLocTable!$A$2:$B$47,2,FALSE)," ")</f>
        <v xml:space="preserve"> </v>
      </c>
      <c r="B3421" s="366" t="str">
        <f>VLOOKUP(VALUE(D3421),$D$3:F$106,3,FALSE)</f>
        <v>BOE Administration Clericals</v>
      </c>
      <c r="C3421" t="s">
        <v>314</v>
      </c>
      <c r="D3421">
        <v>864</v>
      </c>
      <c r="E3421" t="s">
        <v>1076</v>
      </c>
      <c r="F3421" t="s">
        <v>321</v>
      </c>
      <c r="G3421" t="s">
        <v>319</v>
      </c>
      <c r="H3421" s="502">
        <v>52917</v>
      </c>
      <c r="I3421" s="415">
        <v>90213.551999999996</v>
      </c>
      <c r="J3421" s="415">
        <v>57607.41</v>
      </c>
      <c r="K3421" s="415">
        <v>44540.29</v>
      </c>
      <c r="L3421" s="415">
        <v>19411.02</v>
      </c>
      <c r="M3421" s="415">
        <v>32681.94</v>
      </c>
      <c r="N3421" s="415">
        <v>25084.71</v>
      </c>
      <c r="O3421" s="415">
        <v>21083.45</v>
      </c>
      <c r="P3421" s="415">
        <v>22974.44</v>
      </c>
      <c r="Q3421" s="481">
        <f t="shared" si="99"/>
        <v>-32606.141999999993</v>
      </c>
    </row>
    <row r="3422" spans="1:17" x14ac:dyDescent="0.3">
      <c r="A3422" s="366" t="str">
        <f>IFERROR(VLOOKUP(RIGHT(E3422,3)+0,[1]SchLocTable!$A$2:$B$47,2,FALSE)," ")</f>
        <v xml:space="preserve"> </v>
      </c>
      <c r="B3422" s="366" t="str">
        <f>VLOOKUP(VALUE(D3422),$D$3:F$106,3,FALSE)</f>
        <v>BOE Administration Clericals</v>
      </c>
      <c r="C3422" t="s">
        <v>314</v>
      </c>
      <c r="D3422">
        <v>864</v>
      </c>
      <c r="E3422" t="s">
        <v>1076</v>
      </c>
      <c r="F3422" t="s">
        <v>318</v>
      </c>
      <c r="G3422" t="s">
        <v>319</v>
      </c>
      <c r="H3422" s="502">
        <v>51140</v>
      </c>
      <c r="I3422" s="415">
        <v>2925</v>
      </c>
      <c r="J3422" s="415">
        <v>0</v>
      </c>
      <c r="K3422" s="415">
        <v>4580</v>
      </c>
      <c r="L3422" s="415">
        <v>910</v>
      </c>
      <c r="M3422" s="415">
        <v>840</v>
      </c>
      <c r="N3422" s="415">
        <v>2570</v>
      </c>
      <c r="O3422" s="415">
        <v>2500</v>
      </c>
      <c r="P3422" s="415">
        <v>1750</v>
      </c>
      <c r="Q3422" s="481">
        <f t="shared" si="99"/>
        <v>-2925</v>
      </c>
    </row>
    <row r="3423" spans="1:17" x14ac:dyDescent="0.3">
      <c r="A3423" s="366" t="str">
        <f>IFERROR(VLOOKUP(RIGHT(E3423,3)+0,[1]SchLocTable!$A$2:$B$47,2,FALSE)," ")</f>
        <v xml:space="preserve"> </v>
      </c>
      <c r="B3423" s="366" t="str">
        <f>VLOOKUP(VALUE(D3423),$D$3:F$106,3,FALSE)</f>
        <v>BOE Administration Clericals</v>
      </c>
      <c r="C3423" t="s">
        <v>314</v>
      </c>
      <c r="D3423">
        <v>864</v>
      </c>
      <c r="E3423" t="s">
        <v>1076</v>
      </c>
      <c r="F3423" t="s">
        <v>320</v>
      </c>
      <c r="G3423" t="s">
        <v>319</v>
      </c>
      <c r="H3423" s="502">
        <v>52360</v>
      </c>
      <c r="I3423" s="415">
        <v>7045.1421692880022</v>
      </c>
      <c r="J3423" s="415">
        <v>6373.02</v>
      </c>
      <c r="K3423" s="415">
        <v>6257.09</v>
      </c>
      <c r="L3423" s="415">
        <v>3007.1</v>
      </c>
      <c r="M3423" s="415">
        <v>2970.96</v>
      </c>
      <c r="N3423" s="415">
        <v>3231.98</v>
      </c>
      <c r="O3423" s="415">
        <v>3252.39</v>
      </c>
      <c r="P3423" s="415">
        <v>2762.08</v>
      </c>
      <c r="Q3423" s="481">
        <f t="shared" si="99"/>
        <v>-672.12216928800171</v>
      </c>
    </row>
    <row r="3424" spans="1:17" x14ac:dyDescent="0.3">
      <c r="A3424" s="366" t="str">
        <f>IFERROR(VLOOKUP(RIGHT(E3424,3)+0,[1]SchLocTable!$A$2:$B$47,2,FALSE)," ")</f>
        <v xml:space="preserve"> </v>
      </c>
      <c r="B3424" s="366" t="str">
        <f>VLOOKUP(VALUE(D3424),$D$3:F$106,3,FALSE)</f>
        <v>BOE Administration Clericals</v>
      </c>
      <c r="C3424" t="s">
        <v>314</v>
      </c>
      <c r="D3424">
        <v>864</v>
      </c>
      <c r="E3424" t="s">
        <v>1076</v>
      </c>
      <c r="F3424" t="s">
        <v>392</v>
      </c>
      <c r="G3424" t="s">
        <v>319</v>
      </c>
      <c r="H3424" s="502">
        <v>52504</v>
      </c>
      <c r="I3424" s="415">
        <v>96714.332884003219</v>
      </c>
      <c r="J3424" s="415">
        <v>88183.27</v>
      </c>
      <c r="K3424" s="415">
        <v>83634.58</v>
      </c>
      <c r="L3424" s="415">
        <v>30815.61</v>
      </c>
      <c r="M3424" s="415">
        <v>43297.62</v>
      </c>
      <c r="N3424" s="415">
        <v>42338.1</v>
      </c>
      <c r="O3424" s="415">
        <v>33640.57</v>
      </c>
      <c r="P3424" s="415">
        <v>26095.61</v>
      </c>
      <c r="Q3424" s="481">
        <f t="shared" si="99"/>
        <v>-8531.062884003215</v>
      </c>
    </row>
    <row r="3425" spans="1:17" x14ac:dyDescent="0.3">
      <c r="A3425" s="366" t="str">
        <f>IFERROR(VLOOKUP(RIGHT(E3425,3)+0,[1]SchLocTable!$A$2:$B$47,2,FALSE)," ")</f>
        <v xml:space="preserve"> </v>
      </c>
      <c r="B3425" s="366" t="str">
        <f>VLOOKUP(VALUE(D3425),$D$3:F$106,3,FALSE)</f>
        <v>BOE Administration Clericals</v>
      </c>
      <c r="C3425" t="s">
        <v>314</v>
      </c>
      <c r="D3425">
        <v>864</v>
      </c>
      <c r="E3425" t="s">
        <v>1076</v>
      </c>
      <c r="F3425" t="s">
        <v>419</v>
      </c>
      <c r="G3425" t="s">
        <v>319</v>
      </c>
      <c r="H3425" s="502">
        <v>51318</v>
      </c>
      <c r="I3425" s="415">
        <v>0</v>
      </c>
      <c r="J3425" s="415">
        <v>0</v>
      </c>
      <c r="K3425" s="415">
        <v>1175.1500000000001</v>
      </c>
      <c r="L3425" s="415">
        <v>55.79</v>
      </c>
      <c r="M3425" s="415">
        <v>0</v>
      </c>
      <c r="N3425" s="415">
        <v>0</v>
      </c>
      <c r="O3425" s="415">
        <v>0</v>
      </c>
      <c r="P3425" s="415">
        <v>0</v>
      </c>
      <c r="Q3425" s="481">
        <f t="shared" si="99"/>
        <v>0</v>
      </c>
    </row>
    <row r="3426" spans="1:17" x14ac:dyDescent="0.3">
      <c r="A3426" s="366" t="str">
        <f>IFERROR(VLOOKUP(RIGHT(E3426,3)+0,[1]SchLocTable!$A$2:$B$47,2,FALSE)," ")</f>
        <v xml:space="preserve"> </v>
      </c>
      <c r="B3426" s="366" t="str">
        <f>VLOOKUP(VALUE(D3426),$D$3:F$106,3,FALSE)</f>
        <v>BOE Administration Clericals</v>
      </c>
      <c r="C3426" t="s">
        <v>314</v>
      </c>
      <c r="D3426">
        <v>864</v>
      </c>
      <c r="E3426" t="s">
        <v>1076</v>
      </c>
      <c r="F3426" t="s">
        <v>317</v>
      </c>
      <c r="G3426">
        <v>1</v>
      </c>
      <c r="H3426" s="502">
        <v>51100</v>
      </c>
      <c r="I3426" s="415">
        <v>20451.599999999999</v>
      </c>
      <c r="J3426" s="415">
        <v>11363.05</v>
      </c>
      <c r="K3426" s="415">
        <v>16037.46</v>
      </c>
      <c r="L3426" s="415">
        <v>12938.08</v>
      </c>
      <c r="M3426" s="415">
        <v>11269.55</v>
      </c>
      <c r="N3426" s="415">
        <v>6522.45</v>
      </c>
      <c r="O3426" s="415">
        <v>0</v>
      </c>
      <c r="P3426" s="415">
        <v>0</v>
      </c>
      <c r="Q3426" s="481">
        <f t="shared" si="99"/>
        <v>-9088.5499999999993</v>
      </c>
    </row>
    <row r="3427" spans="1:17" x14ac:dyDescent="0.3">
      <c r="A3427" s="366" t="str">
        <f>IFERROR(VLOOKUP(RIGHT(E3427,3)+0,[1]SchLocTable!$A$2:$B$47,2,FALSE)," ")</f>
        <v xml:space="preserve"> </v>
      </c>
      <c r="B3427" s="366" t="str">
        <f>VLOOKUP(VALUE(D3427),$D$3:F$106,3,FALSE)</f>
        <v>BOE Administration Clericals</v>
      </c>
      <c r="C3427" t="s">
        <v>314</v>
      </c>
      <c r="D3427">
        <v>864</v>
      </c>
      <c r="E3427" t="s">
        <v>1076</v>
      </c>
      <c r="F3427" t="s">
        <v>452</v>
      </c>
      <c r="G3427" t="s">
        <v>319</v>
      </c>
      <c r="H3427" s="502">
        <v>51108</v>
      </c>
      <c r="I3427" s="415">
        <v>0</v>
      </c>
      <c r="J3427" s="415">
        <v>0</v>
      </c>
      <c r="K3427" s="415">
        <v>0</v>
      </c>
      <c r="L3427" s="415">
        <v>10533.78</v>
      </c>
      <c r="M3427" s="415">
        <v>13637.94</v>
      </c>
      <c r="N3427" s="415">
        <v>24907.3</v>
      </c>
      <c r="O3427" s="415">
        <v>16884.54</v>
      </c>
      <c r="P3427" s="415">
        <v>14732.81</v>
      </c>
      <c r="Q3427" s="481">
        <f t="shared" si="99"/>
        <v>0</v>
      </c>
    </row>
    <row r="3428" spans="1:17" x14ac:dyDescent="0.3">
      <c r="A3428" s="366" t="str">
        <f>IFERROR(VLOOKUP(RIGHT(E3428,3)+0,[1]SchLocTable!$A$2:$B$47,2,FALSE)," ")</f>
        <v xml:space="preserve"> </v>
      </c>
      <c r="B3428" s="366" t="str">
        <f>VLOOKUP(VALUE(D3428),$D$3:F$106,3,FALSE)</f>
        <v>BOE Administration Clericals</v>
      </c>
      <c r="C3428" t="s">
        <v>314</v>
      </c>
      <c r="D3428">
        <v>864</v>
      </c>
      <c r="E3428" t="s">
        <v>1076</v>
      </c>
      <c r="F3428" t="s">
        <v>427</v>
      </c>
      <c r="G3428" t="s">
        <v>319</v>
      </c>
      <c r="H3428" s="502">
        <v>51106</v>
      </c>
      <c r="I3428" s="415">
        <v>0</v>
      </c>
      <c r="J3428" s="415">
        <v>0</v>
      </c>
      <c r="K3428" s="415">
        <v>0</v>
      </c>
      <c r="L3428" s="415">
        <v>0</v>
      </c>
      <c r="M3428" s="415">
        <v>909.06</v>
      </c>
      <c r="N3428" s="415">
        <v>4028.51</v>
      </c>
      <c r="O3428" s="415">
        <v>3376.22</v>
      </c>
      <c r="P3428" s="415">
        <v>2748.71</v>
      </c>
      <c r="Q3428" s="481">
        <f t="shared" si="99"/>
        <v>0</v>
      </c>
    </row>
    <row r="3429" spans="1:17" x14ac:dyDescent="0.3">
      <c r="A3429" s="366" t="str">
        <f>IFERROR(VLOOKUP(RIGHT(E3429,3)+0,[1]SchLocTable!$A$2:$B$47,2,FALSE)," ")</f>
        <v xml:space="preserve"> </v>
      </c>
      <c r="B3429" s="366" t="str">
        <f>VLOOKUP(VALUE(D3429),$D$3:F$106,3,FALSE)</f>
        <v>BOE Administration Clericals</v>
      </c>
      <c r="C3429" t="s">
        <v>314</v>
      </c>
      <c r="D3429">
        <v>864</v>
      </c>
      <c r="E3429" t="s">
        <v>1076</v>
      </c>
      <c r="F3429" t="s">
        <v>324</v>
      </c>
      <c r="G3429" t="s">
        <v>319</v>
      </c>
      <c r="H3429" s="502">
        <v>52385</v>
      </c>
      <c r="I3429" s="415">
        <v>0</v>
      </c>
      <c r="J3429" s="415">
        <v>1222.4000000000001</v>
      </c>
      <c r="K3429" s="415">
        <v>1631.84</v>
      </c>
      <c r="L3429" s="415">
        <v>3677.03</v>
      </c>
      <c r="M3429" s="415">
        <v>698.72</v>
      </c>
      <c r="N3429" s="415">
        <v>324.66000000000003</v>
      </c>
      <c r="O3429" s="415">
        <v>995.29</v>
      </c>
      <c r="P3429" s="415">
        <v>339.73</v>
      </c>
      <c r="Q3429" s="481">
        <f t="shared" si="99"/>
        <v>1222.4000000000001</v>
      </c>
    </row>
    <row r="3430" spans="1:17" x14ac:dyDescent="0.3">
      <c r="A3430" s="366" t="str">
        <f>IFERROR(VLOOKUP(RIGHT(E3430,3)+0,[1]SchLocTable!$A$2:$B$47,2,FALSE)," ")</f>
        <v xml:space="preserve"> </v>
      </c>
      <c r="B3430" s="366" t="str">
        <f>VLOOKUP(VALUE(D3430),$D$3:F$106,3,FALSE)</f>
        <v>BOE Administration Clericals</v>
      </c>
      <c r="C3430" t="s">
        <v>314</v>
      </c>
      <c r="D3430">
        <v>864</v>
      </c>
      <c r="E3430" t="s">
        <v>1076</v>
      </c>
      <c r="F3430" t="s">
        <v>329</v>
      </c>
      <c r="G3430" t="s">
        <v>319</v>
      </c>
      <c r="H3430" s="502">
        <v>51154</v>
      </c>
      <c r="I3430" s="415">
        <v>0</v>
      </c>
      <c r="J3430" s="415">
        <v>0</v>
      </c>
      <c r="K3430" s="415">
        <v>0</v>
      </c>
      <c r="L3430" s="415">
        <v>127.52</v>
      </c>
      <c r="M3430" s="415">
        <v>0</v>
      </c>
      <c r="N3430" s="415">
        <v>0</v>
      </c>
      <c r="O3430" s="415">
        <v>0</v>
      </c>
      <c r="P3430" s="415">
        <v>0</v>
      </c>
      <c r="Q3430" s="481">
        <f t="shared" si="99"/>
        <v>0</v>
      </c>
    </row>
    <row r="3431" spans="1:17" x14ac:dyDescent="0.3">
      <c r="A3431" s="366" t="str">
        <f>IFERROR(VLOOKUP(RIGHT(E3431,3)+0,[1]SchLocTable!$A$2:$B$47,2,FALSE)," ")</f>
        <v xml:space="preserve"> </v>
      </c>
      <c r="B3431" s="366" t="str">
        <f>VLOOKUP(VALUE(D3431),$D$3:F$106,3,FALSE)</f>
        <v>BOE Administration Clericals</v>
      </c>
      <c r="C3431" t="s">
        <v>314</v>
      </c>
      <c r="D3431">
        <v>864</v>
      </c>
      <c r="E3431" t="s">
        <v>1076</v>
      </c>
      <c r="F3431" t="s">
        <v>418</v>
      </c>
      <c r="G3431" t="s">
        <v>319</v>
      </c>
      <c r="H3431" s="502">
        <v>51314</v>
      </c>
      <c r="I3431" s="415">
        <v>1210.4045000000001</v>
      </c>
      <c r="J3431" s="415">
        <v>0</v>
      </c>
      <c r="K3431" s="415">
        <v>1175.1500000000001</v>
      </c>
      <c r="L3431" s="415">
        <v>39.85</v>
      </c>
      <c r="M3431" s="415">
        <v>0</v>
      </c>
      <c r="N3431" s="415">
        <v>0</v>
      </c>
      <c r="O3431" s="415">
        <v>0</v>
      </c>
      <c r="P3431" s="415">
        <v>0</v>
      </c>
      <c r="Q3431" s="481">
        <f t="shared" si="99"/>
        <v>-1210.4045000000001</v>
      </c>
    </row>
    <row r="3432" spans="1:17" x14ac:dyDescent="0.3">
      <c r="A3432" s="366" t="str">
        <f>IFERROR(VLOOKUP(RIGHT(E3432,3)+0,[1]SchLocTable!$A$2:$B$47,2,FALSE)," ")</f>
        <v xml:space="preserve"> </v>
      </c>
      <c r="B3432" s="366" t="str">
        <f>VLOOKUP(VALUE(D3432),$D$3:F$106,3,FALSE)</f>
        <v>BOE Administration Clericals</v>
      </c>
      <c r="C3432" t="s">
        <v>314</v>
      </c>
      <c r="D3432">
        <v>864</v>
      </c>
      <c r="E3432" t="s">
        <v>1076</v>
      </c>
      <c r="F3432" t="s">
        <v>356</v>
      </c>
      <c r="G3432" t="s">
        <v>319</v>
      </c>
      <c r="H3432" s="502">
        <v>51156</v>
      </c>
      <c r="I3432" s="415">
        <v>0</v>
      </c>
      <c r="J3432" s="415">
        <v>0</v>
      </c>
      <c r="K3432" s="415">
        <v>8277.44</v>
      </c>
      <c r="L3432" s="415">
        <v>0</v>
      </c>
      <c r="M3432" s="415">
        <v>2472.7800000000002</v>
      </c>
      <c r="N3432" s="415">
        <v>2174.75</v>
      </c>
      <c r="O3432" s="415">
        <v>3477.68</v>
      </c>
      <c r="P3432" s="415">
        <v>2345.19</v>
      </c>
      <c r="Q3432" s="481">
        <f t="shared" si="99"/>
        <v>0</v>
      </c>
    </row>
    <row r="3433" spans="1:17" x14ac:dyDescent="0.3">
      <c r="A3433" s="366" t="str">
        <f>IFERROR(VLOOKUP(RIGHT(E3433,3)+0,[1]SchLocTable!$A$2:$B$47,2,FALSE)," ")</f>
        <v xml:space="preserve"> </v>
      </c>
      <c r="B3433" s="366" t="str">
        <f>VLOOKUP(VALUE(D3433),$D$3:F$106,3,FALSE)</f>
        <v>Legal Services</v>
      </c>
      <c r="C3433" t="s">
        <v>314</v>
      </c>
      <c r="D3433">
        <v>865</v>
      </c>
      <c r="E3433" t="s">
        <v>1077</v>
      </c>
      <c r="F3433" t="s">
        <v>809</v>
      </c>
      <c r="G3433" t="s">
        <v>319</v>
      </c>
      <c r="H3433" s="502">
        <v>56130</v>
      </c>
      <c r="I3433" s="415">
        <v>556200</v>
      </c>
      <c r="J3433" s="415">
        <v>540000</v>
      </c>
      <c r="K3433" s="415">
        <v>382362.66</v>
      </c>
      <c r="L3433" s="415">
        <v>258491.12</v>
      </c>
      <c r="M3433" s="415">
        <v>188038.23</v>
      </c>
      <c r="N3433" s="415">
        <v>505947.55</v>
      </c>
      <c r="O3433" s="415">
        <v>271001.98</v>
      </c>
      <c r="P3433" s="415">
        <v>420817.06</v>
      </c>
      <c r="Q3433" s="481">
        <f t="shared" si="99"/>
        <v>-16200</v>
      </c>
    </row>
    <row r="3434" spans="1:17" x14ac:dyDescent="0.3">
      <c r="A3434" s="366" t="str">
        <f>IFERROR(VLOOKUP(RIGHT(E3434,3)+0,[1]SchLocTable!$A$2:$B$47,2,FALSE)," ")</f>
        <v xml:space="preserve"> </v>
      </c>
      <c r="B3434" s="366" t="str">
        <f>VLOOKUP(VALUE(D3434),$D$3:F$106,3,FALSE)</f>
        <v>Human Resources</v>
      </c>
      <c r="C3434" t="s">
        <v>314</v>
      </c>
      <c r="D3434">
        <v>866</v>
      </c>
      <c r="E3434" t="s">
        <v>1078</v>
      </c>
      <c r="F3434" t="s">
        <v>1079</v>
      </c>
      <c r="G3434" t="s">
        <v>319</v>
      </c>
      <c r="H3434" s="502">
        <v>53705</v>
      </c>
      <c r="I3434" s="415">
        <v>2796.4500000000003</v>
      </c>
      <c r="J3434" s="415">
        <v>2715</v>
      </c>
      <c r="K3434" s="415">
        <v>0</v>
      </c>
      <c r="L3434" s="415">
        <v>0</v>
      </c>
      <c r="M3434" s="415">
        <v>0</v>
      </c>
      <c r="N3434" s="415">
        <v>0</v>
      </c>
      <c r="O3434" s="415">
        <v>0</v>
      </c>
      <c r="P3434" s="415">
        <v>0</v>
      </c>
      <c r="Q3434" s="481">
        <f t="shared" si="99"/>
        <v>-81.450000000000273</v>
      </c>
    </row>
    <row r="3435" spans="1:17" x14ac:dyDescent="0.3">
      <c r="A3435" s="366" t="str">
        <f>IFERROR(VLOOKUP(RIGHT(E3435,3)+0,[1]SchLocTable!$A$2:$B$47,2,FALSE)," ")</f>
        <v xml:space="preserve"> </v>
      </c>
      <c r="B3435" s="366" t="str">
        <f>VLOOKUP(VALUE(D3435),$D$3:F$106,3,FALSE)</f>
        <v>Human Resources</v>
      </c>
      <c r="C3435" t="s">
        <v>314</v>
      </c>
      <c r="D3435">
        <v>866</v>
      </c>
      <c r="E3435" t="s">
        <v>1078</v>
      </c>
      <c r="F3435" t="s">
        <v>316</v>
      </c>
      <c r="G3435">
        <v>3</v>
      </c>
      <c r="H3435" s="502">
        <v>51000</v>
      </c>
      <c r="I3435" s="415">
        <v>44347.955651999997</v>
      </c>
      <c r="J3435" s="415">
        <v>282794.68</v>
      </c>
      <c r="K3435" s="415">
        <v>394821.94</v>
      </c>
      <c r="L3435" s="415">
        <v>373090.65</v>
      </c>
      <c r="M3435" s="415">
        <v>358643.6</v>
      </c>
      <c r="N3435" s="415">
        <v>231723.04</v>
      </c>
      <c r="O3435" s="415">
        <v>250319.05</v>
      </c>
      <c r="P3435" s="415">
        <v>202270.01</v>
      </c>
      <c r="Q3435" s="481">
        <f t="shared" si="99"/>
        <v>238446.72434799999</v>
      </c>
    </row>
    <row r="3436" spans="1:17" x14ac:dyDescent="0.3">
      <c r="A3436" s="366" t="str">
        <f>IFERROR(VLOOKUP(RIGHT(E3436,3)+0,[1]SchLocTable!$A$2:$B$47,2,FALSE)," ")</f>
        <v xml:space="preserve"> </v>
      </c>
      <c r="B3436" s="366" t="str">
        <f>VLOOKUP(VALUE(D3436),$D$3:F$106,3,FALSE)</f>
        <v>Human Resources</v>
      </c>
      <c r="C3436" t="s">
        <v>314</v>
      </c>
      <c r="D3436">
        <v>866</v>
      </c>
      <c r="E3436" t="s">
        <v>1078</v>
      </c>
      <c r="F3436" t="s">
        <v>360</v>
      </c>
      <c r="G3436" t="s">
        <v>319</v>
      </c>
      <c r="H3436" s="502">
        <v>52920</v>
      </c>
      <c r="I3436" s="415">
        <v>0</v>
      </c>
      <c r="J3436" s="415">
        <v>0</v>
      </c>
      <c r="K3436" s="415">
        <v>2125</v>
      </c>
      <c r="L3436" s="415">
        <v>1666.68</v>
      </c>
      <c r="M3436" s="415">
        <v>1000</v>
      </c>
      <c r="N3436" s="415">
        <v>2000</v>
      </c>
      <c r="O3436" s="415">
        <v>2000</v>
      </c>
      <c r="P3436" s="415">
        <v>2500</v>
      </c>
      <c r="Q3436" s="481">
        <f t="shared" si="99"/>
        <v>0</v>
      </c>
    </row>
    <row r="3437" spans="1:17" x14ac:dyDescent="0.3">
      <c r="A3437" s="366" t="str">
        <f>IFERROR(VLOOKUP(RIGHT(E3437,3)+0,[1]SchLocTable!$A$2:$B$47,2,FALSE)," ")</f>
        <v xml:space="preserve"> </v>
      </c>
      <c r="B3437" s="366" t="str">
        <f>VLOOKUP(VALUE(D3437),$D$3:F$106,3,FALSE)</f>
        <v>Human Resources</v>
      </c>
      <c r="C3437" t="s">
        <v>314</v>
      </c>
      <c r="D3437">
        <v>866</v>
      </c>
      <c r="E3437" t="s">
        <v>1078</v>
      </c>
      <c r="F3437" t="s">
        <v>321</v>
      </c>
      <c r="G3437" t="s">
        <v>319</v>
      </c>
      <c r="H3437" s="502">
        <v>52917</v>
      </c>
      <c r="I3437" s="415">
        <v>0</v>
      </c>
      <c r="J3437" s="415">
        <v>20977.33</v>
      </c>
      <c r="K3437" s="415">
        <v>30936.67</v>
      </c>
      <c r="L3437" s="415">
        <v>39773.43</v>
      </c>
      <c r="M3437" s="415">
        <v>45626.41</v>
      </c>
      <c r="N3437" s="415">
        <v>16822.62</v>
      </c>
      <c r="O3437" s="415">
        <v>16321.96</v>
      </c>
      <c r="P3437" s="415">
        <v>16066.53</v>
      </c>
      <c r="Q3437" s="481">
        <f t="shared" si="99"/>
        <v>20977.33</v>
      </c>
    </row>
    <row r="3438" spans="1:17" x14ac:dyDescent="0.3">
      <c r="A3438" s="366" t="str">
        <f>IFERROR(VLOOKUP(RIGHT(E3438,3)+0,[1]SchLocTable!$A$2:$B$47,2,FALSE)," ")</f>
        <v xml:space="preserve"> </v>
      </c>
      <c r="B3438" s="366" t="str">
        <f>VLOOKUP(VALUE(D3438),$D$3:F$106,3,FALSE)</f>
        <v>Human Resources</v>
      </c>
      <c r="C3438" t="s">
        <v>314</v>
      </c>
      <c r="D3438">
        <v>866</v>
      </c>
      <c r="E3438" t="s">
        <v>1078</v>
      </c>
      <c r="F3438" t="s">
        <v>390</v>
      </c>
      <c r="G3438" t="s">
        <v>319</v>
      </c>
      <c r="H3438" s="502">
        <v>56115</v>
      </c>
      <c r="I3438" s="415">
        <v>76233.776400000002</v>
      </c>
      <c r="J3438" s="415">
        <v>71246.52</v>
      </c>
      <c r="K3438" s="415">
        <v>77384.820000000007</v>
      </c>
      <c r="L3438" s="415">
        <v>48478.43</v>
      </c>
      <c r="M3438" s="415">
        <v>0</v>
      </c>
      <c r="N3438" s="415">
        <v>0</v>
      </c>
      <c r="O3438" s="415">
        <v>0</v>
      </c>
      <c r="P3438" s="415">
        <v>41246.519999999997</v>
      </c>
      <c r="Q3438" s="481">
        <f t="shared" si="99"/>
        <v>-4987.2563999999984</v>
      </c>
    </row>
    <row r="3439" spans="1:17" x14ac:dyDescent="0.3">
      <c r="A3439" s="366" t="str">
        <f>IFERROR(VLOOKUP(RIGHT(E3439,3)+0,[1]SchLocTable!$A$2:$B$47,2,FALSE)," ")</f>
        <v xml:space="preserve"> </v>
      </c>
      <c r="B3439" s="366" t="str">
        <f>VLOOKUP(VALUE(D3439),$D$3:F$106,3,FALSE)</f>
        <v>Human Resources</v>
      </c>
      <c r="C3439" t="s">
        <v>314</v>
      </c>
      <c r="D3439">
        <v>866</v>
      </c>
      <c r="E3439" t="s">
        <v>1078</v>
      </c>
      <c r="F3439" t="s">
        <v>318</v>
      </c>
      <c r="G3439" t="s">
        <v>319</v>
      </c>
      <c r="H3439" s="502">
        <v>51140</v>
      </c>
      <c r="I3439" s="415">
        <v>0</v>
      </c>
      <c r="J3439" s="415">
        <v>0</v>
      </c>
      <c r="K3439" s="415">
        <v>2250</v>
      </c>
      <c r="L3439" s="415">
        <v>4643.75</v>
      </c>
      <c r="M3439" s="415">
        <v>4950</v>
      </c>
      <c r="N3439" s="415">
        <v>3075</v>
      </c>
      <c r="O3439" s="415">
        <v>3000</v>
      </c>
      <c r="P3439" s="415">
        <v>5186.25</v>
      </c>
      <c r="Q3439" s="481">
        <f t="shared" si="99"/>
        <v>0</v>
      </c>
    </row>
    <row r="3440" spans="1:17" x14ac:dyDescent="0.3">
      <c r="A3440" s="366" t="str">
        <f>IFERROR(VLOOKUP(RIGHT(E3440,3)+0,[1]SchLocTable!$A$2:$B$47,2,FALSE)," ")</f>
        <v xml:space="preserve"> </v>
      </c>
      <c r="B3440" s="366" t="str">
        <f>VLOOKUP(VALUE(D3440),$D$3:F$106,3,FALSE)</f>
        <v>Human Resources</v>
      </c>
      <c r="C3440" t="s">
        <v>314</v>
      </c>
      <c r="D3440">
        <v>866</v>
      </c>
      <c r="E3440" t="s">
        <v>1078</v>
      </c>
      <c r="F3440" t="s">
        <v>320</v>
      </c>
      <c r="G3440" t="s">
        <v>319</v>
      </c>
      <c r="H3440" s="502">
        <v>52360</v>
      </c>
      <c r="I3440" s="415">
        <v>643.045356954</v>
      </c>
      <c r="J3440" s="415">
        <v>4681.3100000000004</v>
      </c>
      <c r="K3440" s="415">
        <v>6417.39</v>
      </c>
      <c r="L3440" s="415">
        <v>5369.83</v>
      </c>
      <c r="M3440" s="415">
        <v>4147.43</v>
      </c>
      <c r="N3440" s="415">
        <v>2469.3000000000002</v>
      </c>
      <c r="O3440" s="415">
        <v>2720.63</v>
      </c>
      <c r="P3440" s="415">
        <v>2790.08</v>
      </c>
      <c r="Q3440" s="481">
        <f t="shared" si="99"/>
        <v>4038.2646430460004</v>
      </c>
    </row>
    <row r="3441" spans="1:17" x14ac:dyDescent="0.3">
      <c r="A3441" s="366" t="str">
        <f>IFERROR(VLOOKUP(RIGHT(E3441,3)+0,[1]SchLocTable!$A$2:$B$47,2,FALSE)," ")</f>
        <v xml:space="preserve"> </v>
      </c>
      <c r="B3441" s="366" t="str">
        <f>VLOOKUP(VALUE(D3441),$D$3:F$106,3,FALSE)</f>
        <v>Human Resources</v>
      </c>
      <c r="C3441" t="s">
        <v>314</v>
      </c>
      <c r="D3441">
        <v>866</v>
      </c>
      <c r="E3441" t="s">
        <v>1078</v>
      </c>
      <c r="F3441" t="s">
        <v>473</v>
      </c>
      <c r="G3441" t="s">
        <v>319</v>
      </c>
      <c r="H3441" s="502">
        <v>53605</v>
      </c>
      <c r="I3441" s="415">
        <v>865.2</v>
      </c>
      <c r="J3441" s="415">
        <v>840</v>
      </c>
      <c r="K3441" s="415">
        <v>0</v>
      </c>
      <c r="L3441" s="415">
        <v>0</v>
      </c>
      <c r="M3441" s="415">
        <v>0</v>
      </c>
      <c r="N3441" s="415">
        <v>0</v>
      </c>
      <c r="O3441" s="415">
        <v>0</v>
      </c>
      <c r="P3441" s="415">
        <v>836</v>
      </c>
      <c r="Q3441" s="481">
        <f t="shared" si="99"/>
        <v>-25.200000000000045</v>
      </c>
    </row>
    <row r="3442" spans="1:17" x14ac:dyDescent="0.3">
      <c r="A3442" s="366" t="str">
        <f>IFERROR(VLOOKUP(RIGHT(E3442,3)+0,[1]SchLocTable!$A$2:$B$47,2,FALSE)," ")</f>
        <v xml:space="preserve"> </v>
      </c>
      <c r="B3442" s="366" t="str">
        <f>VLOOKUP(VALUE(D3442),$D$3:F$106,3,FALSE)</f>
        <v>Human Resources</v>
      </c>
      <c r="C3442" t="s">
        <v>314</v>
      </c>
      <c r="D3442">
        <v>866</v>
      </c>
      <c r="E3442" t="s">
        <v>1078</v>
      </c>
      <c r="F3442" t="s">
        <v>392</v>
      </c>
      <c r="G3442" t="s">
        <v>319</v>
      </c>
      <c r="H3442" s="502">
        <v>52504</v>
      </c>
      <c r="I3442" s="415">
        <v>9215.5051844856007</v>
      </c>
      <c r="J3442" s="415">
        <v>23616.97</v>
      </c>
      <c r="K3442" s="415">
        <v>79598.22</v>
      </c>
      <c r="L3442" s="415">
        <v>55595.48</v>
      </c>
      <c r="M3442" s="415">
        <v>85320.02</v>
      </c>
      <c r="N3442" s="415">
        <v>55480.08</v>
      </c>
      <c r="O3442" s="415">
        <v>47456.41</v>
      </c>
      <c r="P3442" s="415">
        <v>34038.47</v>
      </c>
      <c r="Q3442" s="481">
        <f t="shared" si="99"/>
        <v>14401.4648155144</v>
      </c>
    </row>
    <row r="3443" spans="1:17" x14ac:dyDescent="0.3">
      <c r="A3443" s="366" t="str">
        <f>IFERROR(VLOOKUP(RIGHT(E3443,3)+0,[1]SchLocTable!$A$2:$B$47,2,FALSE)," ")</f>
        <v xml:space="preserve"> </v>
      </c>
      <c r="B3443" s="366" t="str">
        <f>VLOOKUP(VALUE(D3443),$D$3:F$106,3,FALSE)</f>
        <v>Human Resources</v>
      </c>
      <c r="C3443" t="s">
        <v>314</v>
      </c>
      <c r="D3443">
        <v>866</v>
      </c>
      <c r="E3443" t="s">
        <v>1078</v>
      </c>
      <c r="F3443" t="s">
        <v>458</v>
      </c>
      <c r="G3443" t="s">
        <v>319</v>
      </c>
      <c r="H3443" s="502">
        <v>54675</v>
      </c>
      <c r="I3443" s="415">
        <v>5864.5625</v>
      </c>
      <c r="J3443" s="415">
        <v>5693.75</v>
      </c>
      <c r="K3443" s="415">
        <v>6311.35</v>
      </c>
      <c r="L3443" s="415">
        <v>8161</v>
      </c>
      <c r="M3443" s="415">
        <v>3477.28</v>
      </c>
      <c r="N3443" s="415">
        <v>3793.72</v>
      </c>
      <c r="O3443" s="415">
        <v>1582.44</v>
      </c>
      <c r="P3443" s="415">
        <v>8217.7800000000007</v>
      </c>
      <c r="Q3443" s="481">
        <f t="shared" si="99"/>
        <v>-170.8125</v>
      </c>
    </row>
    <row r="3444" spans="1:17" x14ac:dyDescent="0.3">
      <c r="A3444" s="366" t="str">
        <f>IFERROR(VLOOKUP(RIGHT(E3444,3)+0,[1]SchLocTable!$A$2:$B$47,2,FALSE)," ")</f>
        <v xml:space="preserve"> </v>
      </c>
      <c r="B3444" s="366" t="str">
        <f>VLOOKUP(VALUE(D3444),$D$3:F$106,3,FALSE)</f>
        <v>Human Resources</v>
      </c>
      <c r="C3444" t="s">
        <v>314</v>
      </c>
      <c r="D3444">
        <v>866</v>
      </c>
      <c r="E3444" t="s">
        <v>1078</v>
      </c>
      <c r="F3444" t="s">
        <v>464</v>
      </c>
      <c r="G3444" t="s">
        <v>319</v>
      </c>
      <c r="H3444" s="502">
        <v>56180</v>
      </c>
      <c r="I3444" s="415">
        <v>165808.4215</v>
      </c>
      <c r="J3444" s="415">
        <v>160979.04999999999</v>
      </c>
      <c r="K3444" s="415">
        <v>52122.11</v>
      </c>
      <c r="L3444" s="415">
        <v>43326.559999999998</v>
      </c>
      <c r="M3444" s="415">
        <v>98656.35</v>
      </c>
      <c r="N3444" s="415">
        <v>148821.74</v>
      </c>
      <c r="O3444" s="415">
        <v>156997.18</v>
      </c>
      <c r="P3444" s="415">
        <v>119594.37</v>
      </c>
      <c r="Q3444" s="481">
        <f t="shared" si="99"/>
        <v>-4829.3715000000084</v>
      </c>
    </row>
    <row r="3445" spans="1:17" x14ac:dyDescent="0.3">
      <c r="A3445" s="366" t="str">
        <f>IFERROR(VLOOKUP(RIGHT(E3445,3)+0,[1]SchLocTable!$A$2:$B$47,2,FALSE)," ")</f>
        <v xml:space="preserve"> </v>
      </c>
      <c r="B3445" s="366" t="str">
        <f>VLOOKUP(VALUE(D3445),$D$3:F$106,3,FALSE)</f>
        <v>Human Resources</v>
      </c>
      <c r="C3445" t="s">
        <v>314</v>
      </c>
      <c r="D3445">
        <v>866</v>
      </c>
      <c r="E3445" t="s">
        <v>1078</v>
      </c>
      <c r="F3445" t="s">
        <v>419</v>
      </c>
      <c r="G3445" t="s">
        <v>319</v>
      </c>
      <c r="H3445" s="502">
        <v>51318</v>
      </c>
      <c r="I3445" s="415">
        <v>0</v>
      </c>
      <c r="J3445" s="415">
        <v>0</v>
      </c>
      <c r="K3445" s="415">
        <v>576.91999999999996</v>
      </c>
      <c r="L3445" s="415">
        <v>3549.69</v>
      </c>
      <c r="M3445" s="415">
        <v>725.7</v>
      </c>
      <c r="N3445" s="415">
        <v>0</v>
      </c>
      <c r="O3445" s="415">
        <v>0</v>
      </c>
      <c r="P3445" s="415">
        <v>3012.17</v>
      </c>
      <c r="Q3445" s="481">
        <f t="shared" si="99"/>
        <v>0</v>
      </c>
    </row>
    <row r="3446" spans="1:17" x14ac:dyDescent="0.3">
      <c r="A3446" s="366" t="str">
        <f>IFERROR(VLOOKUP(RIGHT(E3446,3)+0,[1]SchLocTable!$A$2:$B$47,2,FALSE)," ")</f>
        <v xml:space="preserve"> </v>
      </c>
      <c r="B3446" s="366" t="str">
        <f>VLOOKUP(VALUE(D3446),$D$3:F$106,3,FALSE)</f>
        <v>Human Resources</v>
      </c>
      <c r="C3446" t="s">
        <v>314</v>
      </c>
      <c r="D3446">
        <v>866</v>
      </c>
      <c r="E3446" t="s">
        <v>1078</v>
      </c>
      <c r="F3446" t="s">
        <v>459</v>
      </c>
      <c r="G3446" t="s">
        <v>319</v>
      </c>
      <c r="H3446" s="502">
        <v>59015</v>
      </c>
      <c r="I3446" s="415">
        <v>933.38600000000008</v>
      </c>
      <c r="J3446" s="415">
        <v>906.2</v>
      </c>
      <c r="K3446" s="415">
        <v>316</v>
      </c>
      <c r="L3446" s="415">
        <v>80.400000000000006</v>
      </c>
      <c r="M3446" s="415">
        <v>0</v>
      </c>
      <c r="N3446" s="415">
        <v>0</v>
      </c>
      <c r="O3446" s="415">
        <v>0</v>
      </c>
      <c r="P3446" s="415">
        <v>0</v>
      </c>
      <c r="Q3446" s="481">
        <f t="shared" si="99"/>
        <v>-27.186000000000035</v>
      </c>
    </row>
    <row r="3447" spans="1:17" x14ac:dyDescent="0.3">
      <c r="A3447" s="366" t="str">
        <f>IFERROR(VLOOKUP(RIGHT(E3447,3)+0,[1]SchLocTable!$A$2:$B$47,2,FALSE)," ")</f>
        <v xml:space="preserve"> </v>
      </c>
      <c r="B3447" s="366" t="str">
        <f>VLOOKUP(VALUE(D3447),$D$3:F$106,3,FALSE)</f>
        <v>Human Resources</v>
      </c>
      <c r="C3447" t="s">
        <v>314</v>
      </c>
      <c r="D3447">
        <v>866</v>
      </c>
      <c r="E3447" t="s">
        <v>1078</v>
      </c>
      <c r="F3447" t="s">
        <v>317</v>
      </c>
      <c r="G3447" t="s">
        <v>319</v>
      </c>
      <c r="H3447" s="502">
        <v>51100</v>
      </c>
      <c r="I3447" s="415">
        <v>0</v>
      </c>
      <c r="J3447" s="415">
        <v>29538</v>
      </c>
      <c r="K3447" s="415">
        <v>29010</v>
      </c>
      <c r="L3447" s="415">
        <v>6757.5</v>
      </c>
      <c r="M3447" s="415">
        <v>29847.81</v>
      </c>
      <c r="N3447" s="415">
        <v>0</v>
      </c>
      <c r="O3447" s="415">
        <v>0</v>
      </c>
      <c r="P3447" s="415">
        <v>0</v>
      </c>
      <c r="Q3447" s="481">
        <f t="shared" si="99"/>
        <v>29538</v>
      </c>
    </row>
    <row r="3448" spans="1:17" x14ac:dyDescent="0.3">
      <c r="A3448" s="366" t="str">
        <f>IFERROR(VLOOKUP(RIGHT(E3448,3)+0,[1]SchLocTable!$A$2:$B$47,2,FALSE)," ")</f>
        <v xml:space="preserve"> </v>
      </c>
      <c r="B3448" s="366" t="str">
        <f>VLOOKUP(VALUE(D3448),$D$3:F$106,3,FALSE)</f>
        <v>Human Resources</v>
      </c>
      <c r="C3448" t="s">
        <v>314</v>
      </c>
      <c r="D3448">
        <v>866</v>
      </c>
      <c r="E3448" t="s">
        <v>1078</v>
      </c>
      <c r="F3448" t="s">
        <v>452</v>
      </c>
      <c r="G3448" t="s">
        <v>319</v>
      </c>
      <c r="H3448" s="502">
        <v>51108</v>
      </c>
      <c r="I3448" s="415">
        <v>0</v>
      </c>
      <c r="J3448" s="415">
        <v>908.26</v>
      </c>
      <c r="K3448" s="415">
        <v>0</v>
      </c>
      <c r="L3448" s="415">
        <v>5269.47</v>
      </c>
      <c r="M3448" s="415">
        <v>908.26</v>
      </c>
      <c r="N3448" s="415">
        <v>220.53</v>
      </c>
      <c r="O3448" s="415">
        <v>0</v>
      </c>
      <c r="P3448" s="415">
        <v>0</v>
      </c>
      <c r="Q3448" s="481">
        <f t="shared" si="99"/>
        <v>908.26</v>
      </c>
    </row>
    <row r="3449" spans="1:17" x14ac:dyDescent="0.3">
      <c r="A3449" s="366" t="str">
        <f>IFERROR(VLOOKUP(RIGHT(E3449,3)+0,[1]SchLocTable!$A$2:$B$47,2,FALSE)," ")</f>
        <v xml:space="preserve"> </v>
      </c>
      <c r="B3449" s="366" t="str">
        <f>VLOOKUP(VALUE(D3449),$D$3:F$106,3,FALSE)</f>
        <v>Human Resources</v>
      </c>
      <c r="C3449" t="s">
        <v>314</v>
      </c>
      <c r="D3449">
        <v>866</v>
      </c>
      <c r="E3449" t="s">
        <v>1078</v>
      </c>
      <c r="F3449" t="s">
        <v>427</v>
      </c>
      <c r="G3449" t="s">
        <v>319</v>
      </c>
      <c r="H3449" s="502">
        <v>51106</v>
      </c>
      <c r="I3449" s="415">
        <v>0</v>
      </c>
      <c r="J3449" s="415">
        <v>304.04000000000002</v>
      </c>
      <c r="K3449" s="415">
        <v>0</v>
      </c>
      <c r="L3449" s="415">
        <v>0</v>
      </c>
      <c r="M3449" s="415">
        <v>702.81</v>
      </c>
      <c r="N3449" s="415">
        <v>0</v>
      </c>
      <c r="O3449" s="415">
        <v>0</v>
      </c>
      <c r="P3449" s="415">
        <v>0</v>
      </c>
      <c r="Q3449" s="481">
        <f t="shared" si="99"/>
        <v>304.04000000000002</v>
      </c>
    </row>
    <row r="3450" spans="1:17" x14ac:dyDescent="0.3">
      <c r="A3450" s="366" t="str">
        <f>IFERROR(VLOOKUP(RIGHT(E3450,3)+0,[1]SchLocTable!$A$2:$B$47,2,FALSE)," ")</f>
        <v xml:space="preserve"> </v>
      </c>
      <c r="B3450" s="366" t="str">
        <f>VLOOKUP(VALUE(D3450),$D$3:F$106,3,FALSE)</f>
        <v>Human Resources</v>
      </c>
      <c r="C3450" t="s">
        <v>314</v>
      </c>
      <c r="D3450">
        <v>866</v>
      </c>
      <c r="E3450" t="s">
        <v>1078</v>
      </c>
      <c r="F3450" t="s">
        <v>324</v>
      </c>
      <c r="G3450" t="s">
        <v>319</v>
      </c>
      <c r="H3450" s="502">
        <v>52385</v>
      </c>
      <c r="I3450" s="415">
        <v>0</v>
      </c>
      <c r="J3450" s="415">
        <v>515.07000000000005</v>
      </c>
      <c r="K3450" s="415">
        <v>1566.46</v>
      </c>
      <c r="L3450" s="415">
        <v>5408.91</v>
      </c>
      <c r="M3450" s="415">
        <v>2014.83</v>
      </c>
      <c r="N3450" s="415">
        <v>0</v>
      </c>
      <c r="O3450" s="415">
        <v>1312.44</v>
      </c>
      <c r="P3450" s="415">
        <v>0</v>
      </c>
      <c r="Q3450" s="481">
        <f t="shared" si="99"/>
        <v>515.07000000000005</v>
      </c>
    </row>
    <row r="3451" spans="1:17" x14ac:dyDescent="0.3">
      <c r="A3451" s="366" t="str">
        <f>IFERROR(VLOOKUP(RIGHT(E3451,3)+0,[1]SchLocTable!$A$2:$B$47,2,FALSE)," ")</f>
        <v xml:space="preserve"> </v>
      </c>
      <c r="B3451" s="366" t="str">
        <f>VLOOKUP(VALUE(D3451),$D$3:F$106,3,FALSE)</f>
        <v>Human Resources</v>
      </c>
      <c r="C3451" t="s">
        <v>314</v>
      </c>
      <c r="D3451">
        <v>866</v>
      </c>
      <c r="E3451" t="s">
        <v>1078</v>
      </c>
      <c r="F3451" t="s">
        <v>560</v>
      </c>
      <c r="G3451" t="s">
        <v>319</v>
      </c>
      <c r="H3451" s="502">
        <v>51404</v>
      </c>
      <c r="I3451" s="415">
        <v>0</v>
      </c>
      <c r="J3451" s="415">
        <v>0</v>
      </c>
      <c r="K3451" s="415">
        <v>0</v>
      </c>
      <c r="L3451" s="415">
        <v>0</v>
      </c>
      <c r="M3451" s="415">
        <v>0</v>
      </c>
      <c r="N3451" s="415">
        <v>0</v>
      </c>
      <c r="O3451" s="415">
        <v>0</v>
      </c>
      <c r="P3451" s="415">
        <v>360</v>
      </c>
      <c r="Q3451" s="481">
        <f t="shared" si="99"/>
        <v>0</v>
      </c>
    </row>
    <row r="3452" spans="1:17" x14ac:dyDescent="0.3">
      <c r="A3452" s="366" t="str">
        <f>IFERROR(VLOOKUP(RIGHT(E3452,3)+0,[1]SchLocTable!$A$2:$B$47,2,FALSE)," ")</f>
        <v xml:space="preserve"> </v>
      </c>
      <c r="B3452" s="366" t="str">
        <f>VLOOKUP(VALUE(D3452),$D$3:F$106,3,FALSE)</f>
        <v>Human Resources</v>
      </c>
      <c r="C3452" t="s">
        <v>314</v>
      </c>
      <c r="D3452">
        <v>866</v>
      </c>
      <c r="E3452" t="s">
        <v>1078</v>
      </c>
      <c r="F3452" t="s">
        <v>329</v>
      </c>
      <c r="G3452" t="s">
        <v>319</v>
      </c>
      <c r="H3452" s="502">
        <v>51154</v>
      </c>
      <c r="I3452" s="415">
        <v>0</v>
      </c>
      <c r="J3452" s="415">
        <v>0</v>
      </c>
      <c r="K3452" s="415">
        <v>0</v>
      </c>
      <c r="L3452" s="415">
        <v>49908.52</v>
      </c>
      <c r="M3452" s="415">
        <v>0</v>
      </c>
      <c r="N3452" s="415">
        <v>0</v>
      </c>
      <c r="O3452" s="415">
        <v>0</v>
      </c>
      <c r="P3452" s="415">
        <v>53101.78</v>
      </c>
      <c r="Q3452" s="481">
        <f t="shared" si="99"/>
        <v>0</v>
      </c>
    </row>
    <row r="3453" spans="1:17" x14ac:dyDescent="0.3">
      <c r="A3453" s="366" t="str">
        <f>IFERROR(VLOOKUP(RIGHT(E3453,3)+0,[1]SchLocTable!$A$2:$B$47,2,FALSE)," ")</f>
        <v xml:space="preserve"> </v>
      </c>
      <c r="B3453" s="366" t="str">
        <f>VLOOKUP(VALUE(D3453),$D$3:F$106,3,FALSE)</f>
        <v>Human Resources</v>
      </c>
      <c r="C3453" t="s">
        <v>314</v>
      </c>
      <c r="D3453">
        <v>866</v>
      </c>
      <c r="E3453" t="s">
        <v>1078</v>
      </c>
      <c r="F3453" t="s">
        <v>418</v>
      </c>
      <c r="G3453" t="s">
        <v>319</v>
      </c>
      <c r="H3453" s="502">
        <v>51314</v>
      </c>
      <c r="I3453" s="415">
        <v>594.22759999999994</v>
      </c>
      <c r="J3453" s="415">
        <v>0</v>
      </c>
      <c r="K3453" s="415">
        <v>576.91999999999996</v>
      </c>
      <c r="L3453" s="415">
        <v>17036.05</v>
      </c>
      <c r="M3453" s="415">
        <v>0</v>
      </c>
      <c r="N3453" s="415">
        <v>0</v>
      </c>
      <c r="O3453" s="415">
        <v>0</v>
      </c>
      <c r="P3453" s="415">
        <v>13315.2</v>
      </c>
      <c r="Q3453" s="481">
        <f t="shared" si="99"/>
        <v>-594.22759999999994</v>
      </c>
    </row>
    <row r="3454" spans="1:17" x14ac:dyDescent="0.3">
      <c r="A3454" s="366" t="str">
        <f>IFERROR(VLOOKUP(RIGHT(E3454,3)+0,[1]SchLocTable!$A$2:$B$47,2,FALSE)," ")</f>
        <v xml:space="preserve"> </v>
      </c>
      <c r="B3454" s="366" t="str">
        <f>VLOOKUP(VALUE(D3454),$D$3:F$106,3,FALSE)</f>
        <v>Human Resources</v>
      </c>
      <c r="C3454" t="s">
        <v>314</v>
      </c>
      <c r="D3454">
        <v>866</v>
      </c>
      <c r="E3454" t="s">
        <v>1078</v>
      </c>
      <c r="F3454" t="s">
        <v>356</v>
      </c>
      <c r="G3454" t="s">
        <v>319</v>
      </c>
      <c r="H3454" s="502">
        <v>51156</v>
      </c>
      <c r="I3454" s="415">
        <v>9785.0205999999998</v>
      </c>
      <c r="J3454" s="415">
        <v>0</v>
      </c>
      <c r="K3454" s="415">
        <v>6576.93</v>
      </c>
      <c r="L3454" s="415">
        <v>0</v>
      </c>
      <c r="M3454" s="415">
        <v>0</v>
      </c>
      <c r="N3454" s="415">
        <v>2286</v>
      </c>
      <c r="O3454" s="415">
        <v>2076.09</v>
      </c>
      <c r="P3454" s="415">
        <v>6407.37</v>
      </c>
      <c r="Q3454" s="481">
        <f t="shared" si="99"/>
        <v>-9785.0205999999998</v>
      </c>
    </row>
    <row r="3455" spans="1:17" x14ac:dyDescent="0.3">
      <c r="A3455" s="366" t="str">
        <f>IFERROR(VLOOKUP(RIGHT(E3455,3)+0,[1]SchLocTable!$A$2:$B$47,2,FALSE)," ")</f>
        <v xml:space="preserve"> </v>
      </c>
      <c r="B3455" s="366" t="str">
        <f>VLOOKUP(VALUE(D3455),$D$3:F$106,3,FALSE)</f>
        <v>Pupil Services/Stud Assign</v>
      </c>
      <c r="C3455" t="s">
        <v>314</v>
      </c>
      <c r="D3455">
        <v>867</v>
      </c>
      <c r="E3455" t="s">
        <v>1080</v>
      </c>
      <c r="F3455" t="s">
        <v>975</v>
      </c>
      <c r="G3455" t="s">
        <v>319</v>
      </c>
      <c r="H3455" s="502">
        <v>56075</v>
      </c>
      <c r="I3455" s="415">
        <v>0</v>
      </c>
      <c r="J3455" s="415">
        <v>0</v>
      </c>
      <c r="K3455" s="415">
        <v>0</v>
      </c>
      <c r="L3455" s="415">
        <v>0</v>
      </c>
      <c r="M3455" s="415">
        <v>0</v>
      </c>
      <c r="N3455" s="415">
        <v>0</v>
      </c>
      <c r="O3455" s="415">
        <v>174.5</v>
      </c>
      <c r="P3455" s="415">
        <v>4284.55</v>
      </c>
      <c r="Q3455" s="481">
        <f t="shared" ref="Q3455:Q3518" si="100">J3455-I3455</f>
        <v>0</v>
      </c>
    </row>
    <row r="3456" spans="1:17" x14ac:dyDescent="0.3">
      <c r="A3456" s="366" t="str">
        <f>IFERROR(VLOOKUP(RIGHT(E3456,3)+0,[1]SchLocTable!$A$2:$B$47,2,FALSE)," ")</f>
        <v xml:space="preserve"> </v>
      </c>
      <c r="B3456" s="366" t="str">
        <f>VLOOKUP(VALUE(D3456),$D$3:F$106,3,FALSE)</f>
        <v>Pupil Services/Stud Assign</v>
      </c>
      <c r="C3456" t="s">
        <v>314</v>
      </c>
      <c r="D3456">
        <v>867</v>
      </c>
      <c r="E3456" t="s">
        <v>1080</v>
      </c>
      <c r="F3456" t="s">
        <v>316</v>
      </c>
      <c r="G3456" t="s">
        <v>319</v>
      </c>
      <c r="H3456" s="502">
        <v>51000</v>
      </c>
      <c r="I3456" s="415">
        <v>0</v>
      </c>
      <c r="J3456" s="415">
        <v>0</v>
      </c>
      <c r="K3456" s="415">
        <v>0</v>
      </c>
      <c r="L3456" s="415">
        <v>15668.19</v>
      </c>
      <c r="M3456" s="415">
        <v>48239.57</v>
      </c>
      <c r="N3456" s="415">
        <v>46907.99</v>
      </c>
      <c r="O3456" s="415">
        <v>46594.78</v>
      </c>
      <c r="P3456" s="415">
        <v>49975.040000000001</v>
      </c>
      <c r="Q3456" s="481">
        <f t="shared" si="100"/>
        <v>0</v>
      </c>
    </row>
    <row r="3457" spans="1:17" x14ac:dyDescent="0.3">
      <c r="A3457" s="366" t="str">
        <f>IFERROR(VLOOKUP(RIGHT(E3457,3)+0,[1]SchLocTable!$A$2:$B$47,2,FALSE)," ")</f>
        <v xml:space="preserve"> </v>
      </c>
      <c r="B3457" s="366" t="str">
        <f>VLOOKUP(VALUE(D3457),$D$3:F$106,3,FALSE)</f>
        <v>Pupil Services/Stud Assign</v>
      </c>
      <c r="C3457" t="s">
        <v>314</v>
      </c>
      <c r="D3457">
        <v>867</v>
      </c>
      <c r="E3457" t="s">
        <v>1080</v>
      </c>
      <c r="F3457" t="s">
        <v>321</v>
      </c>
      <c r="G3457" t="s">
        <v>319</v>
      </c>
      <c r="H3457" s="502">
        <v>52917</v>
      </c>
      <c r="I3457" s="415">
        <v>0</v>
      </c>
      <c r="J3457" s="415">
        <v>0</v>
      </c>
      <c r="K3457" s="415">
        <v>0</v>
      </c>
      <c r="L3457" s="415">
        <v>3492.69</v>
      </c>
      <c r="M3457" s="415">
        <v>12066.89</v>
      </c>
      <c r="N3457" s="415">
        <v>11557.38</v>
      </c>
      <c r="O3457" s="415">
        <v>11229.94</v>
      </c>
      <c r="P3457" s="415">
        <v>24516.17</v>
      </c>
      <c r="Q3457" s="481">
        <f t="shared" si="100"/>
        <v>0</v>
      </c>
    </row>
    <row r="3458" spans="1:17" x14ac:dyDescent="0.3">
      <c r="A3458" s="366" t="str">
        <f>IFERROR(VLOOKUP(RIGHT(E3458,3)+0,[1]SchLocTable!$A$2:$B$47,2,FALSE)," ")</f>
        <v xml:space="preserve"> </v>
      </c>
      <c r="B3458" s="366" t="str">
        <f>VLOOKUP(VALUE(D3458),$D$3:F$106,3,FALSE)</f>
        <v>Pupil Services/Stud Assign</v>
      </c>
      <c r="C3458" t="s">
        <v>314</v>
      </c>
      <c r="D3458">
        <v>867</v>
      </c>
      <c r="E3458" t="s">
        <v>1080</v>
      </c>
      <c r="F3458" t="s">
        <v>809</v>
      </c>
      <c r="G3458" t="s">
        <v>319</v>
      </c>
      <c r="H3458" s="502">
        <v>56130</v>
      </c>
      <c r="I3458" s="415">
        <v>3218.75</v>
      </c>
      <c r="J3458" s="415">
        <v>3125</v>
      </c>
      <c r="K3458" s="415">
        <v>0</v>
      </c>
      <c r="L3458" s="415">
        <v>0</v>
      </c>
      <c r="M3458" s="415">
        <v>0</v>
      </c>
      <c r="N3458" s="415">
        <v>0</v>
      </c>
      <c r="O3458" s="415">
        <v>0</v>
      </c>
      <c r="P3458" s="415">
        <v>0</v>
      </c>
      <c r="Q3458" s="481">
        <f t="shared" si="100"/>
        <v>-93.75</v>
      </c>
    </row>
    <row r="3459" spans="1:17" x14ac:dyDescent="0.3">
      <c r="A3459" s="366" t="str">
        <f>IFERROR(VLOOKUP(RIGHT(E3459,3)+0,[1]SchLocTable!$A$2:$B$47,2,FALSE)," ")</f>
        <v xml:space="preserve"> </v>
      </c>
      <c r="B3459" s="366" t="str">
        <f>VLOOKUP(VALUE(D3459),$D$3:F$106,3,FALSE)</f>
        <v>Pupil Services/Stud Assign</v>
      </c>
      <c r="C3459" t="s">
        <v>314</v>
      </c>
      <c r="D3459">
        <v>867</v>
      </c>
      <c r="E3459" t="s">
        <v>1080</v>
      </c>
      <c r="F3459" t="s">
        <v>318</v>
      </c>
      <c r="G3459" t="s">
        <v>319</v>
      </c>
      <c r="H3459" s="502">
        <v>51140</v>
      </c>
      <c r="I3459" s="415">
        <v>0</v>
      </c>
      <c r="J3459" s="415">
        <v>0</v>
      </c>
      <c r="K3459" s="415">
        <v>0</v>
      </c>
      <c r="L3459" s="415">
        <v>0</v>
      </c>
      <c r="M3459" s="415">
        <v>1100</v>
      </c>
      <c r="N3459" s="415">
        <v>0</v>
      </c>
      <c r="O3459" s="415">
        <v>0</v>
      </c>
      <c r="P3459" s="415">
        <v>3337.5</v>
      </c>
      <c r="Q3459" s="481">
        <f t="shared" si="100"/>
        <v>0</v>
      </c>
    </row>
    <row r="3460" spans="1:17" x14ac:dyDescent="0.3">
      <c r="A3460" s="366" t="str">
        <f>IFERROR(VLOOKUP(RIGHT(E3460,3)+0,[1]SchLocTable!$A$2:$B$47,2,FALSE)," ")</f>
        <v xml:space="preserve"> </v>
      </c>
      <c r="B3460" s="366" t="str">
        <f>VLOOKUP(VALUE(D3460),$D$3:F$106,3,FALSE)</f>
        <v>Pupil Services/Stud Assign</v>
      </c>
      <c r="C3460" t="s">
        <v>314</v>
      </c>
      <c r="D3460">
        <v>867</v>
      </c>
      <c r="E3460" t="s">
        <v>1080</v>
      </c>
      <c r="F3460" t="s">
        <v>949</v>
      </c>
      <c r="G3460" t="s">
        <v>319</v>
      </c>
      <c r="H3460" s="502">
        <v>56165</v>
      </c>
      <c r="I3460" s="415">
        <v>4995.5</v>
      </c>
      <c r="J3460" s="415">
        <v>4850</v>
      </c>
      <c r="K3460" s="415">
        <v>0</v>
      </c>
      <c r="L3460" s="415">
        <v>0</v>
      </c>
      <c r="M3460" s="415">
        <v>0</v>
      </c>
      <c r="N3460" s="415">
        <v>0</v>
      </c>
      <c r="O3460" s="415">
        <v>0</v>
      </c>
      <c r="P3460" s="415">
        <v>0</v>
      </c>
      <c r="Q3460" s="481">
        <f t="shared" si="100"/>
        <v>-145.5</v>
      </c>
    </row>
    <row r="3461" spans="1:17" x14ac:dyDescent="0.3">
      <c r="A3461" s="366" t="str">
        <f>IFERROR(VLOOKUP(RIGHT(E3461,3)+0,[1]SchLocTable!$A$2:$B$47,2,FALSE)," ")</f>
        <v xml:space="preserve"> </v>
      </c>
      <c r="B3461" s="366" t="str">
        <f>VLOOKUP(VALUE(D3461),$D$3:F$106,3,FALSE)</f>
        <v>Pupil Services/Stud Assign</v>
      </c>
      <c r="C3461" t="s">
        <v>314</v>
      </c>
      <c r="D3461">
        <v>867</v>
      </c>
      <c r="E3461" t="s">
        <v>1080</v>
      </c>
      <c r="F3461" t="s">
        <v>320</v>
      </c>
      <c r="G3461" t="s">
        <v>319</v>
      </c>
      <c r="H3461" s="502">
        <v>52360</v>
      </c>
      <c r="I3461" s="415">
        <v>0</v>
      </c>
      <c r="J3461" s="415">
        <v>0</v>
      </c>
      <c r="K3461" s="415">
        <v>0</v>
      </c>
      <c r="L3461" s="415">
        <v>209.58</v>
      </c>
      <c r="M3461" s="415">
        <v>654.72</v>
      </c>
      <c r="N3461" s="415">
        <v>581.51</v>
      </c>
      <c r="O3461" s="415">
        <v>705.87</v>
      </c>
      <c r="P3461" s="415">
        <v>886.25</v>
      </c>
      <c r="Q3461" s="481">
        <f t="shared" si="100"/>
        <v>0</v>
      </c>
    </row>
    <row r="3462" spans="1:17" x14ac:dyDescent="0.3">
      <c r="A3462" s="366" t="str">
        <f>IFERROR(VLOOKUP(RIGHT(E3462,3)+0,[1]SchLocTable!$A$2:$B$47,2,FALSE)," ")</f>
        <v xml:space="preserve"> </v>
      </c>
      <c r="B3462" s="366" t="str">
        <f>VLOOKUP(VALUE(D3462),$D$3:F$106,3,FALSE)</f>
        <v>Pupil Services/Stud Assign</v>
      </c>
      <c r="C3462" t="s">
        <v>314</v>
      </c>
      <c r="D3462">
        <v>867</v>
      </c>
      <c r="E3462" t="s">
        <v>1080</v>
      </c>
      <c r="F3462" t="s">
        <v>458</v>
      </c>
      <c r="G3462" t="s">
        <v>319</v>
      </c>
      <c r="H3462" s="502">
        <v>54675</v>
      </c>
      <c r="I3462" s="415">
        <v>1545</v>
      </c>
      <c r="J3462" s="415">
        <v>1500</v>
      </c>
      <c r="K3462" s="415">
        <v>0</v>
      </c>
      <c r="L3462" s="415">
        <v>0</v>
      </c>
      <c r="M3462" s="415">
        <v>0</v>
      </c>
      <c r="N3462" s="415">
        <v>749.24</v>
      </c>
      <c r="O3462" s="415">
        <v>0</v>
      </c>
      <c r="P3462" s="415">
        <v>196.92</v>
      </c>
      <c r="Q3462" s="481">
        <f t="shared" si="100"/>
        <v>-45</v>
      </c>
    </row>
    <row r="3463" spans="1:17" x14ac:dyDescent="0.3">
      <c r="A3463" s="366" t="str">
        <f>IFERROR(VLOOKUP(RIGHT(E3463,3)+0,[1]SchLocTable!$A$2:$B$47,2,FALSE)," ")</f>
        <v xml:space="preserve"> </v>
      </c>
      <c r="B3463" s="366" t="str">
        <f>VLOOKUP(VALUE(D3463),$D$3:F$106,3,FALSE)</f>
        <v>Pupil Services/Stud Assign</v>
      </c>
      <c r="C3463" t="s">
        <v>314</v>
      </c>
      <c r="D3463">
        <v>867</v>
      </c>
      <c r="E3463" t="s">
        <v>1080</v>
      </c>
      <c r="F3463" t="s">
        <v>459</v>
      </c>
      <c r="G3463" t="s">
        <v>319</v>
      </c>
      <c r="H3463" s="502">
        <v>59015</v>
      </c>
      <c r="I3463" s="415">
        <v>5170.6000000000004</v>
      </c>
      <c r="J3463" s="415">
        <v>5020</v>
      </c>
      <c r="K3463" s="415">
        <v>0</v>
      </c>
      <c r="L3463" s="415">
        <v>0</v>
      </c>
      <c r="M3463" s="415">
        <v>0</v>
      </c>
      <c r="N3463" s="415">
        <v>0</v>
      </c>
      <c r="O3463" s="415">
        <v>0</v>
      </c>
      <c r="P3463" s="415">
        <v>0</v>
      </c>
      <c r="Q3463" s="481">
        <f t="shared" si="100"/>
        <v>-150.60000000000036</v>
      </c>
    </row>
    <row r="3464" spans="1:17" x14ac:dyDescent="0.3">
      <c r="A3464" s="366" t="str">
        <f>IFERROR(VLOOKUP(RIGHT(E3464,3)+0,[1]SchLocTable!$A$2:$B$47,2,FALSE)," ")</f>
        <v xml:space="preserve"> </v>
      </c>
      <c r="B3464" s="366" t="str">
        <f>VLOOKUP(VALUE(D3464),$D$3:F$106,3,FALSE)</f>
        <v>Pupil Services/Stud Assign</v>
      </c>
      <c r="C3464" t="s">
        <v>314</v>
      </c>
      <c r="D3464">
        <v>867</v>
      </c>
      <c r="E3464" t="s">
        <v>1080</v>
      </c>
      <c r="F3464" t="s">
        <v>560</v>
      </c>
      <c r="G3464" t="s">
        <v>319</v>
      </c>
      <c r="H3464" s="502">
        <v>51404</v>
      </c>
      <c r="I3464" s="415">
        <v>0</v>
      </c>
      <c r="J3464" s="415">
        <v>0</v>
      </c>
      <c r="K3464" s="415">
        <v>0</v>
      </c>
      <c r="L3464" s="415">
        <v>50</v>
      </c>
      <c r="M3464" s="415">
        <v>550</v>
      </c>
      <c r="N3464" s="415">
        <v>0</v>
      </c>
      <c r="O3464" s="415">
        <v>0</v>
      </c>
      <c r="P3464" s="415">
        <v>0</v>
      </c>
      <c r="Q3464" s="481">
        <f t="shared" si="100"/>
        <v>0</v>
      </c>
    </row>
    <row r="3465" spans="1:17" x14ac:dyDescent="0.3">
      <c r="A3465" s="366" t="str">
        <f>IFERROR(VLOOKUP(RIGHT(E3465,3)+0,[1]SchLocTable!$A$2:$B$47,2,FALSE)," ")</f>
        <v xml:space="preserve"> </v>
      </c>
      <c r="B3465" s="366" t="str">
        <f>VLOOKUP(VALUE(D3465),$D$3:F$106,3,FALSE)</f>
        <v>Student Data Support</v>
      </c>
      <c r="C3465" t="s">
        <v>314</v>
      </c>
      <c r="D3465">
        <v>868</v>
      </c>
      <c r="E3465" t="s">
        <v>1081</v>
      </c>
      <c r="F3465" t="s">
        <v>474</v>
      </c>
      <c r="G3465" t="s">
        <v>319</v>
      </c>
      <c r="H3465" s="502">
        <v>54550</v>
      </c>
      <c r="I3465" s="415">
        <v>356318.2721</v>
      </c>
      <c r="J3465" s="415">
        <v>365702.93</v>
      </c>
      <c r="K3465" s="415">
        <v>0</v>
      </c>
      <c r="L3465" s="415">
        <v>0</v>
      </c>
      <c r="M3465" s="415">
        <v>0</v>
      </c>
      <c r="N3465" s="415">
        <v>0</v>
      </c>
      <c r="O3465" s="415">
        <v>0</v>
      </c>
      <c r="P3465" s="415">
        <v>0</v>
      </c>
      <c r="Q3465" s="481">
        <f t="shared" si="100"/>
        <v>9384.6578999999911</v>
      </c>
    </row>
    <row r="3466" spans="1:17" x14ac:dyDescent="0.3">
      <c r="A3466" s="366" t="str">
        <f>IFERROR(VLOOKUP(RIGHT(E3466,3)+0,[1]SchLocTable!$A$2:$B$47,2,FALSE)," ")</f>
        <v xml:space="preserve"> </v>
      </c>
      <c r="B3466" s="366" t="str">
        <f>VLOOKUP(VALUE(D3466),$D$3:F$106,3,FALSE)</f>
        <v>Student Data Support</v>
      </c>
      <c r="C3466" t="s">
        <v>314</v>
      </c>
      <c r="D3466">
        <v>868</v>
      </c>
      <c r="E3466" t="s">
        <v>1081</v>
      </c>
      <c r="F3466" t="s">
        <v>316</v>
      </c>
      <c r="G3466">
        <v>6</v>
      </c>
      <c r="H3466" s="502">
        <v>51000</v>
      </c>
      <c r="I3466" s="415">
        <v>646265.85649599996</v>
      </c>
      <c r="J3466" s="415">
        <v>578800.24</v>
      </c>
      <c r="K3466" s="415">
        <v>557954.19999999995</v>
      </c>
      <c r="L3466" s="415">
        <v>376548.78</v>
      </c>
      <c r="M3466" s="415">
        <v>246310.66</v>
      </c>
      <c r="N3466" s="415">
        <v>292014.13</v>
      </c>
      <c r="O3466" s="415">
        <v>339607.7</v>
      </c>
      <c r="P3466" s="415">
        <v>313494.46000000002</v>
      </c>
      <c r="Q3466" s="481">
        <f t="shared" si="100"/>
        <v>-67465.616495999973</v>
      </c>
    </row>
    <row r="3467" spans="1:17" x14ac:dyDescent="0.3">
      <c r="A3467" s="366" t="str">
        <f>IFERROR(VLOOKUP(RIGHT(E3467,3)+0,[1]SchLocTable!$A$2:$B$47,2,FALSE)," ")</f>
        <v xml:space="preserve"> </v>
      </c>
      <c r="B3467" s="366" t="str">
        <f>VLOOKUP(VALUE(D3467),$D$3:F$106,3,FALSE)</f>
        <v>Student Data Support</v>
      </c>
      <c r="C3467" t="s">
        <v>314</v>
      </c>
      <c r="D3467">
        <v>868</v>
      </c>
      <c r="E3467" t="s">
        <v>1081</v>
      </c>
      <c r="F3467" t="s">
        <v>360</v>
      </c>
      <c r="G3467" t="s">
        <v>319</v>
      </c>
      <c r="H3467" s="502">
        <v>52920</v>
      </c>
      <c r="I3467" s="415">
        <v>2500</v>
      </c>
      <c r="J3467" s="415">
        <v>500</v>
      </c>
      <c r="K3467" s="415">
        <v>6000</v>
      </c>
      <c r="L3467" s="415">
        <v>3750</v>
      </c>
      <c r="M3467" s="415">
        <v>1500</v>
      </c>
      <c r="N3467" s="415">
        <v>375</v>
      </c>
      <c r="O3467" s="415">
        <v>0</v>
      </c>
      <c r="P3467" s="415">
        <v>0</v>
      </c>
      <c r="Q3467" s="481">
        <f t="shared" si="100"/>
        <v>-2000</v>
      </c>
    </row>
    <row r="3468" spans="1:17" x14ac:dyDescent="0.3">
      <c r="A3468" s="366" t="str">
        <f>IFERROR(VLOOKUP(RIGHT(E3468,3)+0,[1]SchLocTable!$A$2:$B$47,2,FALSE)," ")</f>
        <v xml:space="preserve"> </v>
      </c>
      <c r="B3468" s="366" t="str">
        <f>VLOOKUP(VALUE(D3468),$D$3:F$106,3,FALSE)</f>
        <v>Student Data Support</v>
      </c>
      <c r="C3468" t="s">
        <v>314</v>
      </c>
      <c r="D3468">
        <v>868</v>
      </c>
      <c r="E3468" t="s">
        <v>1081</v>
      </c>
      <c r="F3468" t="s">
        <v>321</v>
      </c>
      <c r="G3468" t="s">
        <v>319</v>
      </c>
      <c r="H3468" s="502">
        <v>52917</v>
      </c>
      <c r="I3468" s="415">
        <v>65101.919999999998</v>
      </c>
      <c r="J3468" s="415">
        <v>53873.74</v>
      </c>
      <c r="K3468" s="415">
        <v>54238.12</v>
      </c>
      <c r="L3468" s="415">
        <v>61412.37</v>
      </c>
      <c r="M3468" s="415">
        <v>58967.55</v>
      </c>
      <c r="N3468" s="415">
        <v>69538.740000000005</v>
      </c>
      <c r="O3468" s="415">
        <v>90638.62</v>
      </c>
      <c r="P3468" s="415">
        <v>94222.3</v>
      </c>
      <c r="Q3468" s="481">
        <f t="shared" si="100"/>
        <v>-11228.18</v>
      </c>
    </row>
    <row r="3469" spans="1:17" x14ac:dyDescent="0.3">
      <c r="A3469" s="366" t="str">
        <f>IFERROR(VLOOKUP(RIGHT(E3469,3)+0,[1]SchLocTable!$A$2:$B$47,2,FALSE)," ")</f>
        <v xml:space="preserve"> </v>
      </c>
      <c r="B3469" s="366" t="str">
        <f>VLOOKUP(VALUE(D3469),$D$3:F$106,3,FALSE)</f>
        <v>Student Data Support</v>
      </c>
      <c r="C3469" t="s">
        <v>314</v>
      </c>
      <c r="D3469">
        <v>868</v>
      </c>
      <c r="E3469" t="s">
        <v>1081</v>
      </c>
      <c r="F3469" t="s">
        <v>318</v>
      </c>
      <c r="G3469" t="s">
        <v>319</v>
      </c>
      <c r="H3469" s="502">
        <v>51140</v>
      </c>
      <c r="I3469" s="415">
        <v>1800</v>
      </c>
      <c r="J3469" s="415">
        <v>0</v>
      </c>
      <c r="K3469" s="415">
        <v>1725</v>
      </c>
      <c r="L3469" s="415">
        <v>1650</v>
      </c>
      <c r="M3469" s="415">
        <v>3400</v>
      </c>
      <c r="N3469" s="415">
        <v>3495</v>
      </c>
      <c r="O3469" s="415">
        <v>2400</v>
      </c>
      <c r="P3469" s="415">
        <v>2250</v>
      </c>
      <c r="Q3469" s="481">
        <f t="shared" si="100"/>
        <v>-1800</v>
      </c>
    </row>
    <row r="3470" spans="1:17" x14ac:dyDescent="0.3">
      <c r="A3470" s="366" t="str">
        <f>IFERROR(VLOOKUP(RIGHT(E3470,3)+0,[1]SchLocTable!$A$2:$B$47,2,FALSE)," ")</f>
        <v xml:space="preserve"> </v>
      </c>
      <c r="B3470" s="366" t="str">
        <f>VLOOKUP(VALUE(D3470),$D$3:F$106,3,FALSE)</f>
        <v>Student Data Support</v>
      </c>
      <c r="C3470" t="s">
        <v>314</v>
      </c>
      <c r="D3470">
        <v>868</v>
      </c>
      <c r="E3470" t="s">
        <v>1081</v>
      </c>
      <c r="F3470" t="s">
        <v>320</v>
      </c>
      <c r="G3470" t="s">
        <v>319</v>
      </c>
      <c r="H3470" s="502">
        <v>52360</v>
      </c>
      <c r="I3470" s="415">
        <v>9407.1049191919992</v>
      </c>
      <c r="J3470" s="415">
        <v>8455.9599999999991</v>
      </c>
      <c r="K3470" s="415">
        <v>8229.16</v>
      </c>
      <c r="L3470" s="415">
        <v>5485.03</v>
      </c>
      <c r="M3470" s="415">
        <v>3563.22</v>
      </c>
      <c r="N3470" s="415">
        <v>4288.55</v>
      </c>
      <c r="O3470" s="415">
        <v>4642.3</v>
      </c>
      <c r="P3470" s="415">
        <v>4235.55</v>
      </c>
      <c r="Q3470" s="481">
        <f t="shared" si="100"/>
        <v>-951.14491919200009</v>
      </c>
    </row>
    <row r="3471" spans="1:17" x14ac:dyDescent="0.3">
      <c r="A3471" s="366" t="str">
        <f>IFERROR(VLOOKUP(RIGHT(E3471,3)+0,[1]SchLocTable!$A$2:$B$47,2,FALSE)," ")</f>
        <v xml:space="preserve"> </v>
      </c>
      <c r="B3471" s="366" t="str">
        <f>VLOOKUP(VALUE(D3471),$D$3:F$106,3,FALSE)</f>
        <v>Student Data Support</v>
      </c>
      <c r="C3471" t="s">
        <v>314</v>
      </c>
      <c r="D3471">
        <v>868</v>
      </c>
      <c r="E3471" t="s">
        <v>1081</v>
      </c>
      <c r="F3471" t="s">
        <v>392</v>
      </c>
      <c r="G3471" t="s">
        <v>319</v>
      </c>
      <c r="H3471" s="502">
        <v>52504</v>
      </c>
      <c r="I3471" s="415">
        <v>134813.54497986881</v>
      </c>
      <c r="J3471" s="415">
        <v>121257.21</v>
      </c>
      <c r="K3471" s="415">
        <v>118878.41</v>
      </c>
      <c r="L3471" s="415">
        <v>67285.259999999995</v>
      </c>
      <c r="M3471" s="415">
        <v>59641.77</v>
      </c>
      <c r="N3471" s="415">
        <v>53280.36</v>
      </c>
      <c r="O3471" s="415">
        <v>56332.02</v>
      </c>
      <c r="P3471" s="415">
        <v>45597.96</v>
      </c>
      <c r="Q3471" s="481">
        <f t="shared" si="100"/>
        <v>-13556.3349798688</v>
      </c>
    </row>
    <row r="3472" spans="1:17" x14ac:dyDescent="0.3">
      <c r="A3472" s="366" t="str">
        <f>IFERROR(VLOOKUP(RIGHT(E3472,3)+0,[1]SchLocTable!$A$2:$B$47,2,FALSE)," ")</f>
        <v xml:space="preserve"> </v>
      </c>
      <c r="B3472" s="366" t="str">
        <f>VLOOKUP(VALUE(D3472),$D$3:F$106,3,FALSE)</f>
        <v>Student Data Support</v>
      </c>
      <c r="C3472" t="s">
        <v>314</v>
      </c>
      <c r="D3472">
        <v>868</v>
      </c>
      <c r="E3472" t="s">
        <v>1081</v>
      </c>
      <c r="F3472" t="s">
        <v>458</v>
      </c>
      <c r="G3472" t="s">
        <v>319</v>
      </c>
      <c r="H3472" s="502">
        <v>54675</v>
      </c>
      <c r="I3472" s="415">
        <v>1030</v>
      </c>
      <c r="J3472" s="415">
        <v>1000</v>
      </c>
      <c r="K3472" s="415">
        <v>0</v>
      </c>
      <c r="L3472" s="415">
        <v>0</v>
      </c>
      <c r="M3472" s="415">
        <v>0</v>
      </c>
      <c r="N3472" s="415">
        <v>0</v>
      </c>
      <c r="O3472" s="415">
        <v>0</v>
      </c>
      <c r="P3472" s="415">
        <v>0</v>
      </c>
      <c r="Q3472" s="481">
        <f t="shared" si="100"/>
        <v>-30</v>
      </c>
    </row>
    <row r="3473" spans="1:17" x14ac:dyDescent="0.3">
      <c r="A3473" s="366" t="str">
        <f>IFERROR(VLOOKUP(RIGHT(E3473,3)+0,[1]SchLocTable!$A$2:$B$47,2,FALSE)," ")</f>
        <v xml:space="preserve"> </v>
      </c>
      <c r="B3473" s="366" t="str">
        <f>VLOOKUP(VALUE(D3473),$D$3:F$106,3,FALSE)</f>
        <v>Student Data Support</v>
      </c>
      <c r="C3473" t="s">
        <v>314</v>
      </c>
      <c r="D3473">
        <v>868</v>
      </c>
      <c r="E3473" t="s">
        <v>1081</v>
      </c>
      <c r="F3473" t="s">
        <v>419</v>
      </c>
      <c r="G3473" t="s">
        <v>319</v>
      </c>
      <c r="H3473" s="502">
        <v>51318</v>
      </c>
      <c r="I3473" s="415">
        <v>0</v>
      </c>
      <c r="J3473" s="415">
        <v>0</v>
      </c>
      <c r="K3473" s="415">
        <v>0</v>
      </c>
      <c r="L3473" s="415">
        <v>0</v>
      </c>
      <c r="M3473" s="415">
        <v>0</v>
      </c>
      <c r="N3473" s="415">
        <v>149.26</v>
      </c>
      <c r="O3473" s="415">
        <v>0</v>
      </c>
      <c r="P3473" s="415">
        <v>0</v>
      </c>
      <c r="Q3473" s="481">
        <f t="shared" si="100"/>
        <v>0</v>
      </c>
    </row>
    <row r="3474" spans="1:17" x14ac:dyDescent="0.3">
      <c r="A3474" s="366" t="str">
        <f>IFERROR(VLOOKUP(RIGHT(E3474,3)+0,[1]SchLocTable!$A$2:$B$47,2,FALSE)," ")</f>
        <v xml:space="preserve"> </v>
      </c>
      <c r="B3474" s="366" t="str">
        <f>VLOOKUP(VALUE(D3474),$D$3:F$106,3,FALSE)</f>
        <v>Student Data Support</v>
      </c>
      <c r="C3474" t="s">
        <v>314</v>
      </c>
      <c r="D3474">
        <v>868</v>
      </c>
      <c r="E3474" t="s">
        <v>1081</v>
      </c>
      <c r="F3474" t="s">
        <v>931</v>
      </c>
      <c r="G3474" t="s">
        <v>319</v>
      </c>
      <c r="H3474" s="502">
        <v>56225</v>
      </c>
      <c r="I3474" s="415">
        <v>1854</v>
      </c>
      <c r="J3474" s="415">
        <v>1800</v>
      </c>
      <c r="K3474" s="415">
        <v>0</v>
      </c>
      <c r="L3474" s="415">
        <v>0</v>
      </c>
      <c r="M3474" s="415">
        <v>0</v>
      </c>
      <c r="N3474" s="415">
        <v>0</v>
      </c>
      <c r="O3474" s="415">
        <v>0</v>
      </c>
      <c r="P3474" s="415">
        <v>0</v>
      </c>
      <c r="Q3474" s="481">
        <f t="shared" si="100"/>
        <v>-54</v>
      </c>
    </row>
    <row r="3475" spans="1:17" x14ac:dyDescent="0.3">
      <c r="A3475" s="366" t="str">
        <f>IFERROR(VLOOKUP(RIGHT(E3475,3)+0,[1]SchLocTable!$A$2:$B$47,2,FALSE)," ")</f>
        <v xml:space="preserve"> </v>
      </c>
      <c r="B3475" s="366" t="str">
        <f>VLOOKUP(VALUE(D3475),$D$3:F$106,3,FALSE)</f>
        <v>Student Data Support</v>
      </c>
      <c r="C3475" t="s">
        <v>314</v>
      </c>
      <c r="D3475">
        <v>868</v>
      </c>
      <c r="E3475" t="s">
        <v>1081</v>
      </c>
      <c r="F3475" t="s">
        <v>324</v>
      </c>
      <c r="G3475" t="s">
        <v>319</v>
      </c>
      <c r="H3475" s="502">
        <v>52385</v>
      </c>
      <c r="I3475" s="415">
        <v>0</v>
      </c>
      <c r="J3475" s="415">
        <v>0</v>
      </c>
      <c r="K3475" s="415">
        <v>66.760000000000005</v>
      </c>
      <c r="L3475" s="415">
        <v>3643.47</v>
      </c>
      <c r="M3475" s="415">
        <v>905.31</v>
      </c>
      <c r="N3475" s="415">
        <v>1486.5</v>
      </c>
      <c r="O3475" s="415">
        <v>0</v>
      </c>
      <c r="P3475" s="415">
        <v>0</v>
      </c>
      <c r="Q3475" s="481">
        <f t="shared" si="100"/>
        <v>0</v>
      </c>
    </row>
    <row r="3476" spans="1:17" x14ac:dyDescent="0.3">
      <c r="A3476" s="366" t="str">
        <f>IFERROR(VLOOKUP(RIGHT(E3476,3)+0,[1]SchLocTable!$A$2:$B$47,2,FALSE)," ")</f>
        <v xml:space="preserve"> </v>
      </c>
      <c r="B3476" s="366" t="str">
        <f>VLOOKUP(VALUE(D3476),$D$3:F$106,3,FALSE)</f>
        <v>Student Data Support</v>
      </c>
      <c r="C3476" t="s">
        <v>314</v>
      </c>
      <c r="D3476">
        <v>868</v>
      </c>
      <c r="E3476" t="s">
        <v>1081</v>
      </c>
      <c r="F3476" t="s">
        <v>560</v>
      </c>
      <c r="G3476" t="s">
        <v>319</v>
      </c>
      <c r="H3476" s="502">
        <v>51404</v>
      </c>
      <c r="I3476" s="415">
        <v>0</v>
      </c>
      <c r="J3476" s="415">
        <v>510</v>
      </c>
      <c r="K3476" s="415">
        <v>1320</v>
      </c>
      <c r="L3476" s="415">
        <v>45</v>
      </c>
      <c r="M3476" s="415">
        <v>180</v>
      </c>
      <c r="N3476" s="415">
        <v>0</v>
      </c>
      <c r="O3476" s="415">
        <v>30</v>
      </c>
      <c r="P3476" s="415">
        <v>180</v>
      </c>
      <c r="Q3476" s="481">
        <f t="shared" si="100"/>
        <v>510</v>
      </c>
    </row>
    <row r="3477" spans="1:17" x14ac:dyDescent="0.3">
      <c r="A3477" s="366" t="str">
        <f>IFERROR(VLOOKUP(RIGHT(E3477,3)+0,[1]SchLocTable!$A$2:$B$47,2,FALSE)," ")</f>
        <v xml:space="preserve"> </v>
      </c>
      <c r="B3477" s="366" t="str">
        <f>VLOOKUP(VALUE(D3477),$D$3:F$106,3,FALSE)</f>
        <v>Student Data Support</v>
      </c>
      <c r="C3477" t="s">
        <v>314</v>
      </c>
      <c r="D3477">
        <v>868</v>
      </c>
      <c r="E3477" t="s">
        <v>1081</v>
      </c>
      <c r="F3477" t="s">
        <v>1082</v>
      </c>
      <c r="G3477" t="s">
        <v>319</v>
      </c>
      <c r="H3477" s="502">
        <v>51155</v>
      </c>
      <c r="I3477" s="415">
        <v>0</v>
      </c>
      <c r="J3477" s="415">
        <v>0</v>
      </c>
      <c r="K3477" s="415">
        <v>1783.51</v>
      </c>
      <c r="L3477" s="415">
        <v>0</v>
      </c>
      <c r="M3477" s="415">
        <v>0</v>
      </c>
      <c r="N3477" s="415">
        <v>0</v>
      </c>
      <c r="O3477" s="415">
        <v>0</v>
      </c>
      <c r="P3477" s="415">
        <v>0</v>
      </c>
      <c r="Q3477" s="481">
        <f t="shared" si="100"/>
        <v>0</v>
      </c>
    </row>
    <row r="3478" spans="1:17" x14ac:dyDescent="0.3">
      <c r="A3478" s="366" t="str">
        <f>IFERROR(VLOOKUP(RIGHT(E3478,3)+0,[1]SchLocTable!$A$2:$B$47,2,FALSE)," ")</f>
        <v xml:space="preserve"> </v>
      </c>
      <c r="B3478" s="366" t="str">
        <f>VLOOKUP(VALUE(D3478),$D$3:F$106,3,FALSE)</f>
        <v>Student Data Support</v>
      </c>
      <c r="C3478" t="s">
        <v>314</v>
      </c>
      <c r="D3478">
        <v>868</v>
      </c>
      <c r="E3478" t="s">
        <v>1081</v>
      </c>
      <c r="F3478" t="s">
        <v>418</v>
      </c>
      <c r="G3478" t="s">
        <v>319</v>
      </c>
      <c r="H3478" s="502">
        <v>51314</v>
      </c>
      <c r="I3478" s="415">
        <v>3636.6828000000005</v>
      </c>
      <c r="J3478" s="415">
        <v>0</v>
      </c>
      <c r="K3478" s="415">
        <v>0</v>
      </c>
      <c r="L3478" s="415">
        <v>0</v>
      </c>
      <c r="M3478" s="415">
        <v>0</v>
      </c>
      <c r="N3478" s="415">
        <v>1880.72</v>
      </c>
      <c r="O3478" s="415">
        <v>0</v>
      </c>
      <c r="P3478" s="415">
        <v>0</v>
      </c>
      <c r="Q3478" s="481">
        <f t="shared" si="100"/>
        <v>-3636.6828000000005</v>
      </c>
    </row>
    <row r="3479" spans="1:17" x14ac:dyDescent="0.3">
      <c r="A3479" s="366" t="str">
        <f>IFERROR(VLOOKUP(RIGHT(E3479,3)+0,[1]SchLocTable!$A$2:$B$47,2,FALSE)," ")</f>
        <v xml:space="preserve"> </v>
      </c>
      <c r="B3479" s="366" t="str">
        <f>VLOOKUP(VALUE(D3479),$D$3:F$106,3,FALSE)</f>
        <v>Student Data Support</v>
      </c>
      <c r="C3479" t="s">
        <v>314</v>
      </c>
      <c r="D3479">
        <v>868</v>
      </c>
      <c r="E3479" t="s">
        <v>1081</v>
      </c>
      <c r="F3479" t="s">
        <v>356</v>
      </c>
      <c r="G3479" t="s">
        <v>319</v>
      </c>
      <c r="H3479" s="502">
        <v>51156</v>
      </c>
      <c r="I3479" s="415">
        <v>0</v>
      </c>
      <c r="J3479" s="415">
        <v>0</v>
      </c>
      <c r="K3479" s="415">
        <v>10939.24</v>
      </c>
      <c r="L3479" s="415">
        <v>6349.05</v>
      </c>
      <c r="M3479" s="415">
        <v>4411.7700000000004</v>
      </c>
      <c r="N3479" s="415">
        <v>5420.4</v>
      </c>
      <c r="O3479" s="415">
        <v>7889.38</v>
      </c>
      <c r="P3479" s="415">
        <v>3621.79</v>
      </c>
      <c r="Q3479" s="481">
        <f t="shared" si="100"/>
        <v>0</v>
      </c>
    </row>
    <row r="3480" spans="1:17" x14ac:dyDescent="0.3">
      <c r="A3480" s="366" t="str">
        <f>IFERROR(VLOOKUP(RIGHT(E3480,3)+0,[1]SchLocTable!$A$2:$B$47,2,FALSE)," ")</f>
        <v xml:space="preserve"> </v>
      </c>
      <c r="B3480" s="366" t="str">
        <f>VLOOKUP(VALUE(D3480),$D$3:F$106,3,FALSE)</f>
        <v>Business Office</v>
      </c>
      <c r="C3480" t="s">
        <v>314</v>
      </c>
      <c r="D3480">
        <v>869</v>
      </c>
      <c r="E3480" t="s">
        <v>1083</v>
      </c>
      <c r="F3480" t="s">
        <v>316</v>
      </c>
      <c r="G3480">
        <v>3</v>
      </c>
      <c r="H3480" s="502">
        <v>51000</v>
      </c>
      <c r="I3480" s="415">
        <v>494666.61659999995</v>
      </c>
      <c r="J3480" s="415">
        <v>474347.71</v>
      </c>
      <c r="K3480" s="415">
        <v>460286.87</v>
      </c>
      <c r="L3480" s="415">
        <v>357162.05</v>
      </c>
      <c r="M3480" s="415">
        <v>357415.29</v>
      </c>
      <c r="N3480" s="415">
        <v>332373.48</v>
      </c>
      <c r="O3480" s="415">
        <v>293996.49</v>
      </c>
      <c r="P3480" s="415">
        <v>318727.65999999997</v>
      </c>
      <c r="Q3480" s="481">
        <f t="shared" si="100"/>
        <v>-20318.906599999929</v>
      </c>
    </row>
    <row r="3481" spans="1:17" x14ac:dyDescent="0.3">
      <c r="A3481" s="366" t="str">
        <f>IFERROR(VLOOKUP(RIGHT(E3481,3)+0,[1]SchLocTable!$A$2:$B$47,2,FALSE)," ")</f>
        <v xml:space="preserve"> </v>
      </c>
      <c r="B3481" s="366" t="str">
        <f>VLOOKUP(VALUE(D3481),$D$3:F$106,3,FALSE)</f>
        <v>Business Office</v>
      </c>
      <c r="C3481" t="s">
        <v>314</v>
      </c>
      <c r="D3481">
        <v>869</v>
      </c>
      <c r="E3481" t="s">
        <v>1083</v>
      </c>
      <c r="F3481" t="s">
        <v>360</v>
      </c>
      <c r="G3481" t="s">
        <v>319</v>
      </c>
      <c r="H3481" s="502">
        <v>52920</v>
      </c>
      <c r="I3481" s="415">
        <v>2000</v>
      </c>
      <c r="J3481" s="415">
        <v>2000</v>
      </c>
      <c r="K3481" s="415">
        <v>3000</v>
      </c>
      <c r="L3481" s="415">
        <v>900</v>
      </c>
      <c r="M3481" s="415">
        <v>1000</v>
      </c>
      <c r="N3481" s="415">
        <v>1000</v>
      </c>
      <c r="O3481" s="415">
        <v>0</v>
      </c>
      <c r="P3481" s="415">
        <v>0</v>
      </c>
      <c r="Q3481" s="481">
        <f t="shared" si="100"/>
        <v>0</v>
      </c>
    </row>
    <row r="3482" spans="1:17" x14ac:dyDescent="0.3">
      <c r="A3482" s="366" t="str">
        <f>IFERROR(VLOOKUP(RIGHT(E3482,3)+0,[1]SchLocTable!$A$2:$B$47,2,FALSE)," ")</f>
        <v xml:space="preserve"> </v>
      </c>
      <c r="B3482" s="366" t="str">
        <f>VLOOKUP(VALUE(D3482),$D$3:F$106,3,FALSE)</f>
        <v>Business Office</v>
      </c>
      <c r="C3482" t="s">
        <v>314</v>
      </c>
      <c r="D3482">
        <v>869</v>
      </c>
      <c r="E3482" t="s">
        <v>1083</v>
      </c>
      <c r="F3482" t="s">
        <v>321</v>
      </c>
      <c r="G3482" t="s">
        <v>319</v>
      </c>
      <c r="H3482" s="502">
        <v>52917</v>
      </c>
      <c r="I3482" s="415">
        <v>30557.279999999999</v>
      </c>
      <c r="J3482" s="415">
        <v>25562.34</v>
      </c>
      <c r="K3482" s="415">
        <v>17949.75</v>
      </c>
      <c r="L3482" s="415">
        <v>0</v>
      </c>
      <c r="M3482" s="415">
        <v>1000</v>
      </c>
      <c r="N3482" s="415">
        <v>20823.43</v>
      </c>
      <c r="O3482" s="415">
        <v>23487.84</v>
      </c>
      <c r="P3482" s="415">
        <v>26257.43</v>
      </c>
      <c r="Q3482" s="481">
        <f t="shared" si="100"/>
        <v>-4994.9399999999987</v>
      </c>
    </row>
    <row r="3483" spans="1:17" x14ac:dyDescent="0.3">
      <c r="A3483" s="366" t="str">
        <f>IFERROR(VLOOKUP(RIGHT(E3483,3)+0,[1]SchLocTable!$A$2:$B$47,2,FALSE)," ")</f>
        <v xml:space="preserve"> </v>
      </c>
      <c r="B3483" s="366" t="str">
        <f>VLOOKUP(VALUE(D3483),$D$3:F$106,3,FALSE)</f>
        <v>Business Office</v>
      </c>
      <c r="C3483" t="s">
        <v>314</v>
      </c>
      <c r="D3483">
        <v>869</v>
      </c>
      <c r="E3483" t="s">
        <v>1083</v>
      </c>
      <c r="F3483" t="s">
        <v>318</v>
      </c>
      <c r="G3483" t="s">
        <v>319</v>
      </c>
      <c r="H3483" s="502">
        <v>51140</v>
      </c>
      <c r="I3483" s="415">
        <v>3450</v>
      </c>
      <c r="J3483" s="415">
        <v>0</v>
      </c>
      <c r="K3483" s="415">
        <v>2625</v>
      </c>
      <c r="L3483" s="415">
        <v>750</v>
      </c>
      <c r="M3483" s="415">
        <v>0</v>
      </c>
      <c r="N3483" s="415">
        <v>3368.75</v>
      </c>
      <c r="O3483" s="415">
        <v>1721.25</v>
      </c>
      <c r="P3483" s="415">
        <v>1950</v>
      </c>
      <c r="Q3483" s="481">
        <f t="shared" si="100"/>
        <v>-3450</v>
      </c>
    </row>
    <row r="3484" spans="1:17" x14ac:dyDescent="0.3">
      <c r="A3484" s="366" t="str">
        <f>IFERROR(VLOOKUP(RIGHT(E3484,3)+0,[1]SchLocTable!$A$2:$B$47,2,FALSE)," ")</f>
        <v xml:space="preserve"> </v>
      </c>
      <c r="B3484" s="366" t="str">
        <f>VLOOKUP(VALUE(D3484),$D$3:F$106,3,FALSE)</f>
        <v>Business Office</v>
      </c>
      <c r="C3484" t="s">
        <v>314</v>
      </c>
      <c r="D3484">
        <v>869</v>
      </c>
      <c r="E3484" t="s">
        <v>1083</v>
      </c>
      <c r="F3484" t="s">
        <v>320</v>
      </c>
      <c r="G3484" t="s">
        <v>319</v>
      </c>
      <c r="H3484" s="502">
        <v>52360</v>
      </c>
      <c r="I3484" s="415">
        <v>7201.6659406999997</v>
      </c>
      <c r="J3484" s="415">
        <v>6848.04</v>
      </c>
      <c r="K3484" s="415">
        <v>7004.56</v>
      </c>
      <c r="L3484" s="415">
        <v>5447.42</v>
      </c>
      <c r="M3484" s="415">
        <v>5374.71</v>
      </c>
      <c r="N3484" s="415">
        <v>5975.84</v>
      </c>
      <c r="O3484" s="415">
        <v>4269.6499999999996</v>
      </c>
      <c r="P3484" s="415">
        <v>4879.25</v>
      </c>
      <c r="Q3484" s="481">
        <f t="shared" si="100"/>
        <v>-353.62594069999977</v>
      </c>
    </row>
    <row r="3485" spans="1:17" x14ac:dyDescent="0.3">
      <c r="A3485" s="366" t="str">
        <f>IFERROR(VLOOKUP(RIGHT(E3485,3)+0,[1]SchLocTable!$A$2:$B$47,2,FALSE)," ")</f>
        <v xml:space="preserve"> </v>
      </c>
      <c r="B3485" s="366" t="str">
        <f>VLOOKUP(VALUE(D3485),$D$3:F$106,3,FALSE)</f>
        <v>Business Office</v>
      </c>
      <c r="C3485" t="s">
        <v>314</v>
      </c>
      <c r="D3485">
        <v>869</v>
      </c>
      <c r="E3485" t="s">
        <v>1083</v>
      </c>
      <c r="F3485" t="s">
        <v>392</v>
      </c>
      <c r="G3485" t="s">
        <v>319</v>
      </c>
      <c r="H3485" s="502">
        <v>52504</v>
      </c>
      <c r="I3485" s="415">
        <v>103207.32292948</v>
      </c>
      <c r="J3485" s="415">
        <v>96375</v>
      </c>
      <c r="K3485" s="415">
        <v>80902.210000000006</v>
      </c>
      <c r="L3485" s="415">
        <v>26333.41</v>
      </c>
      <c r="M3485" s="415">
        <v>27388.54</v>
      </c>
      <c r="N3485" s="415">
        <v>26921.84</v>
      </c>
      <c r="O3485" s="415">
        <v>21090.240000000002</v>
      </c>
      <c r="P3485" s="415">
        <v>17224.490000000002</v>
      </c>
      <c r="Q3485" s="481">
        <f t="shared" si="100"/>
        <v>-6832.3229294799967</v>
      </c>
    </row>
    <row r="3486" spans="1:17" x14ac:dyDescent="0.3">
      <c r="A3486" s="366" t="str">
        <f>IFERROR(VLOOKUP(RIGHT(E3486,3)+0,[1]SchLocTable!$A$2:$B$47,2,FALSE)," ")</f>
        <v xml:space="preserve"> </v>
      </c>
      <c r="B3486" s="366" t="str">
        <f>VLOOKUP(VALUE(D3486),$D$3:F$106,3,FALSE)</f>
        <v>Business Office</v>
      </c>
      <c r="C3486" t="s">
        <v>314</v>
      </c>
      <c r="D3486">
        <v>869</v>
      </c>
      <c r="E3486" t="s">
        <v>1083</v>
      </c>
      <c r="F3486" t="s">
        <v>924</v>
      </c>
      <c r="G3486" t="s">
        <v>319</v>
      </c>
      <c r="H3486" s="502">
        <v>55155</v>
      </c>
      <c r="I3486" s="415">
        <v>1394690.0334080001</v>
      </c>
      <c r="J3486" s="415">
        <v>849887</v>
      </c>
      <c r="K3486" s="415">
        <v>805722.07</v>
      </c>
      <c r="L3486" s="415">
        <v>663722.88</v>
      </c>
      <c r="M3486" s="415">
        <v>651783.68000000005</v>
      </c>
      <c r="N3486" s="415">
        <v>541858.48</v>
      </c>
      <c r="O3486" s="415">
        <v>600111.27</v>
      </c>
      <c r="P3486" s="415">
        <v>761246.52</v>
      </c>
      <c r="Q3486" s="481">
        <f t="shared" si="100"/>
        <v>-544803.03340800013</v>
      </c>
    </row>
    <row r="3487" spans="1:17" x14ac:dyDescent="0.3">
      <c r="A3487" s="366" t="str">
        <f>IFERROR(VLOOKUP(RIGHT(E3487,3)+0,[1]SchLocTable!$A$2:$B$47,2,FALSE)," ")</f>
        <v xml:space="preserve"> </v>
      </c>
      <c r="B3487" s="366" t="str">
        <f>VLOOKUP(VALUE(D3487),$D$3:F$106,3,FALSE)</f>
        <v>Business Office</v>
      </c>
      <c r="C3487" t="s">
        <v>314</v>
      </c>
      <c r="D3487">
        <v>869</v>
      </c>
      <c r="E3487" t="s">
        <v>1083</v>
      </c>
      <c r="F3487" t="s">
        <v>324</v>
      </c>
      <c r="G3487" t="s">
        <v>319</v>
      </c>
      <c r="H3487" s="502">
        <v>52385</v>
      </c>
      <c r="I3487" s="415">
        <v>0</v>
      </c>
      <c r="J3487" s="415">
        <v>0</v>
      </c>
      <c r="K3487" s="415">
        <v>3458.18</v>
      </c>
      <c r="L3487" s="415">
        <v>9345.83</v>
      </c>
      <c r="M3487" s="415">
        <v>10025.5</v>
      </c>
      <c r="N3487" s="415">
        <v>8571.74</v>
      </c>
      <c r="O3487" s="415">
        <v>8592.49</v>
      </c>
      <c r="P3487" s="415">
        <v>8287.07</v>
      </c>
      <c r="Q3487" s="481">
        <f t="shared" si="100"/>
        <v>0</v>
      </c>
    </row>
    <row r="3488" spans="1:17" x14ac:dyDescent="0.3">
      <c r="A3488" s="366" t="str">
        <f>IFERROR(VLOOKUP(RIGHT(E3488,3)+0,[1]SchLocTable!$A$2:$B$47,2,FALSE)," ")</f>
        <v xml:space="preserve"> </v>
      </c>
      <c r="B3488" s="366" t="str">
        <f>VLOOKUP(VALUE(D3488),$D$3:F$106,3,FALSE)</f>
        <v>Business Office</v>
      </c>
      <c r="C3488" t="s">
        <v>314</v>
      </c>
      <c r="D3488">
        <v>869</v>
      </c>
      <c r="E3488" t="s">
        <v>1083</v>
      </c>
      <c r="F3488" t="s">
        <v>1082</v>
      </c>
      <c r="G3488" t="s">
        <v>319</v>
      </c>
      <c r="H3488" s="502">
        <v>51155</v>
      </c>
      <c r="I3488" s="415">
        <v>0</v>
      </c>
      <c r="J3488" s="415">
        <v>0</v>
      </c>
      <c r="K3488" s="415">
        <v>516.42999999999995</v>
      </c>
      <c r="L3488" s="415">
        <v>0</v>
      </c>
      <c r="M3488" s="415">
        <v>0</v>
      </c>
      <c r="N3488" s="415">
        <v>0</v>
      </c>
      <c r="O3488" s="415">
        <v>0</v>
      </c>
      <c r="P3488" s="415">
        <v>0</v>
      </c>
      <c r="Q3488" s="481">
        <f t="shared" si="100"/>
        <v>0</v>
      </c>
    </row>
    <row r="3489" spans="1:17" x14ac:dyDescent="0.3">
      <c r="A3489" s="366" t="str">
        <f>IFERROR(VLOOKUP(RIGHT(E3489,3)+0,[1]SchLocTable!$A$2:$B$47,2,FALSE)," ")</f>
        <v xml:space="preserve"> </v>
      </c>
      <c r="B3489" s="366" t="str">
        <f>VLOOKUP(VALUE(D3489),$D$3:F$106,3,FALSE)</f>
        <v>Business Office</v>
      </c>
      <c r="C3489" t="s">
        <v>314</v>
      </c>
      <c r="D3489">
        <v>869</v>
      </c>
      <c r="E3489" t="s">
        <v>1083</v>
      </c>
      <c r="F3489" t="s">
        <v>356</v>
      </c>
      <c r="G3489" t="s">
        <v>319</v>
      </c>
      <c r="H3489" s="502">
        <v>51156</v>
      </c>
      <c r="I3489" s="415">
        <v>0</v>
      </c>
      <c r="J3489" s="415">
        <v>0</v>
      </c>
      <c r="K3489" s="415">
        <v>8568.7999999999993</v>
      </c>
      <c r="L3489" s="415">
        <v>0</v>
      </c>
      <c r="M3489" s="415">
        <v>0</v>
      </c>
      <c r="N3489" s="415">
        <v>4945.6000000000004</v>
      </c>
      <c r="O3489" s="415">
        <v>0</v>
      </c>
      <c r="P3489" s="415">
        <v>0</v>
      </c>
      <c r="Q3489" s="481">
        <f t="shared" si="100"/>
        <v>0</v>
      </c>
    </row>
    <row r="3490" spans="1:17" x14ac:dyDescent="0.3">
      <c r="A3490" s="366" t="str">
        <f>IFERROR(VLOOKUP(RIGHT(E3490,3)+0,[1]SchLocTable!$A$2:$B$47,2,FALSE)," ")</f>
        <v xml:space="preserve"> </v>
      </c>
      <c r="B3490" s="366" t="str">
        <f>VLOOKUP(VALUE(D3490),$D$3:F$106,3,FALSE)</f>
        <v>Business Office</v>
      </c>
      <c r="C3490" t="s">
        <v>314</v>
      </c>
      <c r="D3490">
        <v>869</v>
      </c>
      <c r="E3490" t="s">
        <v>1084</v>
      </c>
      <c r="F3490" t="s">
        <v>316</v>
      </c>
      <c r="G3490" t="s">
        <v>319</v>
      </c>
      <c r="H3490" s="502">
        <v>51000</v>
      </c>
      <c r="I3490" s="415">
        <v>0</v>
      </c>
      <c r="J3490" s="415">
        <v>0</v>
      </c>
      <c r="K3490" s="415">
        <v>153.76</v>
      </c>
      <c r="L3490" s="415">
        <v>0</v>
      </c>
      <c r="M3490" s="415">
        <v>0</v>
      </c>
      <c r="N3490" s="415">
        <v>0</v>
      </c>
      <c r="O3490" s="415">
        <v>0</v>
      </c>
      <c r="P3490" s="415">
        <v>0</v>
      </c>
      <c r="Q3490" s="481">
        <f t="shared" si="100"/>
        <v>0</v>
      </c>
    </row>
    <row r="3491" spans="1:17" x14ac:dyDescent="0.3">
      <c r="A3491" s="366" t="str">
        <f>IFERROR(VLOOKUP(RIGHT(E3491,3)+0,[1]SchLocTable!$A$2:$B$47,2,FALSE)," ")</f>
        <v xml:space="preserve"> </v>
      </c>
      <c r="B3491" s="366" t="str">
        <f>VLOOKUP(VALUE(D3491),$D$3:F$106,3,FALSE)</f>
        <v>Business Office</v>
      </c>
      <c r="C3491" t="s">
        <v>314</v>
      </c>
      <c r="D3491">
        <v>869</v>
      </c>
      <c r="E3491" t="s">
        <v>1084</v>
      </c>
      <c r="F3491" t="s">
        <v>320</v>
      </c>
      <c r="G3491" t="s">
        <v>319</v>
      </c>
      <c r="H3491" s="502">
        <v>52360</v>
      </c>
      <c r="I3491" s="415">
        <v>0</v>
      </c>
      <c r="J3491" s="415">
        <v>0</v>
      </c>
      <c r="K3491" s="415">
        <v>2.23</v>
      </c>
      <c r="L3491" s="415">
        <v>0</v>
      </c>
      <c r="M3491" s="415">
        <v>0</v>
      </c>
      <c r="N3491" s="415">
        <v>0</v>
      </c>
      <c r="O3491" s="415">
        <v>0</v>
      </c>
      <c r="P3491" s="415">
        <v>0</v>
      </c>
      <c r="Q3491" s="481">
        <f t="shared" si="100"/>
        <v>0</v>
      </c>
    </row>
    <row r="3492" spans="1:17" x14ac:dyDescent="0.3">
      <c r="A3492" s="366" t="str">
        <f>IFERROR(VLOOKUP(RIGHT(E3492,3)+0,[1]SchLocTable!$A$2:$B$47,2,FALSE)," ")</f>
        <v xml:space="preserve"> </v>
      </c>
      <c r="B3492" s="366" t="str">
        <f>VLOOKUP(VALUE(D3492),$D$3:F$106,3,FALSE)</f>
        <v>Business Office</v>
      </c>
      <c r="C3492" t="s">
        <v>314</v>
      </c>
      <c r="D3492">
        <v>869</v>
      </c>
      <c r="E3492" t="s">
        <v>1084</v>
      </c>
      <c r="F3492" t="s">
        <v>392</v>
      </c>
      <c r="G3492" t="s">
        <v>319</v>
      </c>
      <c r="H3492" s="502">
        <v>52504</v>
      </c>
      <c r="I3492" s="415">
        <v>0</v>
      </c>
      <c r="J3492" s="415">
        <v>0</v>
      </c>
      <c r="K3492" s="415">
        <v>31.66</v>
      </c>
      <c r="L3492" s="415">
        <v>0</v>
      </c>
      <c r="M3492" s="415">
        <v>0</v>
      </c>
      <c r="N3492" s="415">
        <v>0</v>
      </c>
      <c r="O3492" s="415">
        <v>0</v>
      </c>
      <c r="P3492" s="415">
        <v>0</v>
      </c>
      <c r="Q3492" s="481">
        <f t="shared" si="100"/>
        <v>0</v>
      </c>
    </row>
    <row r="3493" spans="1:17" x14ac:dyDescent="0.3">
      <c r="A3493" s="366" t="str">
        <f>IFERROR(VLOOKUP(RIGHT(E3493,3)+0,[1]SchLocTable!$A$2:$B$47,2,FALSE)," ")</f>
        <v xml:space="preserve"> </v>
      </c>
      <c r="B3493" s="366" t="str">
        <f>VLOOKUP(VALUE(D3493),$D$3:F$106,3,FALSE)</f>
        <v>Business Office Clericals</v>
      </c>
      <c r="C3493" t="s">
        <v>314</v>
      </c>
      <c r="D3493">
        <v>870</v>
      </c>
      <c r="E3493" t="s">
        <v>1085</v>
      </c>
      <c r="F3493" t="s">
        <v>316</v>
      </c>
      <c r="G3493">
        <v>5</v>
      </c>
      <c r="H3493" s="502">
        <v>51000</v>
      </c>
      <c r="I3493" s="415">
        <v>410191.91168800002</v>
      </c>
      <c r="J3493" s="415">
        <v>268532</v>
      </c>
      <c r="K3493" s="415">
        <v>362269.92</v>
      </c>
      <c r="L3493" s="415">
        <v>359257.78</v>
      </c>
      <c r="M3493" s="415">
        <v>357962.92</v>
      </c>
      <c r="N3493" s="415">
        <v>490513.12</v>
      </c>
      <c r="O3493" s="415">
        <v>516891.33</v>
      </c>
      <c r="P3493" s="415">
        <v>443433.27</v>
      </c>
      <c r="Q3493" s="481">
        <f t="shared" si="100"/>
        <v>-141659.91168800002</v>
      </c>
    </row>
    <row r="3494" spans="1:17" x14ac:dyDescent="0.3">
      <c r="A3494" s="366" t="str">
        <f>IFERROR(VLOOKUP(RIGHT(E3494,3)+0,[1]SchLocTable!$A$2:$B$47,2,FALSE)," ")</f>
        <v xml:space="preserve"> </v>
      </c>
      <c r="B3494" s="366" t="str">
        <f>VLOOKUP(VALUE(D3494),$D$3:F$106,3,FALSE)</f>
        <v>Business Office Clericals</v>
      </c>
      <c r="C3494" t="s">
        <v>314</v>
      </c>
      <c r="D3494">
        <v>870</v>
      </c>
      <c r="E3494" t="s">
        <v>1085</v>
      </c>
      <c r="F3494" t="s">
        <v>360</v>
      </c>
      <c r="G3494" t="s">
        <v>319</v>
      </c>
      <c r="H3494" s="502">
        <v>52920</v>
      </c>
      <c r="I3494" s="415">
        <v>1000</v>
      </c>
      <c r="J3494" s="415">
        <v>2500</v>
      </c>
      <c r="K3494" s="415">
        <v>3500</v>
      </c>
      <c r="L3494" s="415">
        <v>5500</v>
      </c>
      <c r="M3494" s="415">
        <v>3500</v>
      </c>
      <c r="N3494" s="415">
        <v>1916.68</v>
      </c>
      <c r="O3494" s="415">
        <v>3500</v>
      </c>
      <c r="P3494" s="415">
        <v>3500</v>
      </c>
      <c r="Q3494" s="481">
        <f t="shared" si="100"/>
        <v>1500</v>
      </c>
    </row>
    <row r="3495" spans="1:17" x14ac:dyDescent="0.3">
      <c r="A3495" s="366" t="str">
        <f>IFERROR(VLOOKUP(RIGHT(E3495,3)+0,[1]SchLocTable!$A$2:$B$47,2,FALSE)," ")</f>
        <v xml:space="preserve"> </v>
      </c>
      <c r="B3495" s="366" t="str">
        <f>VLOOKUP(VALUE(D3495),$D$3:F$106,3,FALSE)</f>
        <v>Business Office Clericals</v>
      </c>
      <c r="C3495" t="s">
        <v>314</v>
      </c>
      <c r="D3495">
        <v>870</v>
      </c>
      <c r="E3495" t="s">
        <v>1085</v>
      </c>
      <c r="F3495" t="s">
        <v>321</v>
      </c>
      <c r="G3495" t="s">
        <v>319</v>
      </c>
      <c r="H3495" s="502">
        <v>52917</v>
      </c>
      <c r="I3495" s="415">
        <v>121959.552</v>
      </c>
      <c r="J3495" s="415">
        <v>69692</v>
      </c>
      <c r="K3495" s="415">
        <v>63410.98</v>
      </c>
      <c r="L3495" s="415">
        <v>63249.78</v>
      </c>
      <c r="M3495" s="415">
        <v>52329.39</v>
      </c>
      <c r="N3495" s="415">
        <v>71972.7</v>
      </c>
      <c r="O3495" s="415">
        <v>85861.8</v>
      </c>
      <c r="P3495" s="415">
        <v>82720.67</v>
      </c>
      <c r="Q3495" s="481">
        <f t="shared" si="100"/>
        <v>-52267.551999999996</v>
      </c>
    </row>
    <row r="3496" spans="1:17" x14ac:dyDescent="0.3">
      <c r="A3496" s="366" t="str">
        <f>IFERROR(VLOOKUP(RIGHT(E3496,3)+0,[1]SchLocTable!$A$2:$B$47,2,FALSE)," ")</f>
        <v xml:space="preserve"> </v>
      </c>
      <c r="B3496" s="366" t="str">
        <f>VLOOKUP(VALUE(D3496),$D$3:F$106,3,FALSE)</f>
        <v>Business Office Clericals</v>
      </c>
      <c r="C3496" t="s">
        <v>314</v>
      </c>
      <c r="D3496">
        <v>870</v>
      </c>
      <c r="E3496" t="s">
        <v>1085</v>
      </c>
      <c r="F3496" t="s">
        <v>318</v>
      </c>
      <c r="G3496" t="s">
        <v>319</v>
      </c>
      <c r="H3496" s="502">
        <v>51140</v>
      </c>
      <c r="I3496" s="415">
        <v>3030</v>
      </c>
      <c r="J3496" s="415">
        <v>0</v>
      </c>
      <c r="K3496" s="415">
        <v>2885</v>
      </c>
      <c r="L3496" s="415">
        <v>11520</v>
      </c>
      <c r="M3496" s="415">
        <v>11227.5</v>
      </c>
      <c r="N3496" s="415">
        <v>8447.5</v>
      </c>
      <c r="O3496" s="415">
        <v>9995</v>
      </c>
      <c r="P3496" s="415">
        <v>8280</v>
      </c>
      <c r="Q3496" s="481">
        <f t="shared" si="100"/>
        <v>-3030</v>
      </c>
    </row>
    <row r="3497" spans="1:17" x14ac:dyDescent="0.3">
      <c r="A3497" s="366" t="str">
        <f>IFERROR(VLOOKUP(RIGHT(E3497,3)+0,[1]SchLocTable!$A$2:$B$47,2,FALSE)," ")</f>
        <v xml:space="preserve"> </v>
      </c>
      <c r="B3497" s="366" t="str">
        <f>VLOOKUP(VALUE(D3497),$D$3:F$106,3,FALSE)</f>
        <v>Business Office Clericals</v>
      </c>
      <c r="C3497" t="s">
        <v>314</v>
      </c>
      <c r="D3497">
        <v>870</v>
      </c>
      <c r="E3497" t="s">
        <v>1085</v>
      </c>
      <c r="F3497" t="s">
        <v>320</v>
      </c>
      <c r="G3497" t="s">
        <v>319</v>
      </c>
      <c r="H3497" s="502">
        <v>52360</v>
      </c>
      <c r="I3497" s="415">
        <v>7741.5719194760004</v>
      </c>
      <c r="J3497" s="415">
        <v>3761</v>
      </c>
      <c r="K3497" s="415">
        <v>7248.02</v>
      </c>
      <c r="L3497" s="415">
        <v>7415.1</v>
      </c>
      <c r="M3497" s="415">
        <v>6578.08</v>
      </c>
      <c r="N3497" s="415">
        <v>5861.33</v>
      </c>
      <c r="O3497" s="415">
        <v>6133.69</v>
      </c>
      <c r="P3497" s="415">
        <v>5393</v>
      </c>
      <c r="Q3497" s="481">
        <f t="shared" si="100"/>
        <v>-3980.5719194760004</v>
      </c>
    </row>
    <row r="3498" spans="1:17" x14ac:dyDescent="0.3">
      <c r="A3498" s="366" t="str">
        <f>IFERROR(VLOOKUP(RIGHT(E3498,3)+0,[1]SchLocTable!$A$2:$B$47,2,FALSE)," ")</f>
        <v xml:space="preserve"> </v>
      </c>
      <c r="B3498" s="366" t="str">
        <f>VLOOKUP(VALUE(D3498),$D$3:F$106,3,FALSE)</f>
        <v>Business Office Clericals</v>
      </c>
      <c r="C3498" t="s">
        <v>314</v>
      </c>
      <c r="D3498">
        <v>870</v>
      </c>
      <c r="E3498" t="s">
        <v>1085</v>
      </c>
      <c r="F3498" t="s">
        <v>392</v>
      </c>
      <c r="G3498" t="s">
        <v>319</v>
      </c>
      <c r="H3498" s="502">
        <v>52504</v>
      </c>
      <c r="I3498" s="415">
        <v>85445.679248766406</v>
      </c>
      <c r="J3498" s="415">
        <v>56431</v>
      </c>
      <c r="K3498" s="415">
        <v>66626.649999999994</v>
      </c>
      <c r="L3498" s="415">
        <v>79567.48</v>
      </c>
      <c r="M3498" s="415">
        <v>85402.18</v>
      </c>
      <c r="N3498" s="415">
        <v>93160.54</v>
      </c>
      <c r="O3498" s="415">
        <v>86695.44</v>
      </c>
      <c r="P3498" s="415">
        <v>69601.61</v>
      </c>
      <c r="Q3498" s="481">
        <f t="shared" si="100"/>
        <v>-29014.679248766406</v>
      </c>
    </row>
    <row r="3499" spans="1:17" x14ac:dyDescent="0.3">
      <c r="A3499" s="366" t="str">
        <f>IFERROR(VLOOKUP(RIGHT(E3499,3)+0,[1]SchLocTable!$A$2:$B$47,2,FALSE)," ")</f>
        <v xml:space="preserve"> </v>
      </c>
      <c r="B3499" s="366" t="str">
        <f>VLOOKUP(VALUE(D3499),$D$3:F$106,3,FALSE)</f>
        <v>Business Office Clericals</v>
      </c>
      <c r="C3499" t="s">
        <v>314</v>
      </c>
      <c r="D3499">
        <v>870</v>
      </c>
      <c r="E3499" t="s">
        <v>1085</v>
      </c>
      <c r="F3499" t="s">
        <v>419</v>
      </c>
      <c r="G3499" t="s">
        <v>319</v>
      </c>
      <c r="H3499" s="502">
        <v>51318</v>
      </c>
      <c r="I3499" s="415">
        <v>0</v>
      </c>
      <c r="J3499" s="415">
        <v>0</v>
      </c>
      <c r="K3499" s="415">
        <v>0</v>
      </c>
      <c r="L3499" s="415">
        <v>0</v>
      </c>
      <c r="M3499" s="415">
        <v>1285.71</v>
      </c>
      <c r="N3499" s="415">
        <v>1652.98</v>
      </c>
      <c r="O3499" s="415">
        <v>501.92</v>
      </c>
      <c r="P3499" s="415">
        <v>0</v>
      </c>
      <c r="Q3499" s="481">
        <f t="shared" si="100"/>
        <v>0</v>
      </c>
    </row>
    <row r="3500" spans="1:17" x14ac:dyDescent="0.3">
      <c r="A3500" s="366" t="str">
        <f>IFERROR(VLOOKUP(RIGHT(E3500,3)+0,[1]SchLocTable!$A$2:$B$47,2,FALSE)," ")</f>
        <v xml:space="preserve"> </v>
      </c>
      <c r="B3500" s="366" t="str">
        <f>VLOOKUP(VALUE(D3500),$D$3:F$106,3,FALSE)</f>
        <v>Business Office Clericals</v>
      </c>
      <c r="C3500" t="s">
        <v>314</v>
      </c>
      <c r="D3500">
        <v>870</v>
      </c>
      <c r="E3500" t="s">
        <v>1085</v>
      </c>
      <c r="F3500" t="s">
        <v>317</v>
      </c>
      <c r="G3500">
        <v>1</v>
      </c>
      <c r="H3500" s="502">
        <v>51100</v>
      </c>
      <c r="I3500" s="415">
        <v>122709.59999999999</v>
      </c>
      <c r="J3500" s="415">
        <v>119064</v>
      </c>
      <c r="K3500" s="415">
        <v>121968</v>
      </c>
      <c r="L3500" s="415">
        <v>121260</v>
      </c>
      <c r="M3500" s="415">
        <v>118056</v>
      </c>
      <c r="N3500" s="415">
        <v>384</v>
      </c>
      <c r="O3500" s="415">
        <v>0</v>
      </c>
      <c r="P3500" s="415">
        <v>0</v>
      </c>
      <c r="Q3500" s="481">
        <f t="shared" si="100"/>
        <v>-3645.5999999999913</v>
      </c>
    </row>
    <row r="3501" spans="1:17" x14ac:dyDescent="0.3">
      <c r="A3501" s="366" t="str">
        <f>IFERROR(VLOOKUP(RIGHT(E3501,3)+0,[1]SchLocTable!$A$2:$B$47,2,FALSE)," ")</f>
        <v xml:space="preserve"> </v>
      </c>
      <c r="B3501" s="366" t="str">
        <f>VLOOKUP(VALUE(D3501),$D$3:F$106,3,FALSE)</f>
        <v>Business Office Clericals</v>
      </c>
      <c r="C3501" t="s">
        <v>314</v>
      </c>
      <c r="D3501">
        <v>870</v>
      </c>
      <c r="E3501" t="s">
        <v>1085</v>
      </c>
      <c r="F3501" t="s">
        <v>452</v>
      </c>
      <c r="G3501" t="s">
        <v>319</v>
      </c>
      <c r="H3501" s="502">
        <v>51108</v>
      </c>
      <c r="I3501" s="415">
        <v>0</v>
      </c>
      <c r="J3501" s="415">
        <v>0</v>
      </c>
      <c r="K3501" s="415">
        <v>0</v>
      </c>
      <c r="L3501" s="415">
        <v>0</v>
      </c>
      <c r="M3501" s="415">
        <v>0</v>
      </c>
      <c r="N3501" s="415">
        <v>34.619999999999997</v>
      </c>
      <c r="O3501" s="415">
        <v>0</v>
      </c>
      <c r="P3501" s="415">
        <v>0</v>
      </c>
      <c r="Q3501" s="481">
        <f t="shared" si="100"/>
        <v>0</v>
      </c>
    </row>
    <row r="3502" spans="1:17" x14ac:dyDescent="0.3">
      <c r="A3502" s="366" t="str">
        <f>IFERROR(VLOOKUP(RIGHT(E3502,3)+0,[1]SchLocTable!$A$2:$B$47,2,FALSE)," ")</f>
        <v xml:space="preserve"> </v>
      </c>
      <c r="B3502" s="366" t="str">
        <f>VLOOKUP(VALUE(D3502),$D$3:F$106,3,FALSE)</f>
        <v>Business Office Clericals</v>
      </c>
      <c r="C3502" t="s">
        <v>314</v>
      </c>
      <c r="D3502">
        <v>870</v>
      </c>
      <c r="E3502" t="s">
        <v>1085</v>
      </c>
      <c r="F3502" t="s">
        <v>427</v>
      </c>
      <c r="G3502" t="s">
        <v>319</v>
      </c>
      <c r="H3502" s="502">
        <v>51106</v>
      </c>
      <c r="I3502" s="415">
        <v>0</v>
      </c>
      <c r="J3502" s="415">
        <v>0</v>
      </c>
      <c r="K3502" s="415">
        <v>522.77</v>
      </c>
      <c r="L3502" s="415">
        <v>0</v>
      </c>
      <c r="M3502" s="415">
        <v>0</v>
      </c>
      <c r="N3502" s="415">
        <v>230.81</v>
      </c>
      <c r="O3502" s="415">
        <v>0</v>
      </c>
      <c r="P3502" s="415">
        <v>0</v>
      </c>
      <c r="Q3502" s="481">
        <f t="shared" si="100"/>
        <v>0</v>
      </c>
    </row>
    <row r="3503" spans="1:17" x14ac:dyDescent="0.3">
      <c r="A3503" s="366" t="str">
        <f>IFERROR(VLOOKUP(RIGHT(E3503,3)+0,[1]SchLocTable!$A$2:$B$47,2,FALSE)," ")</f>
        <v xml:space="preserve"> </v>
      </c>
      <c r="B3503" s="366" t="str">
        <f>VLOOKUP(VALUE(D3503),$D$3:F$106,3,FALSE)</f>
        <v>Business Office Clericals</v>
      </c>
      <c r="C3503" t="s">
        <v>314</v>
      </c>
      <c r="D3503">
        <v>870</v>
      </c>
      <c r="E3503" t="s">
        <v>1085</v>
      </c>
      <c r="F3503" t="s">
        <v>324</v>
      </c>
      <c r="G3503" t="s">
        <v>319</v>
      </c>
      <c r="H3503" s="502">
        <v>52385</v>
      </c>
      <c r="I3503" s="415">
        <v>0</v>
      </c>
      <c r="J3503" s="415">
        <v>0</v>
      </c>
      <c r="K3503" s="415">
        <v>0</v>
      </c>
      <c r="L3503" s="415">
        <v>0</v>
      </c>
      <c r="M3503" s="415">
        <v>0</v>
      </c>
      <c r="N3503" s="415">
        <v>1610.67</v>
      </c>
      <c r="O3503" s="415">
        <v>0</v>
      </c>
      <c r="P3503" s="415">
        <v>0</v>
      </c>
      <c r="Q3503" s="481">
        <f t="shared" si="100"/>
        <v>0</v>
      </c>
    </row>
    <row r="3504" spans="1:17" x14ac:dyDescent="0.3">
      <c r="A3504" s="366" t="str">
        <f>IFERROR(VLOOKUP(RIGHT(E3504,3)+0,[1]SchLocTable!$A$2:$B$47,2,FALSE)," ")</f>
        <v xml:space="preserve"> </v>
      </c>
      <c r="B3504" s="366" t="str">
        <f>VLOOKUP(VALUE(D3504),$D$3:F$106,3,FALSE)</f>
        <v>Business Office Clericals</v>
      </c>
      <c r="C3504" t="s">
        <v>314</v>
      </c>
      <c r="D3504">
        <v>870</v>
      </c>
      <c r="E3504" t="s">
        <v>1085</v>
      </c>
      <c r="F3504" t="s">
        <v>329</v>
      </c>
      <c r="G3504" t="s">
        <v>319</v>
      </c>
      <c r="H3504" s="502">
        <v>51154</v>
      </c>
      <c r="I3504" s="415">
        <v>0</v>
      </c>
      <c r="J3504" s="415">
        <v>0</v>
      </c>
      <c r="K3504" s="415">
        <v>0</v>
      </c>
      <c r="L3504" s="415">
        <v>0</v>
      </c>
      <c r="M3504" s="415">
        <v>40155.96</v>
      </c>
      <c r="N3504" s="415">
        <v>21140.19</v>
      </c>
      <c r="O3504" s="415">
        <v>2402.06</v>
      </c>
      <c r="P3504" s="415">
        <v>0</v>
      </c>
      <c r="Q3504" s="481">
        <f t="shared" si="100"/>
        <v>0</v>
      </c>
    </row>
    <row r="3505" spans="1:17" x14ac:dyDescent="0.3">
      <c r="A3505" s="366" t="str">
        <f>IFERROR(VLOOKUP(RIGHT(E3505,3)+0,[1]SchLocTable!$A$2:$B$47,2,FALSE)," ")</f>
        <v xml:space="preserve"> </v>
      </c>
      <c r="B3505" s="366" t="str">
        <f>VLOOKUP(VALUE(D3505),$D$3:F$106,3,FALSE)</f>
        <v>Business Office Clericals</v>
      </c>
      <c r="C3505" t="s">
        <v>314</v>
      </c>
      <c r="D3505">
        <v>870</v>
      </c>
      <c r="E3505" t="s">
        <v>1085</v>
      </c>
      <c r="F3505" t="s">
        <v>418</v>
      </c>
      <c r="G3505" t="s">
        <v>319</v>
      </c>
      <c r="H3505" s="502">
        <v>51314</v>
      </c>
      <c r="I3505" s="415">
        <v>0</v>
      </c>
      <c r="J3505" s="415">
        <v>0</v>
      </c>
      <c r="K3505" s="415">
        <v>0</v>
      </c>
      <c r="L3505" s="415">
        <v>0</v>
      </c>
      <c r="M3505" s="415">
        <v>12857.06</v>
      </c>
      <c r="N3505" s="415">
        <v>16529.759999999998</v>
      </c>
      <c r="O3505" s="415">
        <v>6238.18</v>
      </c>
      <c r="P3505" s="415">
        <v>0</v>
      </c>
      <c r="Q3505" s="481">
        <f t="shared" si="100"/>
        <v>0</v>
      </c>
    </row>
    <row r="3506" spans="1:17" x14ac:dyDescent="0.3">
      <c r="A3506" s="366" t="str">
        <f>IFERROR(VLOOKUP(RIGHT(E3506,3)+0,[1]SchLocTable!$A$2:$B$47,2,FALSE)," ")</f>
        <v xml:space="preserve"> </v>
      </c>
      <c r="B3506" s="366" t="str">
        <f>VLOOKUP(VALUE(D3506),$D$3:F$106,3,FALSE)</f>
        <v>Business Office Clericals</v>
      </c>
      <c r="C3506" t="s">
        <v>314</v>
      </c>
      <c r="D3506">
        <v>870</v>
      </c>
      <c r="E3506" t="s">
        <v>1085</v>
      </c>
      <c r="F3506" t="s">
        <v>356</v>
      </c>
      <c r="G3506" t="s">
        <v>319</v>
      </c>
      <c r="H3506" s="502">
        <v>51156</v>
      </c>
      <c r="I3506" s="415">
        <v>0</v>
      </c>
      <c r="J3506" s="415">
        <v>0</v>
      </c>
      <c r="K3506" s="415">
        <v>5702.05</v>
      </c>
      <c r="L3506" s="415">
        <v>4778.17</v>
      </c>
      <c r="M3506" s="415">
        <v>6971.74</v>
      </c>
      <c r="N3506" s="415">
        <v>1243.1300000000001</v>
      </c>
      <c r="O3506" s="415">
        <v>10327.040000000001</v>
      </c>
      <c r="P3506" s="415">
        <v>3092.75</v>
      </c>
      <c r="Q3506" s="481">
        <f t="shared" si="100"/>
        <v>0</v>
      </c>
    </row>
    <row r="3507" spans="1:17" x14ac:dyDescent="0.3">
      <c r="A3507" s="366" t="str">
        <f>IFERROR(VLOOKUP(RIGHT(E3507,3)+0,[1]SchLocTable!$A$2:$B$47,2,FALSE)," ")</f>
        <v xml:space="preserve"> </v>
      </c>
      <c r="B3507" s="366" t="str">
        <f>VLOOKUP(VALUE(D3507),$D$3:F$106,3,FALSE)</f>
        <v>Payroll</v>
      </c>
      <c r="C3507" t="s">
        <v>314</v>
      </c>
      <c r="D3507">
        <v>871</v>
      </c>
      <c r="E3507" t="s">
        <v>1086</v>
      </c>
      <c r="F3507" t="s">
        <v>316</v>
      </c>
      <c r="G3507">
        <v>6</v>
      </c>
      <c r="H3507" s="502">
        <v>51000</v>
      </c>
      <c r="I3507" s="415">
        <v>501776.53905599995</v>
      </c>
      <c r="J3507" s="415">
        <v>419030.01</v>
      </c>
      <c r="K3507" s="415">
        <v>444598.18</v>
      </c>
      <c r="L3507" s="415">
        <v>444566.06</v>
      </c>
      <c r="M3507" s="415">
        <v>411638.6</v>
      </c>
      <c r="N3507" s="415">
        <v>377796.07</v>
      </c>
      <c r="O3507" s="415">
        <v>429751.57</v>
      </c>
      <c r="P3507" s="415">
        <v>447843.22</v>
      </c>
      <c r="Q3507" s="481">
        <f t="shared" si="100"/>
        <v>-82746.529055999941</v>
      </c>
    </row>
    <row r="3508" spans="1:17" x14ac:dyDescent="0.3">
      <c r="A3508" s="366" t="str">
        <f>IFERROR(VLOOKUP(RIGHT(E3508,3)+0,[1]SchLocTable!$A$2:$B$47,2,FALSE)," ")</f>
        <v xml:space="preserve"> </v>
      </c>
      <c r="B3508" s="366" t="str">
        <f>VLOOKUP(VALUE(D3508),$D$3:F$106,3,FALSE)</f>
        <v>Payroll</v>
      </c>
      <c r="C3508" t="s">
        <v>314</v>
      </c>
      <c r="D3508">
        <v>871</v>
      </c>
      <c r="E3508" t="s">
        <v>1086</v>
      </c>
      <c r="F3508" t="s">
        <v>360</v>
      </c>
      <c r="G3508" t="s">
        <v>319</v>
      </c>
      <c r="H3508" s="502">
        <v>52920</v>
      </c>
      <c r="I3508" s="415">
        <v>2583.34</v>
      </c>
      <c r="J3508" s="415">
        <v>500</v>
      </c>
      <c r="K3508" s="415">
        <v>5875.02</v>
      </c>
      <c r="L3508" s="415">
        <v>1500</v>
      </c>
      <c r="M3508" s="415">
        <v>500</v>
      </c>
      <c r="N3508" s="415">
        <v>500</v>
      </c>
      <c r="O3508" s="415">
        <v>250</v>
      </c>
      <c r="P3508" s="415">
        <v>2083.3200000000002</v>
      </c>
      <c r="Q3508" s="481">
        <f t="shared" si="100"/>
        <v>-2083.34</v>
      </c>
    </row>
    <row r="3509" spans="1:17" x14ac:dyDescent="0.3">
      <c r="A3509" s="366" t="str">
        <f>IFERROR(VLOOKUP(RIGHT(E3509,3)+0,[1]SchLocTable!$A$2:$B$47,2,FALSE)," ")</f>
        <v xml:space="preserve"> </v>
      </c>
      <c r="B3509" s="366" t="str">
        <f>VLOOKUP(VALUE(D3509),$D$3:F$106,3,FALSE)</f>
        <v>Payroll</v>
      </c>
      <c r="C3509" t="s">
        <v>314</v>
      </c>
      <c r="D3509">
        <v>871</v>
      </c>
      <c r="E3509" t="s">
        <v>1086</v>
      </c>
      <c r="F3509" t="s">
        <v>321</v>
      </c>
      <c r="G3509" t="s">
        <v>319</v>
      </c>
      <c r="H3509" s="502">
        <v>52917</v>
      </c>
      <c r="I3509" s="415">
        <v>100912.03199999999</v>
      </c>
      <c r="J3509" s="415">
        <v>42627</v>
      </c>
      <c r="K3509" s="415">
        <v>43829.42</v>
      </c>
      <c r="L3509" s="415">
        <v>70519.710000000006</v>
      </c>
      <c r="M3509" s="415">
        <v>69803.990000000005</v>
      </c>
      <c r="N3509" s="415">
        <v>57611.93</v>
      </c>
      <c r="O3509" s="415">
        <v>47507.83</v>
      </c>
      <c r="P3509" s="415">
        <v>45636.86</v>
      </c>
      <c r="Q3509" s="481">
        <f t="shared" si="100"/>
        <v>-58285.031999999992</v>
      </c>
    </row>
    <row r="3510" spans="1:17" x14ac:dyDescent="0.3">
      <c r="A3510" s="366" t="str">
        <f>IFERROR(VLOOKUP(RIGHT(E3510,3)+0,[1]SchLocTable!$A$2:$B$47,2,FALSE)," ")</f>
        <v xml:space="preserve"> </v>
      </c>
      <c r="B3510" s="366" t="str">
        <f>VLOOKUP(VALUE(D3510),$D$3:F$106,3,FALSE)</f>
        <v>Payroll</v>
      </c>
      <c r="C3510" t="s">
        <v>314</v>
      </c>
      <c r="D3510">
        <v>871</v>
      </c>
      <c r="E3510" t="s">
        <v>1086</v>
      </c>
      <c r="F3510" t="s">
        <v>1087</v>
      </c>
      <c r="G3510" t="s">
        <v>319</v>
      </c>
      <c r="H3510" s="502">
        <v>51116</v>
      </c>
      <c r="I3510" s="415">
        <v>603.14740000000006</v>
      </c>
      <c r="J3510" s="415">
        <v>418.27</v>
      </c>
      <c r="K3510" s="415">
        <v>77.48</v>
      </c>
      <c r="L3510" s="415">
        <v>1455.74</v>
      </c>
      <c r="M3510" s="415">
        <v>2442.75</v>
      </c>
      <c r="N3510" s="415">
        <v>0</v>
      </c>
      <c r="O3510" s="415">
        <v>0</v>
      </c>
      <c r="P3510" s="415">
        <v>233.76</v>
      </c>
      <c r="Q3510" s="481">
        <f t="shared" si="100"/>
        <v>-184.87740000000008</v>
      </c>
    </row>
    <row r="3511" spans="1:17" x14ac:dyDescent="0.3">
      <c r="A3511" s="366" t="str">
        <f>IFERROR(VLOOKUP(RIGHT(E3511,3)+0,[1]SchLocTable!$A$2:$B$47,2,FALSE)," ")</f>
        <v xml:space="preserve"> </v>
      </c>
      <c r="B3511" s="366" t="str">
        <f>VLOOKUP(VALUE(D3511),$D$3:F$106,3,FALSE)</f>
        <v>Payroll</v>
      </c>
      <c r="C3511" t="s">
        <v>314</v>
      </c>
      <c r="D3511">
        <v>871</v>
      </c>
      <c r="E3511" t="s">
        <v>1086</v>
      </c>
      <c r="F3511" t="s">
        <v>318</v>
      </c>
      <c r="G3511" t="s">
        <v>319</v>
      </c>
      <c r="H3511" s="502">
        <v>51140</v>
      </c>
      <c r="I3511" s="415">
        <v>2090</v>
      </c>
      <c r="J3511" s="415">
        <v>900</v>
      </c>
      <c r="K3511" s="415">
        <v>4645</v>
      </c>
      <c r="L3511" s="415">
        <v>6600</v>
      </c>
      <c r="M3511" s="415">
        <v>5030</v>
      </c>
      <c r="N3511" s="415">
        <v>4960</v>
      </c>
      <c r="O3511" s="415">
        <v>3642.75</v>
      </c>
      <c r="P3511" s="415">
        <v>10820</v>
      </c>
      <c r="Q3511" s="481">
        <f t="shared" si="100"/>
        <v>-1190</v>
      </c>
    </row>
    <row r="3512" spans="1:17" x14ac:dyDescent="0.3">
      <c r="A3512" s="366" t="str">
        <f>IFERROR(VLOOKUP(RIGHT(E3512,3)+0,[1]SchLocTable!$A$2:$B$47,2,FALSE)," ")</f>
        <v xml:space="preserve"> </v>
      </c>
      <c r="B3512" s="366" t="str">
        <f>VLOOKUP(VALUE(D3512),$D$3:F$106,3,FALSE)</f>
        <v>Payroll</v>
      </c>
      <c r="C3512" t="s">
        <v>314</v>
      </c>
      <c r="D3512">
        <v>871</v>
      </c>
      <c r="E3512" t="s">
        <v>1086</v>
      </c>
      <c r="F3512" t="s">
        <v>320</v>
      </c>
      <c r="G3512" t="s">
        <v>319</v>
      </c>
      <c r="H3512" s="502">
        <v>52360</v>
      </c>
      <c r="I3512" s="415">
        <v>8664.0894945319997</v>
      </c>
      <c r="J3512" s="415">
        <v>6648</v>
      </c>
      <c r="K3512" s="415">
        <v>9323.75</v>
      </c>
      <c r="L3512" s="415">
        <v>8436.24</v>
      </c>
      <c r="M3512" s="415">
        <v>7335.92</v>
      </c>
      <c r="N3512" s="415">
        <v>6530.91</v>
      </c>
      <c r="O3512" s="415">
        <v>6101.37</v>
      </c>
      <c r="P3512" s="415">
        <v>4465.91</v>
      </c>
      <c r="Q3512" s="481">
        <f t="shared" si="100"/>
        <v>-2016.0894945319997</v>
      </c>
    </row>
    <row r="3513" spans="1:17" x14ac:dyDescent="0.3">
      <c r="A3513" s="366" t="str">
        <f>IFERROR(VLOOKUP(RIGHT(E3513,3)+0,[1]SchLocTable!$A$2:$B$47,2,FALSE)," ")</f>
        <v xml:space="preserve"> </v>
      </c>
      <c r="B3513" s="366" t="str">
        <f>VLOOKUP(VALUE(D3513),$D$3:F$106,3,FALSE)</f>
        <v>Payroll</v>
      </c>
      <c r="C3513" t="s">
        <v>314</v>
      </c>
      <c r="D3513">
        <v>871</v>
      </c>
      <c r="E3513" t="s">
        <v>1086</v>
      </c>
      <c r="F3513" t="s">
        <v>392</v>
      </c>
      <c r="G3513" t="s">
        <v>319</v>
      </c>
      <c r="H3513" s="502">
        <v>52504</v>
      </c>
      <c r="I3513" s="415">
        <v>97181.437832924814</v>
      </c>
      <c r="J3513" s="415">
        <v>92210.07</v>
      </c>
      <c r="K3513" s="415">
        <v>92314.07</v>
      </c>
      <c r="L3513" s="415">
        <v>106846.08</v>
      </c>
      <c r="M3513" s="415">
        <v>117776.24</v>
      </c>
      <c r="N3513" s="415">
        <v>83514.66</v>
      </c>
      <c r="O3513" s="415">
        <v>61793.07</v>
      </c>
      <c r="P3513" s="415">
        <v>66218.23</v>
      </c>
      <c r="Q3513" s="481">
        <f t="shared" si="100"/>
        <v>-4971.3678329248069</v>
      </c>
    </row>
    <row r="3514" spans="1:17" x14ac:dyDescent="0.3">
      <c r="A3514" s="366" t="str">
        <f>IFERROR(VLOOKUP(RIGHT(E3514,3)+0,[1]SchLocTable!$A$2:$B$47,2,FALSE)," ")</f>
        <v xml:space="preserve"> </v>
      </c>
      <c r="B3514" s="366" t="str">
        <f>VLOOKUP(VALUE(D3514),$D$3:F$106,3,FALSE)</f>
        <v>Payroll</v>
      </c>
      <c r="C3514" t="s">
        <v>314</v>
      </c>
      <c r="D3514">
        <v>871</v>
      </c>
      <c r="E3514" t="s">
        <v>1086</v>
      </c>
      <c r="F3514" t="s">
        <v>419</v>
      </c>
      <c r="G3514" t="s">
        <v>319</v>
      </c>
      <c r="H3514" s="502">
        <v>51318</v>
      </c>
      <c r="I3514" s="415">
        <v>0</v>
      </c>
      <c r="J3514" s="415">
        <v>0</v>
      </c>
      <c r="K3514" s="415">
        <v>1431.85</v>
      </c>
      <c r="L3514" s="415">
        <v>1548.73</v>
      </c>
      <c r="M3514" s="415">
        <v>0</v>
      </c>
      <c r="N3514" s="415">
        <v>0</v>
      </c>
      <c r="O3514" s="415">
        <v>0</v>
      </c>
      <c r="P3514" s="415">
        <v>1840.74</v>
      </c>
      <c r="Q3514" s="481">
        <f t="shared" si="100"/>
        <v>0</v>
      </c>
    </row>
    <row r="3515" spans="1:17" x14ac:dyDescent="0.3">
      <c r="A3515" s="366" t="str">
        <f>IFERROR(VLOOKUP(RIGHT(E3515,3)+0,[1]SchLocTable!$A$2:$B$47,2,FALSE)," ")</f>
        <v xml:space="preserve"> </v>
      </c>
      <c r="B3515" s="366" t="str">
        <f>VLOOKUP(VALUE(D3515),$D$3:F$106,3,FALSE)</f>
        <v>Payroll</v>
      </c>
      <c r="C3515" t="s">
        <v>314</v>
      </c>
      <c r="D3515">
        <v>871</v>
      </c>
      <c r="E3515" t="s">
        <v>1086</v>
      </c>
      <c r="F3515" t="s">
        <v>317</v>
      </c>
      <c r="G3515">
        <v>2</v>
      </c>
      <c r="H3515" s="502">
        <v>51100</v>
      </c>
      <c r="I3515" s="415">
        <v>88952.081399999995</v>
      </c>
      <c r="J3515" s="415">
        <v>28260</v>
      </c>
      <c r="K3515" s="415">
        <v>91128.34</v>
      </c>
      <c r="L3515" s="415">
        <v>36141</v>
      </c>
      <c r="M3515" s="415">
        <v>27066.6</v>
      </c>
      <c r="N3515" s="415">
        <v>35988.639999999999</v>
      </c>
      <c r="O3515" s="415">
        <v>0</v>
      </c>
      <c r="P3515" s="415">
        <v>0</v>
      </c>
      <c r="Q3515" s="481">
        <f t="shared" si="100"/>
        <v>-60692.081399999995</v>
      </c>
    </row>
    <row r="3516" spans="1:17" x14ac:dyDescent="0.3">
      <c r="A3516" s="366" t="str">
        <f>IFERROR(VLOOKUP(RIGHT(E3516,3)+0,[1]SchLocTable!$A$2:$B$47,2,FALSE)," ")</f>
        <v xml:space="preserve"> </v>
      </c>
      <c r="B3516" s="366" t="str">
        <f>VLOOKUP(VALUE(D3516),$D$3:F$106,3,FALSE)</f>
        <v>Payroll</v>
      </c>
      <c r="C3516" t="s">
        <v>314</v>
      </c>
      <c r="D3516">
        <v>871</v>
      </c>
      <c r="E3516" t="s">
        <v>1086</v>
      </c>
      <c r="F3516" t="s">
        <v>452</v>
      </c>
      <c r="G3516" t="s">
        <v>319</v>
      </c>
      <c r="H3516" s="502">
        <v>51108</v>
      </c>
      <c r="I3516" s="415">
        <v>3617.1115760000002</v>
      </c>
      <c r="J3516" s="415">
        <v>39865.14</v>
      </c>
      <c r="K3516" s="415">
        <v>28216.63</v>
      </c>
      <c r="L3516" s="415">
        <v>31923.42</v>
      </c>
      <c r="M3516" s="415">
        <v>45994.85</v>
      </c>
      <c r="N3516" s="415">
        <v>17992.38</v>
      </c>
      <c r="O3516" s="415">
        <v>5132.67</v>
      </c>
      <c r="P3516" s="415">
        <v>3651.17</v>
      </c>
      <c r="Q3516" s="481">
        <f t="shared" si="100"/>
        <v>36248.028423999996</v>
      </c>
    </row>
    <row r="3517" spans="1:17" x14ac:dyDescent="0.3">
      <c r="A3517" s="366" t="str">
        <f>IFERROR(VLOOKUP(RIGHT(E3517,3)+0,[1]SchLocTable!$A$2:$B$47,2,FALSE)," ")</f>
        <v xml:space="preserve"> </v>
      </c>
      <c r="B3517" s="366" t="str">
        <f>VLOOKUP(VALUE(D3517),$D$3:F$106,3,FALSE)</f>
        <v>Payroll</v>
      </c>
      <c r="C3517" t="s">
        <v>314</v>
      </c>
      <c r="D3517">
        <v>871</v>
      </c>
      <c r="E3517" t="s">
        <v>1086</v>
      </c>
      <c r="F3517" t="s">
        <v>427</v>
      </c>
      <c r="G3517" t="s">
        <v>319</v>
      </c>
      <c r="H3517" s="502">
        <v>51106</v>
      </c>
      <c r="I3517" s="415">
        <v>594.34138400000006</v>
      </c>
      <c r="J3517" s="415">
        <v>2529.92</v>
      </c>
      <c r="K3517" s="415">
        <v>5296.67</v>
      </c>
      <c r="L3517" s="415">
        <v>7235.55</v>
      </c>
      <c r="M3517" s="415">
        <v>3329.18</v>
      </c>
      <c r="N3517" s="415">
        <v>52.09</v>
      </c>
      <c r="O3517" s="415">
        <v>425.9</v>
      </c>
      <c r="P3517" s="415">
        <v>1015.32</v>
      </c>
      <c r="Q3517" s="481">
        <f t="shared" si="100"/>
        <v>1935.578616</v>
      </c>
    </row>
    <row r="3518" spans="1:17" x14ac:dyDescent="0.3">
      <c r="A3518" s="366" t="str">
        <f>IFERROR(VLOOKUP(RIGHT(E3518,3)+0,[1]SchLocTable!$A$2:$B$47,2,FALSE)," ")</f>
        <v xml:space="preserve"> </v>
      </c>
      <c r="B3518" s="366" t="str">
        <f>VLOOKUP(VALUE(D3518),$D$3:F$106,3,FALSE)</f>
        <v>Payroll</v>
      </c>
      <c r="C3518" t="s">
        <v>314</v>
      </c>
      <c r="D3518">
        <v>871</v>
      </c>
      <c r="E3518" t="s">
        <v>1086</v>
      </c>
      <c r="F3518" t="s">
        <v>1155</v>
      </c>
      <c r="G3518" t="s">
        <v>319</v>
      </c>
      <c r="H3518" s="502">
        <v>51130</v>
      </c>
      <c r="I3518" s="415">
        <v>0</v>
      </c>
      <c r="J3518" s="415">
        <v>0</v>
      </c>
      <c r="K3518" s="415">
        <v>0</v>
      </c>
      <c r="L3518" s="415">
        <v>0</v>
      </c>
      <c r="M3518" s="415">
        <v>410.07</v>
      </c>
      <c r="N3518" s="415">
        <v>0</v>
      </c>
      <c r="O3518" s="415">
        <v>0</v>
      </c>
      <c r="P3518" s="415">
        <v>0</v>
      </c>
      <c r="Q3518" s="481">
        <f t="shared" si="100"/>
        <v>0</v>
      </c>
    </row>
    <row r="3519" spans="1:17" x14ac:dyDescent="0.3">
      <c r="A3519" s="366" t="str">
        <f>IFERROR(VLOOKUP(RIGHT(E3519,3)+0,[1]SchLocTable!$A$2:$B$47,2,FALSE)," ")</f>
        <v xml:space="preserve"> </v>
      </c>
      <c r="B3519" s="366" t="str">
        <f>VLOOKUP(VALUE(D3519),$D$3:F$106,3,FALSE)</f>
        <v>Payroll</v>
      </c>
      <c r="C3519" t="s">
        <v>314</v>
      </c>
      <c r="D3519">
        <v>871</v>
      </c>
      <c r="E3519" t="s">
        <v>1086</v>
      </c>
      <c r="F3519" t="s">
        <v>324</v>
      </c>
      <c r="G3519" t="s">
        <v>319</v>
      </c>
      <c r="H3519" s="502">
        <v>52385</v>
      </c>
      <c r="I3519" s="415">
        <v>2535.9983999999999</v>
      </c>
      <c r="J3519" s="415">
        <v>0</v>
      </c>
      <c r="K3519" s="415">
        <v>5004.3999999999996</v>
      </c>
      <c r="L3519" s="415">
        <v>0</v>
      </c>
      <c r="M3519" s="415">
        <v>0</v>
      </c>
      <c r="N3519" s="415">
        <v>0</v>
      </c>
      <c r="O3519" s="415">
        <v>1425.83</v>
      </c>
      <c r="P3519" s="415">
        <v>1815.56</v>
      </c>
      <c r="Q3519" s="481">
        <f t="shared" ref="Q3519:Q3582" si="101">J3519-I3519</f>
        <v>-2535.9983999999999</v>
      </c>
    </row>
    <row r="3520" spans="1:17" x14ac:dyDescent="0.3">
      <c r="A3520" s="366" t="str">
        <f>IFERROR(VLOOKUP(RIGHT(E3520,3)+0,[1]SchLocTable!$A$2:$B$47,2,FALSE)," ")</f>
        <v xml:space="preserve"> </v>
      </c>
      <c r="B3520" s="366" t="str">
        <f>VLOOKUP(VALUE(D3520),$D$3:F$106,3,FALSE)</f>
        <v>Payroll</v>
      </c>
      <c r="C3520" t="s">
        <v>314</v>
      </c>
      <c r="D3520">
        <v>871</v>
      </c>
      <c r="E3520" t="s">
        <v>1086</v>
      </c>
      <c r="F3520" t="s">
        <v>329</v>
      </c>
      <c r="G3520" t="s">
        <v>319</v>
      </c>
      <c r="H3520" s="502">
        <v>51154</v>
      </c>
      <c r="I3520" s="415">
        <v>1458.7375</v>
      </c>
      <c r="J3520" s="415">
        <v>0</v>
      </c>
      <c r="K3520" s="415">
        <v>11476.19</v>
      </c>
      <c r="L3520" s="415">
        <v>26986.639999999999</v>
      </c>
      <c r="M3520" s="415">
        <v>0</v>
      </c>
      <c r="N3520" s="415">
        <v>0</v>
      </c>
      <c r="O3520" s="415">
        <v>0</v>
      </c>
      <c r="P3520" s="415">
        <v>80660.02</v>
      </c>
      <c r="Q3520" s="481">
        <f t="shared" si="101"/>
        <v>-1458.7375</v>
      </c>
    </row>
    <row r="3521" spans="1:17" x14ac:dyDescent="0.3">
      <c r="A3521" s="366" t="str">
        <f>IFERROR(VLOOKUP(RIGHT(E3521,3)+0,[1]SchLocTable!$A$2:$B$47,2,FALSE)," ")</f>
        <v xml:space="preserve"> </v>
      </c>
      <c r="B3521" s="366" t="str">
        <f>VLOOKUP(VALUE(D3521),$D$3:F$106,3,FALSE)</f>
        <v>Payroll</v>
      </c>
      <c r="C3521" t="s">
        <v>314</v>
      </c>
      <c r="D3521">
        <v>871</v>
      </c>
      <c r="E3521" t="s">
        <v>1086</v>
      </c>
      <c r="F3521" t="s">
        <v>418</v>
      </c>
      <c r="G3521" t="s">
        <v>319</v>
      </c>
      <c r="H3521" s="502">
        <v>51314</v>
      </c>
      <c r="I3521" s="415">
        <v>2121.8000000000002</v>
      </c>
      <c r="J3521" s="415">
        <v>0</v>
      </c>
      <c r="K3521" s="415">
        <v>13624.06</v>
      </c>
      <c r="L3521" s="415">
        <v>18063.57</v>
      </c>
      <c r="M3521" s="415">
        <v>0</v>
      </c>
      <c r="N3521" s="415">
        <v>0</v>
      </c>
      <c r="O3521" s="415">
        <v>0</v>
      </c>
      <c r="P3521" s="415">
        <v>22108.63</v>
      </c>
      <c r="Q3521" s="481">
        <f t="shared" si="101"/>
        <v>-2121.8000000000002</v>
      </c>
    </row>
    <row r="3522" spans="1:17" x14ac:dyDescent="0.3">
      <c r="A3522" s="366" t="str">
        <f>IFERROR(VLOOKUP(RIGHT(E3522,3)+0,[1]SchLocTable!$A$2:$B$47,2,FALSE)," ")</f>
        <v xml:space="preserve"> </v>
      </c>
      <c r="B3522" s="366" t="str">
        <f>VLOOKUP(VALUE(D3522),$D$3:F$106,3,FALSE)</f>
        <v>Payroll</v>
      </c>
      <c r="C3522" t="s">
        <v>314</v>
      </c>
      <c r="D3522">
        <v>871</v>
      </c>
      <c r="E3522" t="s">
        <v>1086</v>
      </c>
      <c r="F3522" t="s">
        <v>356</v>
      </c>
      <c r="G3522" t="s">
        <v>319</v>
      </c>
      <c r="H3522" s="502">
        <v>51156</v>
      </c>
      <c r="I3522" s="415">
        <v>0</v>
      </c>
      <c r="J3522" s="415">
        <v>0</v>
      </c>
      <c r="K3522" s="415">
        <v>0</v>
      </c>
      <c r="L3522" s="415">
        <v>5287.25</v>
      </c>
      <c r="M3522" s="415">
        <v>4885.8999999999996</v>
      </c>
      <c r="N3522" s="415">
        <v>4665.7700000000004</v>
      </c>
      <c r="O3522" s="415">
        <v>2314.11</v>
      </c>
      <c r="P3522" s="415">
        <v>6756.4</v>
      </c>
      <c r="Q3522" s="481">
        <f t="shared" si="101"/>
        <v>0</v>
      </c>
    </row>
    <row r="3523" spans="1:17" x14ac:dyDescent="0.3">
      <c r="A3523" s="366" t="str">
        <f>IFERROR(VLOOKUP(RIGHT(E3523,3)+0,[1]SchLocTable!$A$2:$B$47,2,FALSE)," ")</f>
        <v xml:space="preserve"> </v>
      </c>
      <c r="B3523" s="366" t="str">
        <f>VLOOKUP(VALUE(D3523),$D$3:F$106,3,FALSE)</f>
        <v>Stockroom</v>
      </c>
      <c r="C3523" t="s">
        <v>314</v>
      </c>
      <c r="D3523">
        <v>872</v>
      </c>
      <c r="E3523" t="s">
        <v>1088</v>
      </c>
      <c r="F3523" t="s">
        <v>1089</v>
      </c>
      <c r="G3523" t="s">
        <v>319</v>
      </c>
      <c r="H3523" s="502">
        <v>51102</v>
      </c>
      <c r="I3523" s="415">
        <v>0</v>
      </c>
      <c r="J3523" s="415">
        <v>0</v>
      </c>
      <c r="K3523" s="415">
        <v>0</v>
      </c>
      <c r="L3523" s="415">
        <v>324.48</v>
      </c>
      <c r="M3523" s="415">
        <v>883.23</v>
      </c>
      <c r="N3523" s="415">
        <v>1264.5999999999999</v>
      </c>
      <c r="O3523" s="415">
        <v>703.32</v>
      </c>
      <c r="P3523" s="415">
        <v>831.58</v>
      </c>
      <c r="Q3523" s="481">
        <f t="shared" si="101"/>
        <v>0</v>
      </c>
    </row>
    <row r="3524" spans="1:17" x14ac:dyDescent="0.3">
      <c r="A3524" s="366" t="str">
        <f>IFERROR(VLOOKUP(RIGHT(E3524,3)+0,[1]SchLocTable!$A$2:$B$47,2,FALSE)," ")</f>
        <v xml:space="preserve"> </v>
      </c>
      <c r="B3524" s="366" t="str">
        <f>VLOOKUP(VALUE(D3524),$D$3:F$106,3,FALSE)</f>
        <v>Stockroom</v>
      </c>
      <c r="C3524" t="s">
        <v>314</v>
      </c>
      <c r="D3524">
        <v>872</v>
      </c>
      <c r="E3524" t="s">
        <v>1088</v>
      </c>
      <c r="F3524" t="s">
        <v>316</v>
      </c>
      <c r="G3524">
        <v>4</v>
      </c>
      <c r="H3524" s="502">
        <v>51000</v>
      </c>
      <c r="I3524" s="415">
        <v>248088.85868</v>
      </c>
      <c r="J3524" s="415">
        <v>231224</v>
      </c>
      <c r="K3524" s="415">
        <v>230502</v>
      </c>
      <c r="L3524" s="415">
        <v>217973.52</v>
      </c>
      <c r="M3524" s="415">
        <v>206042.22</v>
      </c>
      <c r="N3524" s="415">
        <v>182891.67</v>
      </c>
      <c r="O3524" s="415">
        <v>140063.65</v>
      </c>
      <c r="P3524" s="415">
        <v>139653</v>
      </c>
      <c r="Q3524" s="481">
        <f t="shared" si="101"/>
        <v>-16864.858680000005</v>
      </c>
    </row>
    <row r="3525" spans="1:17" x14ac:dyDescent="0.3">
      <c r="A3525" s="366" t="str">
        <f>IFERROR(VLOOKUP(RIGHT(E3525,3)+0,[1]SchLocTable!$A$2:$B$47,2,FALSE)," ")</f>
        <v xml:space="preserve"> </v>
      </c>
      <c r="B3525" s="366" t="str">
        <f>VLOOKUP(VALUE(D3525),$D$3:F$106,3,FALSE)</f>
        <v>Stockroom</v>
      </c>
      <c r="C3525" t="s">
        <v>314</v>
      </c>
      <c r="D3525">
        <v>872</v>
      </c>
      <c r="E3525" t="s">
        <v>1088</v>
      </c>
      <c r="F3525" t="s">
        <v>321</v>
      </c>
      <c r="G3525" t="s">
        <v>319</v>
      </c>
      <c r="H3525" s="502">
        <v>52917</v>
      </c>
      <c r="I3525" s="415">
        <v>73646.351999999999</v>
      </c>
      <c r="J3525" s="415">
        <v>61043</v>
      </c>
      <c r="K3525" s="415">
        <v>55793.89</v>
      </c>
      <c r="L3525" s="415">
        <v>89557.1</v>
      </c>
      <c r="M3525" s="415">
        <v>80066.509999999995</v>
      </c>
      <c r="N3525" s="415">
        <v>53829.45</v>
      </c>
      <c r="O3525" s="415">
        <v>34491.03</v>
      </c>
      <c r="P3525" s="415">
        <v>34464.69</v>
      </c>
      <c r="Q3525" s="481">
        <f t="shared" si="101"/>
        <v>-12603.351999999999</v>
      </c>
    </row>
    <row r="3526" spans="1:17" x14ac:dyDescent="0.3">
      <c r="A3526" s="366" t="str">
        <f>IFERROR(VLOOKUP(RIGHT(E3526,3)+0,[1]SchLocTable!$A$2:$B$47,2,FALSE)," ")</f>
        <v xml:space="preserve"> </v>
      </c>
      <c r="B3526" s="366" t="str">
        <f>VLOOKUP(VALUE(D3526),$D$3:F$106,3,FALSE)</f>
        <v>Stockroom</v>
      </c>
      <c r="C3526" t="s">
        <v>314</v>
      </c>
      <c r="D3526">
        <v>872</v>
      </c>
      <c r="E3526" t="s">
        <v>1088</v>
      </c>
      <c r="F3526" t="s">
        <v>1087</v>
      </c>
      <c r="G3526" t="s">
        <v>319</v>
      </c>
      <c r="H3526" s="502">
        <v>51116</v>
      </c>
      <c r="I3526" s="415">
        <v>0</v>
      </c>
      <c r="J3526" s="415">
        <v>0</v>
      </c>
      <c r="K3526" s="415">
        <v>352.64</v>
      </c>
      <c r="L3526" s="415">
        <v>0</v>
      </c>
      <c r="M3526" s="415">
        <v>0</v>
      </c>
      <c r="N3526" s="415">
        <v>0</v>
      </c>
      <c r="O3526" s="415">
        <v>0</v>
      </c>
      <c r="P3526" s="415">
        <v>0</v>
      </c>
      <c r="Q3526" s="481">
        <f t="shared" si="101"/>
        <v>0</v>
      </c>
    </row>
    <row r="3527" spans="1:17" x14ac:dyDescent="0.3">
      <c r="A3527" s="366" t="str">
        <f>IFERROR(VLOOKUP(RIGHT(E3527,3)+0,[1]SchLocTable!$A$2:$B$47,2,FALSE)," ")</f>
        <v xml:space="preserve"> </v>
      </c>
      <c r="B3527" s="366" t="str">
        <f>VLOOKUP(VALUE(D3527),$D$3:F$106,3,FALSE)</f>
        <v>Stockroom</v>
      </c>
      <c r="C3527" t="s">
        <v>314</v>
      </c>
      <c r="D3527">
        <v>872</v>
      </c>
      <c r="E3527" t="s">
        <v>1088</v>
      </c>
      <c r="F3527" t="s">
        <v>318</v>
      </c>
      <c r="G3527" t="s">
        <v>319</v>
      </c>
      <c r="H3527" s="502">
        <v>51140</v>
      </c>
      <c r="I3527" s="415">
        <v>4605</v>
      </c>
      <c r="J3527" s="415">
        <v>0</v>
      </c>
      <c r="K3527" s="415">
        <v>4460</v>
      </c>
      <c r="L3527" s="415">
        <v>5965</v>
      </c>
      <c r="M3527" s="415">
        <v>5970</v>
      </c>
      <c r="N3527" s="415">
        <v>2625</v>
      </c>
      <c r="O3527" s="415">
        <v>4350</v>
      </c>
      <c r="P3527" s="415">
        <v>5275</v>
      </c>
      <c r="Q3527" s="481">
        <f t="shared" si="101"/>
        <v>-4605</v>
      </c>
    </row>
    <row r="3528" spans="1:17" x14ac:dyDescent="0.3">
      <c r="A3528" s="366" t="str">
        <f>IFERROR(VLOOKUP(RIGHT(E3528,3)+0,[1]SchLocTable!$A$2:$B$47,2,FALSE)," ")</f>
        <v xml:space="preserve"> </v>
      </c>
      <c r="B3528" s="366" t="str">
        <f>VLOOKUP(VALUE(D3528),$D$3:F$106,3,FALSE)</f>
        <v>Stockroom</v>
      </c>
      <c r="C3528" t="s">
        <v>314</v>
      </c>
      <c r="D3528">
        <v>872</v>
      </c>
      <c r="E3528" t="s">
        <v>1088</v>
      </c>
      <c r="F3528" t="s">
        <v>320</v>
      </c>
      <c r="G3528" t="s">
        <v>319</v>
      </c>
      <c r="H3528" s="502">
        <v>52360</v>
      </c>
      <c r="I3528" s="415">
        <v>3847.6719196240001</v>
      </c>
      <c r="J3528" s="415">
        <v>1895</v>
      </c>
      <c r="K3528" s="415">
        <v>2014.37</v>
      </c>
      <c r="L3528" s="415">
        <v>1996</v>
      </c>
      <c r="M3528" s="415">
        <v>1689.2</v>
      </c>
      <c r="N3528" s="415">
        <v>1615.37</v>
      </c>
      <c r="O3528" s="415">
        <v>1022.41</v>
      </c>
      <c r="P3528" s="415">
        <v>1050.8699999999999</v>
      </c>
      <c r="Q3528" s="481">
        <f t="shared" si="101"/>
        <v>-1952.6719196240001</v>
      </c>
    </row>
    <row r="3529" spans="1:17" x14ac:dyDescent="0.3">
      <c r="A3529" s="366" t="str">
        <f>IFERROR(VLOOKUP(RIGHT(E3529,3)+0,[1]SchLocTable!$A$2:$B$47,2,FALSE)," ")</f>
        <v xml:space="preserve"> </v>
      </c>
      <c r="B3529" s="366" t="str">
        <f>VLOOKUP(VALUE(D3529),$D$3:F$106,3,FALSE)</f>
        <v>Stockroom</v>
      </c>
      <c r="C3529" t="s">
        <v>314</v>
      </c>
      <c r="D3529">
        <v>872</v>
      </c>
      <c r="E3529" t="s">
        <v>1088</v>
      </c>
      <c r="F3529" t="s">
        <v>392</v>
      </c>
      <c r="G3529" t="s">
        <v>319</v>
      </c>
      <c r="H3529" s="502">
        <v>52504</v>
      </c>
      <c r="I3529" s="415">
        <v>55141.118958473598</v>
      </c>
      <c r="J3529" s="415">
        <v>49005</v>
      </c>
      <c r="K3529" s="415">
        <v>51985.85</v>
      </c>
      <c r="L3529" s="415">
        <v>49160.41</v>
      </c>
      <c r="M3529" s="415">
        <v>47277.47</v>
      </c>
      <c r="N3529" s="415">
        <v>39292.07</v>
      </c>
      <c r="O3529" s="415">
        <v>26244.76</v>
      </c>
      <c r="P3529" s="415">
        <v>23048.45</v>
      </c>
      <c r="Q3529" s="481">
        <f t="shared" si="101"/>
        <v>-6136.1189584735985</v>
      </c>
    </row>
    <row r="3530" spans="1:17" x14ac:dyDescent="0.3">
      <c r="A3530" s="366" t="str">
        <f>IFERROR(VLOOKUP(RIGHT(E3530,3)+0,[1]SchLocTable!$A$2:$B$47,2,FALSE)," ")</f>
        <v xml:space="preserve"> </v>
      </c>
      <c r="B3530" s="366" t="str">
        <f>VLOOKUP(VALUE(D3530),$D$3:F$106,3,FALSE)</f>
        <v>Stockroom</v>
      </c>
      <c r="C3530" t="s">
        <v>314</v>
      </c>
      <c r="D3530">
        <v>872</v>
      </c>
      <c r="E3530" t="s">
        <v>1088</v>
      </c>
      <c r="F3530" t="s">
        <v>1090</v>
      </c>
      <c r="G3530" t="s">
        <v>319</v>
      </c>
      <c r="H3530" s="502">
        <v>51138</v>
      </c>
      <c r="I3530" s="415">
        <v>2613.7384000000002</v>
      </c>
      <c r="J3530" s="415">
        <v>0</v>
      </c>
      <c r="K3530" s="415">
        <v>2033.2</v>
      </c>
      <c r="L3530" s="415">
        <v>1058</v>
      </c>
      <c r="M3530" s="415">
        <v>0</v>
      </c>
      <c r="N3530" s="415">
        <v>0</v>
      </c>
      <c r="O3530" s="415">
        <v>0</v>
      </c>
      <c r="P3530" s="415">
        <v>0</v>
      </c>
      <c r="Q3530" s="481">
        <f t="shared" si="101"/>
        <v>-2613.7384000000002</v>
      </c>
    </row>
    <row r="3531" spans="1:17" x14ac:dyDescent="0.3">
      <c r="A3531" s="366" t="str">
        <f>IFERROR(VLOOKUP(RIGHT(E3531,3)+0,[1]SchLocTable!$A$2:$B$47,2,FALSE)," ")</f>
        <v xml:space="preserve"> </v>
      </c>
      <c r="B3531" s="366" t="str">
        <f>VLOOKUP(VALUE(D3531),$D$3:F$106,3,FALSE)</f>
        <v>Stockroom</v>
      </c>
      <c r="C3531" t="s">
        <v>314</v>
      </c>
      <c r="D3531">
        <v>872</v>
      </c>
      <c r="E3531" t="s">
        <v>1088</v>
      </c>
      <c r="F3531" t="s">
        <v>419</v>
      </c>
      <c r="G3531" t="s">
        <v>319</v>
      </c>
      <c r="H3531" s="502">
        <v>51318</v>
      </c>
      <c r="I3531" s="415">
        <v>0</v>
      </c>
      <c r="J3531" s="415">
        <v>0</v>
      </c>
      <c r="K3531" s="415">
        <v>0</v>
      </c>
      <c r="L3531" s="415">
        <v>886.03</v>
      </c>
      <c r="M3531" s="415">
        <v>0</v>
      </c>
      <c r="N3531" s="415">
        <v>0</v>
      </c>
      <c r="O3531" s="415">
        <v>0</v>
      </c>
      <c r="P3531" s="415">
        <v>258</v>
      </c>
      <c r="Q3531" s="481">
        <f t="shared" si="101"/>
        <v>0</v>
      </c>
    </row>
    <row r="3532" spans="1:17" x14ac:dyDescent="0.3">
      <c r="A3532" s="366" t="str">
        <f>IFERROR(VLOOKUP(RIGHT(E3532,3)+0,[1]SchLocTable!$A$2:$B$47,2,FALSE)," ")</f>
        <v xml:space="preserve"> </v>
      </c>
      <c r="B3532" s="366" t="str">
        <f>VLOOKUP(VALUE(D3532),$D$3:F$106,3,FALSE)</f>
        <v>Stockroom</v>
      </c>
      <c r="C3532" t="s">
        <v>314</v>
      </c>
      <c r="D3532">
        <v>872</v>
      </c>
      <c r="E3532" t="s">
        <v>1088</v>
      </c>
      <c r="F3532" t="s">
        <v>452</v>
      </c>
      <c r="G3532" t="s">
        <v>319</v>
      </c>
      <c r="H3532" s="502">
        <v>51108</v>
      </c>
      <c r="I3532" s="415">
        <v>14654.087032000001</v>
      </c>
      <c r="J3532" s="415">
        <v>2670.02</v>
      </c>
      <c r="K3532" s="415">
        <v>11612.08</v>
      </c>
      <c r="L3532" s="415">
        <v>4164.9799999999996</v>
      </c>
      <c r="M3532" s="415">
        <v>3095.96</v>
      </c>
      <c r="N3532" s="415">
        <v>8059.47</v>
      </c>
      <c r="O3532" s="415">
        <v>2476.38</v>
      </c>
      <c r="P3532" s="415">
        <v>6681.34</v>
      </c>
      <c r="Q3532" s="481">
        <f t="shared" si="101"/>
        <v>-11984.067032000001</v>
      </c>
    </row>
    <row r="3533" spans="1:17" x14ac:dyDescent="0.3">
      <c r="A3533" s="366" t="str">
        <f>IFERROR(VLOOKUP(RIGHT(E3533,3)+0,[1]SchLocTable!$A$2:$B$47,2,FALSE)," ")</f>
        <v xml:space="preserve"> </v>
      </c>
      <c r="B3533" s="366" t="str">
        <f>VLOOKUP(VALUE(D3533),$D$3:F$106,3,FALSE)</f>
        <v>Stockroom</v>
      </c>
      <c r="C3533" t="s">
        <v>314</v>
      </c>
      <c r="D3533">
        <v>872</v>
      </c>
      <c r="E3533" t="s">
        <v>1088</v>
      </c>
      <c r="F3533" t="s">
        <v>483</v>
      </c>
      <c r="G3533" t="s">
        <v>319</v>
      </c>
      <c r="H3533" s="502">
        <v>51122</v>
      </c>
      <c r="I3533" s="415">
        <v>2477.1344000000004</v>
      </c>
      <c r="J3533" s="415">
        <v>2096.3200000000002</v>
      </c>
      <c r="K3533" s="415">
        <v>3473.01</v>
      </c>
      <c r="L3533" s="415">
        <v>2594.87</v>
      </c>
      <c r="M3533" s="415">
        <v>3319.36</v>
      </c>
      <c r="N3533" s="415">
        <v>11412.81</v>
      </c>
      <c r="O3533" s="415">
        <v>6228.6</v>
      </c>
      <c r="P3533" s="415">
        <v>8753</v>
      </c>
      <c r="Q3533" s="481">
        <f t="shared" si="101"/>
        <v>-380.81440000000021</v>
      </c>
    </row>
    <row r="3534" spans="1:17" x14ac:dyDescent="0.3">
      <c r="A3534" s="366" t="str">
        <f>IFERROR(VLOOKUP(RIGHT(E3534,3)+0,[1]SchLocTable!$A$2:$B$47,2,FALSE)," ")</f>
        <v xml:space="preserve"> </v>
      </c>
      <c r="B3534" s="366" t="str">
        <f>VLOOKUP(VALUE(D3534),$D$3:F$106,3,FALSE)</f>
        <v>Stockroom</v>
      </c>
      <c r="C3534" t="s">
        <v>314</v>
      </c>
      <c r="D3534">
        <v>872</v>
      </c>
      <c r="E3534" t="s">
        <v>1088</v>
      </c>
      <c r="F3534" t="s">
        <v>533</v>
      </c>
      <c r="G3534" t="s">
        <v>319</v>
      </c>
      <c r="H3534" s="502">
        <v>52397</v>
      </c>
      <c r="I3534" s="415">
        <v>0</v>
      </c>
      <c r="J3534" s="415">
        <v>0</v>
      </c>
      <c r="K3534" s="415">
        <v>0</v>
      </c>
      <c r="L3534" s="415">
        <v>540</v>
      </c>
      <c r="M3534" s="415">
        <v>540</v>
      </c>
      <c r="N3534" s="415">
        <v>0</v>
      </c>
      <c r="O3534" s="415">
        <v>0</v>
      </c>
      <c r="P3534" s="415">
        <v>0</v>
      </c>
      <c r="Q3534" s="481">
        <f t="shared" si="101"/>
        <v>0</v>
      </c>
    </row>
    <row r="3535" spans="1:17" x14ac:dyDescent="0.3">
      <c r="A3535" s="366" t="str">
        <f>IFERROR(VLOOKUP(RIGHT(E3535,3)+0,[1]SchLocTable!$A$2:$B$47,2,FALSE)," ")</f>
        <v xml:space="preserve"> </v>
      </c>
      <c r="B3535" s="366" t="str">
        <f>VLOOKUP(VALUE(D3535),$D$3:F$106,3,FALSE)</f>
        <v>Stockroom</v>
      </c>
      <c r="C3535" t="s">
        <v>314</v>
      </c>
      <c r="D3535">
        <v>872</v>
      </c>
      <c r="E3535" t="s">
        <v>1088</v>
      </c>
      <c r="F3535" t="s">
        <v>1082</v>
      </c>
      <c r="G3535" t="s">
        <v>319</v>
      </c>
      <c r="H3535" s="502">
        <v>51155</v>
      </c>
      <c r="I3535" s="415">
        <v>0</v>
      </c>
      <c r="J3535" s="415">
        <v>0</v>
      </c>
      <c r="K3535" s="415">
        <v>313.04000000000002</v>
      </c>
      <c r="L3535" s="415">
        <v>0</v>
      </c>
      <c r="M3535" s="415">
        <v>0</v>
      </c>
      <c r="N3535" s="415">
        <v>0</v>
      </c>
      <c r="O3535" s="415">
        <v>0</v>
      </c>
      <c r="P3535" s="415">
        <v>0</v>
      </c>
      <c r="Q3535" s="481">
        <f t="shared" si="101"/>
        <v>0</v>
      </c>
    </row>
    <row r="3536" spans="1:17" x14ac:dyDescent="0.3">
      <c r="A3536" s="366" t="str">
        <f>IFERROR(VLOOKUP(RIGHT(E3536,3)+0,[1]SchLocTable!$A$2:$B$47,2,FALSE)," ")</f>
        <v xml:space="preserve"> </v>
      </c>
      <c r="B3536" s="366" t="str">
        <f>VLOOKUP(VALUE(D3536),$D$3:F$106,3,FALSE)</f>
        <v>Stockroom</v>
      </c>
      <c r="C3536" t="s">
        <v>314</v>
      </c>
      <c r="D3536">
        <v>872</v>
      </c>
      <c r="E3536" t="s">
        <v>1088</v>
      </c>
      <c r="F3536" t="s">
        <v>329</v>
      </c>
      <c r="G3536" t="s">
        <v>319</v>
      </c>
      <c r="H3536" s="502">
        <v>51154</v>
      </c>
      <c r="I3536" s="415">
        <v>0</v>
      </c>
      <c r="J3536" s="415">
        <v>0</v>
      </c>
      <c r="K3536" s="415">
        <v>0</v>
      </c>
      <c r="L3536" s="415">
        <v>1550.56</v>
      </c>
      <c r="M3536" s="415">
        <v>0</v>
      </c>
      <c r="N3536" s="415">
        <v>0</v>
      </c>
      <c r="O3536" s="415">
        <v>0</v>
      </c>
      <c r="P3536" s="415">
        <v>0</v>
      </c>
      <c r="Q3536" s="481">
        <f t="shared" si="101"/>
        <v>0</v>
      </c>
    </row>
    <row r="3537" spans="1:17" x14ac:dyDescent="0.3">
      <c r="A3537" s="366" t="str">
        <f>IFERROR(VLOOKUP(RIGHT(E3537,3)+0,[1]SchLocTable!$A$2:$B$47,2,FALSE)," ")</f>
        <v xml:space="preserve"> </v>
      </c>
      <c r="B3537" s="366" t="str">
        <f>VLOOKUP(VALUE(D3537),$D$3:F$106,3,FALSE)</f>
        <v>Stockroom</v>
      </c>
      <c r="C3537" t="s">
        <v>314</v>
      </c>
      <c r="D3537">
        <v>872</v>
      </c>
      <c r="E3537" t="s">
        <v>1088</v>
      </c>
      <c r="F3537" t="s">
        <v>418</v>
      </c>
      <c r="G3537" t="s">
        <v>319</v>
      </c>
      <c r="H3537" s="502">
        <v>51314</v>
      </c>
      <c r="I3537" s="415">
        <v>0</v>
      </c>
      <c r="J3537" s="415">
        <v>0</v>
      </c>
      <c r="K3537" s="415">
        <v>0</v>
      </c>
      <c r="L3537" s="415">
        <v>6645.24</v>
      </c>
      <c r="M3537" s="415">
        <v>0</v>
      </c>
      <c r="N3537" s="415">
        <v>1817</v>
      </c>
      <c r="O3537" s="415">
        <v>0</v>
      </c>
      <c r="P3537" s="415">
        <v>1634</v>
      </c>
      <c r="Q3537" s="481">
        <f t="shared" si="101"/>
        <v>0</v>
      </c>
    </row>
    <row r="3538" spans="1:17" x14ac:dyDescent="0.3">
      <c r="A3538" s="366" t="str">
        <f>IFERROR(VLOOKUP(RIGHT(E3538,3)+0,[1]SchLocTable!$A$2:$B$47,2,FALSE)," ")</f>
        <v xml:space="preserve"> </v>
      </c>
      <c r="B3538" s="366" t="str">
        <f>VLOOKUP(VALUE(D3538),$D$3:F$106,3,FALSE)</f>
        <v>Stockroom</v>
      </c>
      <c r="C3538" t="s">
        <v>314</v>
      </c>
      <c r="D3538">
        <v>872</v>
      </c>
      <c r="E3538" t="s">
        <v>1088</v>
      </c>
      <c r="F3538" t="s">
        <v>356</v>
      </c>
      <c r="G3538" t="s">
        <v>319</v>
      </c>
      <c r="H3538" s="502">
        <v>51156</v>
      </c>
      <c r="I3538" s="415">
        <v>0</v>
      </c>
      <c r="J3538" s="415">
        <v>0</v>
      </c>
      <c r="K3538" s="415">
        <v>3130.38</v>
      </c>
      <c r="L3538" s="415">
        <v>2950.7</v>
      </c>
      <c r="M3538" s="415">
        <v>2950.7</v>
      </c>
      <c r="N3538" s="415">
        <v>2856.8</v>
      </c>
      <c r="O3538" s="415">
        <v>4556.47</v>
      </c>
      <c r="P3538" s="415">
        <v>2773.62</v>
      </c>
      <c r="Q3538" s="481">
        <f t="shared" si="101"/>
        <v>0</v>
      </c>
    </row>
    <row r="3539" spans="1:17" x14ac:dyDescent="0.3">
      <c r="A3539" s="366" t="str">
        <f>IFERROR(VLOOKUP(RIGHT(E3539,3)+0,[1]SchLocTable!$A$2:$B$47,2,FALSE)," ")</f>
        <v xml:space="preserve"> </v>
      </c>
      <c r="B3539" s="366" t="str">
        <f>VLOOKUP(VALUE(D3539),$D$3:F$106,3,FALSE)</f>
        <v>Technology</v>
      </c>
      <c r="C3539" t="s">
        <v>314</v>
      </c>
      <c r="D3539">
        <v>873</v>
      </c>
      <c r="E3539" t="s">
        <v>1091</v>
      </c>
      <c r="F3539" t="s">
        <v>1092</v>
      </c>
      <c r="G3539" t="s">
        <v>319</v>
      </c>
      <c r="H3539" s="502">
        <v>54560</v>
      </c>
      <c r="I3539" s="415">
        <v>36771</v>
      </c>
      <c r="J3539" s="415">
        <v>35700</v>
      </c>
      <c r="K3539" s="415">
        <v>15392.12</v>
      </c>
      <c r="L3539" s="415">
        <v>29159.18</v>
      </c>
      <c r="M3539" s="415">
        <v>24345.22</v>
      </c>
      <c r="N3539" s="415">
        <v>26222.54</v>
      </c>
      <c r="O3539" s="415">
        <v>11227.27</v>
      </c>
      <c r="P3539" s="415">
        <v>22975.29</v>
      </c>
      <c r="Q3539" s="481">
        <f t="shared" si="101"/>
        <v>-1071</v>
      </c>
    </row>
    <row r="3540" spans="1:17" x14ac:dyDescent="0.3">
      <c r="A3540" s="366" t="str">
        <f>IFERROR(VLOOKUP(RIGHT(E3540,3)+0,[1]SchLocTable!$A$2:$B$47,2,FALSE)," ")</f>
        <v xml:space="preserve"> </v>
      </c>
      <c r="B3540" s="366" t="str">
        <f>VLOOKUP(VALUE(D3540),$D$3:F$106,3,FALSE)</f>
        <v>Technology</v>
      </c>
      <c r="C3540" t="s">
        <v>314</v>
      </c>
      <c r="D3540">
        <v>873</v>
      </c>
      <c r="E3540" t="s">
        <v>1091</v>
      </c>
      <c r="F3540" t="s">
        <v>1094</v>
      </c>
      <c r="G3540" t="s">
        <v>319</v>
      </c>
      <c r="H3540" s="502">
        <v>55055</v>
      </c>
      <c r="I3540" s="415">
        <v>6113.05</v>
      </c>
      <c r="J3540" s="415">
        <v>5935</v>
      </c>
      <c r="K3540" s="415">
        <v>5457.67</v>
      </c>
      <c r="L3540" s="415">
        <v>10104.16</v>
      </c>
      <c r="M3540" s="415">
        <v>19995.73</v>
      </c>
      <c r="N3540" s="415">
        <v>4489.91</v>
      </c>
      <c r="O3540" s="415">
        <v>5360.78</v>
      </c>
      <c r="P3540" s="415">
        <v>216.89</v>
      </c>
      <c r="Q3540" s="481">
        <f t="shared" si="101"/>
        <v>-178.05000000000018</v>
      </c>
    </row>
    <row r="3541" spans="1:17" x14ac:dyDescent="0.3">
      <c r="A3541" s="366" t="str">
        <f>IFERROR(VLOOKUP(RIGHT(E3541,3)+0,[1]SchLocTable!$A$2:$B$47,2,FALSE)," ")</f>
        <v xml:space="preserve"> </v>
      </c>
      <c r="B3541" s="366" t="str">
        <f>VLOOKUP(VALUE(D3541),$D$3:F$106,3,FALSE)</f>
        <v>Technology</v>
      </c>
      <c r="C3541" t="s">
        <v>314</v>
      </c>
      <c r="D3541">
        <v>873</v>
      </c>
      <c r="E3541" t="s">
        <v>1091</v>
      </c>
      <c r="F3541" t="s">
        <v>474</v>
      </c>
      <c r="G3541" t="s">
        <v>319</v>
      </c>
      <c r="H3541" s="502">
        <v>54550</v>
      </c>
      <c r="I3541" s="415">
        <v>533068.21880000003</v>
      </c>
      <c r="J3541" s="415">
        <v>217541.96</v>
      </c>
      <c r="K3541" s="415">
        <v>230935.16</v>
      </c>
      <c r="L3541" s="415">
        <v>240879.4</v>
      </c>
      <c r="M3541" s="415">
        <v>327518.96999999997</v>
      </c>
      <c r="N3541" s="415">
        <v>328974.33</v>
      </c>
      <c r="O3541" s="415">
        <v>326448.57</v>
      </c>
      <c r="P3541" s="415">
        <v>368869.79</v>
      </c>
      <c r="Q3541" s="481">
        <f t="shared" si="101"/>
        <v>-315526.25880000007</v>
      </c>
    </row>
    <row r="3542" spans="1:17" x14ac:dyDescent="0.3">
      <c r="A3542" s="366" t="str">
        <f>IFERROR(VLOOKUP(RIGHT(E3542,3)+0,[1]SchLocTable!$A$2:$B$47,2,FALSE)," ")</f>
        <v xml:space="preserve"> </v>
      </c>
      <c r="B3542" s="366" t="str">
        <f>VLOOKUP(VALUE(D3542),$D$3:F$106,3,FALSE)</f>
        <v>Technology</v>
      </c>
      <c r="C3542" t="s">
        <v>314</v>
      </c>
      <c r="D3542">
        <v>873</v>
      </c>
      <c r="E3542" t="s">
        <v>1091</v>
      </c>
      <c r="F3542" t="s">
        <v>892</v>
      </c>
      <c r="G3542" t="s">
        <v>319</v>
      </c>
      <c r="H3542" s="502">
        <v>54555</v>
      </c>
      <c r="I3542" s="415">
        <v>15450</v>
      </c>
      <c r="J3542" s="415">
        <v>15000</v>
      </c>
      <c r="K3542" s="415">
        <v>49891.75</v>
      </c>
      <c r="L3542" s="415">
        <v>22468.3</v>
      </c>
      <c r="M3542" s="415">
        <v>19474.78</v>
      </c>
      <c r="N3542" s="415">
        <v>11599.43</v>
      </c>
      <c r="O3542" s="415">
        <v>13686.93</v>
      </c>
      <c r="P3542" s="415">
        <v>20206.8</v>
      </c>
      <c r="Q3542" s="481">
        <f t="shared" si="101"/>
        <v>-450</v>
      </c>
    </row>
    <row r="3543" spans="1:17" x14ac:dyDescent="0.3">
      <c r="A3543" s="366" t="str">
        <f>IFERROR(VLOOKUP(RIGHT(E3543,3)+0,[1]SchLocTable!$A$2:$B$47,2,FALSE)," ")</f>
        <v xml:space="preserve"> </v>
      </c>
      <c r="B3543" s="366" t="str">
        <f>VLOOKUP(VALUE(D3543),$D$3:F$106,3,FALSE)</f>
        <v>Technology</v>
      </c>
      <c r="C3543" t="s">
        <v>314</v>
      </c>
      <c r="D3543">
        <v>873</v>
      </c>
      <c r="E3543" t="s">
        <v>1091</v>
      </c>
      <c r="F3543" t="s">
        <v>1093</v>
      </c>
      <c r="G3543" t="s">
        <v>319</v>
      </c>
      <c r="H3543" s="502">
        <v>54570</v>
      </c>
      <c r="I3543" s="415">
        <v>1030</v>
      </c>
      <c r="J3543" s="415">
        <v>1000</v>
      </c>
      <c r="K3543" s="415">
        <v>0</v>
      </c>
      <c r="L3543" s="415">
        <v>0</v>
      </c>
      <c r="M3543" s="415">
        <v>0</v>
      </c>
      <c r="N3543" s="415">
        <v>0</v>
      </c>
      <c r="O3543" s="415">
        <v>0</v>
      </c>
      <c r="P3543" s="415">
        <v>6764.63</v>
      </c>
      <c r="Q3543" s="481">
        <f t="shared" si="101"/>
        <v>-30</v>
      </c>
    </row>
    <row r="3544" spans="1:17" x14ac:dyDescent="0.3">
      <c r="A3544" s="366" t="str">
        <f>IFERROR(VLOOKUP(RIGHT(E3544,3)+0,[1]SchLocTable!$A$2:$B$47,2,FALSE)," ")</f>
        <v xml:space="preserve"> </v>
      </c>
      <c r="B3544" s="366" t="str">
        <f>VLOOKUP(VALUE(D3544),$D$3:F$106,3,FALSE)</f>
        <v>Technology</v>
      </c>
      <c r="C3544" t="s">
        <v>314</v>
      </c>
      <c r="D3544">
        <v>873</v>
      </c>
      <c r="E3544" t="s">
        <v>1091</v>
      </c>
      <c r="F3544" t="s">
        <v>316</v>
      </c>
      <c r="G3544">
        <v>10</v>
      </c>
      <c r="H3544" s="502">
        <v>51000</v>
      </c>
      <c r="I3544" s="415">
        <v>888759.00302800024</v>
      </c>
      <c r="J3544" s="415">
        <v>847665.32</v>
      </c>
      <c r="K3544" s="415">
        <v>871448.22</v>
      </c>
      <c r="L3544" s="415">
        <v>582428.78</v>
      </c>
      <c r="M3544" s="415">
        <v>564869.43999999994</v>
      </c>
      <c r="N3544" s="415">
        <v>404271.18</v>
      </c>
      <c r="O3544" s="415">
        <v>548568.07999999996</v>
      </c>
      <c r="P3544" s="415">
        <v>540454.43000000005</v>
      </c>
      <c r="Q3544" s="481">
        <f t="shared" si="101"/>
        <v>-41093.683028000291</v>
      </c>
    </row>
    <row r="3545" spans="1:17" x14ac:dyDescent="0.3">
      <c r="A3545" s="366" t="str">
        <f>IFERROR(VLOOKUP(RIGHT(E3545,3)+0,[1]SchLocTable!$A$2:$B$47,2,FALSE)," ")</f>
        <v xml:space="preserve"> </v>
      </c>
      <c r="B3545" s="366" t="str">
        <f>VLOOKUP(VALUE(D3545),$D$3:F$106,3,FALSE)</f>
        <v>Technology</v>
      </c>
      <c r="C3545" t="s">
        <v>314</v>
      </c>
      <c r="D3545">
        <v>873</v>
      </c>
      <c r="E3545" t="s">
        <v>1091</v>
      </c>
      <c r="F3545" t="s">
        <v>360</v>
      </c>
      <c r="G3545" t="s">
        <v>319</v>
      </c>
      <c r="H3545" s="502">
        <v>52920</v>
      </c>
      <c r="I3545" s="415">
        <v>1500</v>
      </c>
      <c r="J3545" s="415">
        <v>958.35</v>
      </c>
      <c r="K3545" s="415">
        <v>1375.03</v>
      </c>
      <c r="L3545" s="415">
        <v>750</v>
      </c>
      <c r="M3545" s="415">
        <v>958.35</v>
      </c>
      <c r="N3545" s="415">
        <v>625</v>
      </c>
      <c r="O3545" s="415">
        <v>375</v>
      </c>
      <c r="P3545" s="415">
        <v>750</v>
      </c>
      <c r="Q3545" s="481">
        <f t="shared" si="101"/>
        <v>-541.65</v>
      </c>
    </row>
    <row r="3546" spans="1:17" x14ac:dyDescent="0.3">
      <c r="A3546" s="366" t="str">
        <f>IFERROR(VLOOKUP(RIGHT(E3546,3)+0,[1]SchLocTable!$A$2:$B$47,2,FALSE)," ")</f>
        <v xml:space="preserve"> </v>
      </c>
      <c r="B3546" s="366" t="str">
        <f>VLOOKUP(VALUE(D3546),$D$3:F$106,3,FALSE)</f>
        <v>Technology</v>
      </c>
      <c r="C3546" t="s">
        <v>314</v>
      </c>
      <c r="D3546">
        <v>873</v>
      </c>
      <c r="E3546" t="s">
        <v>1091</v>
      </c>
      <c r="F3546" t="s">
        <v>321</v>
      </c>
      <c r="G3546" t="s">
        <v>319</v>
      </c>
      <c r="H3546" s="502">
        <v>52917</v>
      </c>
      <c r="I3546" s="415">
        <v>159874.41599999997</v>
      </c>
      <c r="J3546" s="415">
        <v>149953.19</v>
      </c>
      <c r="K3546" s="415">
        <v>159203.29</v>
      </c>
      <c r="L3546" s="415">
        <v>129106.78</v>
      </c>
      <c r="M3546" s="415">
        <v>114963.3</v>
      </c>
      <c r="N3546" s="415">
        <v>80037.94</v>
      </c>
      <c r="O3546" s="415">
        <v>131874.1</v>
      </c>
      <c r="P3546" s="415">
        <v>117234.63</v>
      </c>
      <c r="Q3546" s="481">
        <f t="shared" si="101"/>
        <v>-9921.225999999966</v>
      </c>
    </row>
    <row r="3547" spans="1:17" x14ac:dyDescent="0.3">
      <c r="A3547" s="366" t="str">
        <f>IFERROR(VLOOKUP(RIGHT(E3547,3)+0,[1]SchLocTable!$A$2:$B$47,2,FALSE)," ")</f>
        <v xml:space="preserve"> </v>
      </c>
      <c r="B3547" s="366" t="str">
        <f>VLOOKUP(VALUE(D3547),$D$3:F$106,3,FALSE)</f>
        <v>Technology</v>
      </c>
      <c r="C3547" t="s">
        <v>314</v>
      </c>
      <c r="D3547">
        <v>873</v>
      </c>
      <c r="E3547" t="s">
        <v>1091</v>
      </c>
      <c r="F3547" t="s">
        <v>318</v>
      </c>
      <c r="G3547" t="s">
        <v>319</v>
      </c>
      <c r="H3547" s="502">
        <v>51140</v>
      </c>
      <c r="I3547" s="415">
        <v>1540</v>
      </c>
      <c r="J3547" s="415">
        <v>0</v>
      </c>
      <c r="K3547" s="415">
        <v>770</v>
      </c>
      <c r="L3547" s="415">
        <v>3080</v>
      </c>
      <c r="M3547" s="415">
        <v>1610</v>
      </c>
      <c r="N3547" s="415">
        <v>1540</v>
      </c>
      <c r="O3547" s="415">
        <v>5600</v>
      </c>
      <c r="P3547" s="415">
        <v>4110</v>
      </c>
      <c r="Q3547" s="481">
        <f t="shared" si="101"/>
        <v>-1540</v>
      </c>
    </row>
    <row r="3548" spans="1:17" x14ac:dyDescent="0.3">
      <c r="A3548" s="366" t="str">
        <f>IFERROR(VLOOKUP(RIGHT(E3548,3)+0,[1]SchLocTable!$A$2:$B$47,2,FALSE)," ")</f>
        <v xml:space="preserve"> </v>
      </c>
      <c r="B3548" s="366" t="str">
        <f>VLOOKUP(VALUE(D3548),$D$3:F$106,3,FALSE)</f>
        <v>Technology</v>
      </c>
      <c r="C3548" t="s">
        <v>314</v>
      </c>
      <c r="D3548">
        <v>873</v>
      </c>
      <c r="E3548" t="s">
        <v>1091</v>
      </c>
      <c r="F3548" t="s">
        <v>320</v>
      </c>
      <c r="G3548" t="s">
        <v>319</v>
      </c>
      <c r="H3548" s="502">
        <v>52360</v>
      </c>
      <c r="I3548" s="415">
        <v>13441.888906356002</v>
      </c>
      <c r="J3548" s="415">
        <v>12259.94</v>
      </c>
      <c r="K3548" s="415">
        <v>13364.42</v>
      </c>
      <c r="L3548" s="415">
        <v>8888.16</v>
      </c>
      <c r="M3548" s="415">
        <v>9116</v>
      </c>
      <c r="N3548" s="415">
        <v>6851.08</v>
      </c>
      <c r="O3548" s="415">
        <v>8815.1299999999992</v>
      </c>
      <c r="P3548" s="415">
        <v>8402.09</v>
      </c>
      <c r="Q3548" s="481">
        <f t="shared" si="101"/>
        <v>-1181.9489063560013</v>
      </c>
    </row>
    <row r="3549" spans="1:17" x14ac:dyDescent="0.3">
      <c r="A3549" s="366" t="str">
        <f>IFERROR(VLOOKUP(RIGHT(E3549,3)+0,[1]SchLocTable!$A$2:$B$47,2,FALSE)," ")</f>
        <v xml:space="preserve"> </v>
      </c>
      <c r="B3549" s="366" t="str">
        <f>VLOOKUP(VALUE(D3549),$D$3:F$106,3,FALSE)</f>
        <v>Technology</v>
      </c>
      <c r="C3549" t="s">
        <v>314</v>
      </c>
      <c r="D3549">
        <v>873</v>
      </c>
      <c r="E3549" t="s">
        <v>1091</v>
      </c>
      <c r="F3549" t="s">
        <v>392</v>
      </c>
      <c r="G3549" t="s">
        <v>319</v>
      </c>
      <c r="H3549" s="502">
        <v>52504</v>
      </c>
      <c r="I3549" s="415">
        <v>192636.17343039843</v>
      </c>
      <c r="J3549" s="415">
        <v>178848.71</v>
      </c>
      <c r="K3549" s="415">
        <v>170290.46</v>
      </c>
      <c r="L3549" s="415">
        <v>123221.29</v>
      </c>
      <c r="M3549" s="415">
        <v>112869.75</v>
      </c>
      <c r="N3549" s="415">
        <v>84158.9</v>
      </c>
      <c r="O3549" s="415">
        <v>78600.91</v>
      </c>
      <c r="P3549" s="415">
        <v>71036.05</v>
      </c>
      <c r="Q3549" s="481">
        <f t="shared" si="101"/>
        <v>-13787.463430398435</v>
      </c>
    </row>
    <row r="3550" spans="1:17" x14ac:dyDescent="0.3">
      <c r="A3550" s="366" t="str">
        <f>IFERROR(VLOOKUP(RIGHT(E3550,3)+0,[1]SchLocTable!$A$2:$B$47,2,FALSE)," ")</f>
        <v xml:space="preserve"> </v>
      </c>
      <c r="B3550" s="366" t="str">
        <f>VLOOKUP(VALUE(D3550),$D$3:F$106,3,FALSE)</f>
        <v>Technology</v>
      </c>
      <c r="C3550" t="s">
        <v>314</v>
      </c>
      <c r="D3550">
        <v>873</v>
      </c>
      <c r="E3550" t="s">
        <v>1091</v>
      </c>
      <c r="F3550" t="s">
        <v>458</v>
      </c>
      <c r="G3550" t="s">
        <v>319</v>
      </c>
      <c r="H3550" s="502">
        <v>54675</v>
      </c>
      <c r="I3550" s="415">
        <v>5871</v>
      </c>
      <c r="J3550" s="415">
        <v>5700</v>
      </c>
      <c r="K3550" s="415">
        <v>4789.9799999999996</v>
      </c>
      <c r="L3550" s="415">
        <v>1005.81</v>
      </c>
      <c r="M3550" s="415">
        <v>6845.58</v>
      </c>
      <c r="N3550" s="415">
        <v>3251.79</v>
      </c>
      <c r="O3550" s="415">
        <v>3192.83</v>
      </c>
      <c r="P3550" s="415">
        <v>345.63</v>
      </c>
      <c r="Q3550" s="481">
        <f t="shared" si="101"/>
        <v>-171</v>
      </c>
    </row>
    <row r="3551" spans="1:17" x14ac:dyDescent="0.3">
      <c r="A3551" s="366" t="str">
        <f>IFERROR(VLOOKUP(RIGHT(E3551,3)+0,[1]SchLocTable!$A$2:$B$47,2,FALSE)," ")</f>
        <v xml:space="preserve"> </v>
      </c>
      <c r="B3551" s="366" t="str">
        <f>VLOOKUP(VALUE(D3551),$D$3:F$106,3,FALSE)</f>
        <v>Technology</v>
      </c>
      <c r="C3551" t="s">
        <v>314</v>
      </c>
      <c r="D3551">
        <v>873</v>
      </c>
      <c r="E3551" t="s">
        <v>1091</v>
      </c>
      <c r="F3551" t="s">
        <v>464</v>
      </c>
      <c r="G3551" t="s">
        <v>319</v>
      </c>
      <c r="H3551" s="502">
        <v>56180</v>
      </c>
      <c r="I3551" s="415">
        <v>202623.0111</v>
      </c>
      <c r="J3551" s="415">
        <v>196721.37</v>
      </c>
      <c r="K3551" s="415">
        <v>635609.59</v>
      </c>
      <c r="L3551" s="415">
        <v>334369.84000000003</v>
      </c>
      <c r="M3551" s="415">
        <v>96695.360000000001</v>
      </c>
      <c r="N3551" s="415">
        <v>170350.04</v>
      </c>
      <c r="O3551" s="415">
        <v>157069.74</v>
      </c>
      <c r="P3551" s="415">
        <v>272617.55</v>
      </c>
      <c r="Q3551" s="481">
        <f t="shared" si="101"/>
        <v>-5901.641100000008</v>
      </c>
    </row>
    <row r="3552" spans="1:17" x14ac:dyDescent="0.3">
      <c r="A3552" s="366" t="str">
        <f>IFERROR(VLOOKUP(RIGHT(E3552,3)+0,[1]SchLocTable!$A$2:$B$47,2,FALSE)," ")</f>
        <v xml:space="preserve"> </v>
      </c>
      <c r="B3552" s="366" t="str">
        <f>VLOOKUP(VALUE(D3552),$D$3:F$106,3,FALSE)</f>
        <v>Technology</v>
      </c>
      <c r="C3552" t="s">
        <v>314</v>
      </c>
      <c r="D3552">
        <v>873</v>
      </c>
      <c r="E3552" t="s">
        <v>1091</v>
      </c>
      <c r="F3552" t="s">
        <v>419</v>
      </c>
      <c r="G3552" t="s">
        <v>319</v>
      </c>
      <c r="H3552" s="502">
        <v>51318</v>
      </c>
      <c r="I3552" s="415">
        <v>0</v>
      </c>
      <c r="J3552" s="415">
        <v>0</v>
      </c>
      <c r="K3552" s="415">
        <v>390.15</v>
      </c>
      <c r="L3552" s="415">
        <v>0</v>
      </c>
      <c r="M3552" s="415">
        <v>950.61</v>
      </c>
      <c r="N3552" s="415">
        <v>0</v>
      </c>
      <c r="O3552" s="415">
        <v>1049.5999999999999</v>
      </c>
      <c r="P3552" s="415">
        <v>0</v>
      </c>
      <c r="Q3552" s="481">
        <f t="shared" si="101"/>
        <v>0</v>
      </c>
    </row>
    <row r="3553" spans="1:17" x14ac:dyDescent="0.3">
      <c r="A3553" s="366" t="str">
        <f>IFERROR(VLOOKUP(RIGHT(E3553,3)+0,[1]SchLocTable!$A$2:$B$47,2,FALSE)," ")</f>
        <v xml:space="preserve"> </v>
      </c>
      <c r="B3553" s="366" t="str">
        <f>VLOOKUP(VALUE(D3553),$D$3:F$106,3,FALSE)</f>
        <v>Technology</v>
      </c>
      <c r="C3553" t="s">
        <v>314</v>
      </c>
      <c r="D3553">
        <v>873</v>
      </c>
      <c r="E3553" t="s">
        <v>1091</v>
      </c>
      <c r="F3553" t="s">
        <v>459</v>
      </c>
      <c r="G3553" t="s">
        <v>319</v>
      </c>
      <c r="H3553" s="502">
        <v>59015</v>
      </c>
      <c r="I3553" s="415">
        <v>206</v>
      </c>
      <c r="J3553" s="415">
        <v>200</v>
      </c>
      <c r="K3553" s="415">
        <v>606</v>
      </c>
      <c r="L3553" s="415">
        <v>120.6</v>
      </c>
      <c r="M3553" s="415">
        <v>199.25</v>
      </c>
      <c r="N3553" s="415">
        <v>0</v>
      </c>
      <c r="O3553" s="415">
        <v>0</v>
      </c>
      <c r="P3553" s="415">
        <v>0</v>
      </c>
      <c r="Q3553" s="481">
        <f t="shared" si="101"/>
        <v>-6</v>
      </c>
    </row>
    <row r="3554" spans="1:17" x14ac:dyDescent="0.3">
      <c r="A3554" s="366" t="str">
        <f>IFERROR(VLOOKUP(RIGHT(E3554,3)+0,[1]SchLocTable!$A$2:$B$47,2,FALSE)," ")</f>
        <v xml:space="preserve"> </v>
      </c>
      <c r="B3554" s="366" t="str">
        <f>VLOOKUP(VALUE(D3554),$D$3:F$106,3,FALSE)</f>
        <v>Technology</v>
      </c>
      <c r="C3554" t="s">
        <v>314</v>
      </c>
      <c r="D3554">
        <v>873</v>
      </c>
      <c r="E3554" t="s">
        <v>1091</v>
      </c>
      <c r="F3554" t="s">
        <v>317</v>
      </c>
      <c r="G3554" t="s">
        <v>319</v>
      </c>
      <c r="H3554" s="502">
        <v>51100</v>
      </c>
      <c r="I3554" s="415">
        <v>0</v>
      </c>
      <c r="J3554" s="415">
        <v>0</v>
      </c>
      <c r="K3554" s="415">
        <v>0</v>
      </c>
      <c r="L3554" s="415">
        <v>25840</v>
      </c>
      <c r="M3554" s="415">
        <v>33721.199999999997</v>
      </c>
      <c r="N3554" s="415">
        <v>33721.199999999997</v>
      </c>
      <c r="O3554" s="415">
        <v>34108.800000000003</v>
      </c>
      <c r="P3554" s="415">
        <v>33462.800000000003</v>
      </c>
      <c r="Q3554" s="481">
        <f t="shared" si="101"/>
        <v>0</v>
      </c>
    </row>
    <row r="3555" spans="1:17" x14ac:dyDescent="0.3">
      <c r="A3555" s="366" t="str">
        <f>IFERROR(VLOOKUP(RIGHT(E3555,3)+0,[1]SchLocTable!$A$2:$B$47,2,FALSE)," ")</f>
        <v xml:space="preserve"> </v>
      </c>
      <c r="B3555" s="366" t="str">
        <f>VLOOKUP(VALUE(D3555),$D$3:F$106,3,FALSE)</f>
        <v>Technology</v>
      </c>
      <c r="C3555" t="s">
        <v>314</v>
      </c>
      <c r="D3555">
        <v>873</v>
      </c>
      <c r="E3555" t="s">
        <v>1091</v>
      </c>
      <c r="F3555" t="s">
        <v>452</v>
      </c>
      <c r="G3555" t="s">
        <v>319</v>
      </c>
      <c r="H3555" s="502">
        <v>51108</v>
      </c>
      <c r="I3555" s="415">
        <v>36767.818100000004</v>
      </c>
      <c r="J3555" s="415">
        <v>9192.91</v>
      </c>
      <c r="K3555" s="415">
        <v>26990.69</v>
      </c>
      <c r="L3555" s="415">
        <v>19924.099999999999</v>
      </c>
      <c r="M3555" s="415">
        <v>20556.52</v>
      </c>
      <c r="N3555" s="415">
        <v>16189.79</v>
      </c>
      <c r="O3555" s="415">
        <v>10116.200000000001</v>
      </c>
      <c r="P3555" s="415">
        <v>8077.17</v>
      </c>
      <c r="Q3555" s="481">
        <f t="shared" si="101"/>
        <v>-27574.908100000004</v>
      </c>
    </row>
    <row r="3556" spans="1:17" x14ac:dyDescent="0.3">
      <c r="A3556" s="366" t="str">
        <f>IFERROR(VLOOKUP(RIGHT(E3556,3)+0,[1]SchLocTable!$A$2:$B$47,2,FALSE)," ")</f>
        <v xml:space="preserve"> </v>
      </c>
      <c r="B3556" s="366" t="str">
        <f>VLOOKUP(VALUE(D3556),$D$3:F$106,3,FALSE)</f>
        <v>Technology</v>
      </c>
      <c r="C3556" t="s">
        <v>314</v>
      </c>
      <c r="D3556">
        <v>873</v>
      </c>
      <c r="E3556" t="s">
        <v>1091</v>
      </c>
      <c r="F3556" t="s">
        <v>324</v>
      </c>
      <c r="G3556" t="s">
        <v>319</v>
      </c>
      <c r="H3556" s="502">
        <v>52385</v>
      </c>
      <c r="I3556" s="415">
        <v>0</v>
      </c>
      <c r="J3556" s="415">
        <v>0</v>
      </c>
      <c r="K3556" s="415">
        <v>8757.64</v>
      </c>
      <c r="L3556" s="415">
        <v>3386.74</v>
      </c>
      <c r="M3556" s="415">
        <v>4864.4399999999996</v>
      </c>
      <c r="N3556" s="415">
        <v>1429.81</v>
      </c>
      <c r="O3556" s="415">
        <v>5226.93</v>
      </c>
      <c r="P3556" s="415">
        <v>3286.59</v>
      </c>
      <c r="Q3556" s="481">
        <f t="shared" si="101"/>
        <v>0</v>
      </c>
    </row>
    <row r="3557" spans="1:17" x14ac:dyDescent="0.3">
      <c r="A3557" s="366" t="str">
        <f>IFERROR(VLOOKUP(RIGHT(E3557,3)+0,[1]SchLocTable!$A$2:$B$47,2,FALSE)," ")</f>
        <v xml:space="preserve"> </v>
      </c>
      <c r="B3557" s="366" t="str">
        <f>VLOOKUP(VALUE(D3557),$D$3:F$106,3,FALSE)</f>
        <v>Technology</v>
      </c>
      <c r="C3557" t="s">
        <v>314</v>
      </c>
      <c r="D3557">
        <v>873</v>
      </c>
      <c r="E3557" t="s">
        <v>1091</v>
      </c>
      <c r="F3557" t="s">
        <v>920</v>
      </c>
      <c r="G3557" t="s">
        <v>319</v>
      </c>
      <c r="H3557" s="502">
        <v>53720</v>
      </c>
      <c r="I3557" s="415">
        <v>448049.99999999994</v>
      </c>
      <c r="J3557" s="415">
        <v>435000</v>
      </c>
      <c r="K3557" s="415">
        <v>358220.71</v>
      </c>
      <c r="L3557" s="415">
        <v>481847.22</v>
      </c>
      <c r="M3557" s="415">
        <v>321453.13</v>
      </c>
      <c r="N3557" s="415">
        <v>295658.09999999998</v>
      </c>
      <c r="O3557" s="415">
        <v>333329.7</v>
      </c>
      <c r="P3557" s="415">
        <v>397084.15</v>
      </c>
      <c r="Q3557" s="481">
        <f t="shared" si="101"/>
        <v>-13049.999999999942</v>
      </c>
    </row>
    <row r="3558" spans="1:17" x14ac:dyDescent="0.3">
      <c r="A3558" s="366" t="str">
        <f>IFERROR(VLOOKUP(RIGHT(E3558,3)+0,[1]SchLocTable!$A$2:$B$47,2,FALSE)," ")</f>
        <v xml:space="preserve"> </v>
      </c>
      <c r="B3558" s="366" t="str">
        <f>VLOOKUP(VALUE(D3558),$D$3:F$106,3,FALSE)</f>
        <v>Technology</v>
      </c>
      <c r="C3558" t="s">
        <v>314</v>
      </c>
      <c r="D3558">
        <v>873</v>
      </c>
      <c r="E3558" t="s">
        <v>1091</v>
      </c>
      <c r="F3558" t="s">
        <v>560</v>
      </c>
      <c r="G3558" t="s">
        <v>319</v>
      </c>
      <c r="H3558" s="502">
        <v>51404</v>
      </c>
      <c r="I3558" s="415">
        <v>0</v>
      </c>
      <c r="J3558" s="415">
        <v>3480</v>
      </c>
      <c r="K3558" s="415">
        <v>15320</v>
      </c>
      <c r="L3558" s="415">
        <v>10142</v>
      </c>
      <c r="M3558" s="415">
        <v>8556.92</v>
      </c>
      <c r="N3558" s="415">
        <v>6520</v>
      </c>
      <c r="O3558" s="415">
        <v>7200</v>
      </c>
      <c r="P3558" s="415">
        <v>8000</v>
      </c>
      <c r="Q3558" s="481">
        <f t="shared" si="101"/>
        <v>3480</v>
      </c>
    </row>
    <row r="3559" spans="1:17" x14ac:dyDescent="0.3">
      <c r="A3559" s="366" t="str">
        <f>IFERROR(VLOOKUP(RIGHT(E3559,3)+0,[1]SchLocTable!$A$2:$B$47,2,FALSE)," ")</f>
        <v xml:space="preserve"> </v>
      </c>
      <c r="B3559" s="366" t="str">
        <f>VLOOKUP(VALUE(D3559),$D$3:F$106,3,FALSE)</f>
        <v>Technology</v>
      </c>
      <c r="C3559" t="s">
        <v>314</v>
      </c>
      <c r="D3559">
        <v>873</v>
      </c>
      <c r="E3559" t="s">
        <v>1091</v>
      </c>
      <c r="F3559" t="s">
        <v>533</v>
      </c>
      <c r="G3559" t="s">
        <v>319</v>
      </c>
      <c r="H3559" s="502">
        <v>52397</v>
      </c>
      <c r="I3559" s="415">
        <v>0</v>
      </c>
      <c r="J3559" s="415">
        <v>0</v>
      </c>
      <c r="K3559" s="415">
        <v>0</v>
      </c>
      <c r="L3559" s="415">
        <v>2790</v>
      </c>
      <c r="M3559" s="415">
        <v>0</v>
      </c>
      <c r="N3559" s="415">
        <v>0</v>
      </c>
      <c r="O3559" s="415">
        <v>0</v>
      </c>
      <c r="P3559" s="415">
        <v>0</v>
      </c>
      <c r="Q3559" s="481">
        <f t="shared" si="101"/>
        <v>0</v>
      </c>
    </row>
    <row r="3560" spans="1:17" x14ac:dyDescent="0.3">
      <c r="A3560" s="366" t="str">
        <f>IFERROR(VLOOKUP(RIGHT(E3560,3)+0,[1]SchLocTable!$A$2:$B$47,2,FALSE)," ")</f>
        <v xml:space="preserve"> </v>
      </c>
      <c r="B3560" s="366" t="str">
        <f>VLOOKUP(VALUE(D3560),$D$3:F$106,3,FALSE)</f>
        <v>Technology</v>
      </c>
      <c r="C3560" t="s">
        <v>314</v>
      </c>
      <c r="D3560">
        <v>873</v>
      </c>
      <c r="E3560" t="s">
        <v>1091</v>
      </c>
      <c r="F3560" t="s">
        <v>1082</v>
      </c>
      <c r="G3560" t="s">
        <v>319</v>
      </c>
      <c r="H3560" s="502">
        <v>51155</v>
      </c>
      <c r="I3560" s="415">
        <v>0</v>
      </c>
      <c r="J3560" s="415">
        <v>0</v>
      </c>
      <c r="K3560" s="415">
        <v>545.26</v>
      </c>
      <c r="L3560" s="415">
        <v>0</v>
      </c>
      <c r="M3560" s="415">
        <v>0</v>
      </c>
      <c r="N3560" s="415">
        <v>0</v>
      </c>
      <c r="O3560" s="415">
        <v>0</v>
      </c>
      <c r="P3560" s="415">
        <v>0</v>
      </c>
      <c r="Q3560" s="481">
        <f t="shared" si="101"/>
        <v>0</v>
      </c>
    </row>
    <row r="3561" spans="1:17" x14ac:dyDescent="0.3">
      <c r="A3561" s="366" t="str">
        <f>IFERROR(VLOOKUP(RIGHT(E3561,3)+0,[1]SchLocTable!$A$2:$B$47,2,FALSE)," ")</f>
        <v xml:space="preserve"> </v>
      </c>
      <c r="B3561" s="366" t="str">
        <f>VLOOKUP(VALUE(D3561),$D$3:F$106,3,FALSE)</f>
        <v>Technology</v>
      </c>
      <c r="C3561" t="s">
        <v>314</v>
      </c>
      <c r="D3561">
        <v>873</v>
      </c>
      <c r="E3561" t="s">
        <v>1091</v>
      </c>
      <c r="F3561" t="s">
        <v>329</v>
      </c>
      <c r="G3561" t="s">
        <v>319</v>
      </c>
      <c r="H3561" s="502">
        <v>51154</v>
      </c>
      <c r="I3561" s="415">
        <v>0</v>
      </c>
      <c r="J3561" s="415">
        <v>0</v>
      </c>
      <c r="K3561" s="415">
        <v>2254.41</v>
      </c>
      <c r="L3561" s="415">
        <v>0</v>
      </c>
      <c r="M3561" s="415">
        <v>262.61</v>
      </c>
      <c r="N3561" s="415">
        <v>0</v>
      </c>
      <c r="O3561" s="415">
        <v>11221.7</v>
      </c>
      <c r="P3561" s="415">
        <v>8588.75</v>
      </c>
      <c r="Q3561" s="481">
        <f t="shared" si="101"/>
        <v>0</v>
      </c>
    </row>
    <row r="3562" spans="1:17" x14ac:dyDescent="0.3">
      <c r="A3562" s="366" t="str">
        <f>IFERROR(VLOOKUP(RIGHT(E3562,3)+0,[1]SchLocTable!$A$2:$B$47,2,FALSE)," ")</f>
        <v xml:space="preserve"> </v>
      </c>
      <c r="B3562" s="366" t="str">
        <f>VLOOKUP(VALUE(D3562),$D$3:F$106,3,FALSE)</f>
        <v>Technology</v>
      </c>
      <c r="C3562" t="s">
        <v>314</v>
      </c>
      <c r="D3562">
        <v>873</v>
      </c>
      <c r="E3562" t="s">
        <v>1091</v>
      </c>
      <c r="F3562" t="s">
        <v>418</v>
      </c>
      <c r="G3562" t="s">
        <v>319</v>
      </c>
      <c r="H3562" s="502">
        <v>51314</v>
      </c>
      <c r="I3562" s="415">
        <v>4130.5369000000001</v>
      </c>
      <c r="J3562" s="415">
        <v>2667.2</v>
      </c>
      <c r="K3562" s="415">
        <v>4010.23</v>
      </c>
      <c r="L3562" s="415">
        <v>0</v>
      </c>
      <c r="M3562" s="415">
        <v>7420.63</v>
      </c>
      <c r="N3562" s="415">
        <v>0</v>
      </c>
      <c r="O3562" s="415">
        <v>9764.48</v>
      </c>
      <c r="P3562" s="415">
        <v>2493.6</v>
      </c>
      <c r="Q3562" s="481">
        <f t="shared" si="101"/>
        <v>-1463.3369000000002</v>
      </c>
    </row>
    <row r="3563" spans="1:17" x14ac:dyDescent="0.3">
      <c r="A3563" s="366" t="str">
        <f>IFERROR(VLOOKUP(RIGHT(E3563,3)+0,[1]SchLocTable!$A$2:$B$47,2,FALSE)," ")</f>
        <v xml:space="preserve"> </v>
      </c>
      <c r="B3563" s="366" t="str">
        <f>VLOOKUP(VALUE(D3563),$D$3:F$106,3,FALSE)</f>
        <v>Technology</v>
      </c>
      <c r="C3563" t="s">
        <v>314</v>
      </c>
      <c r="D3563">
        <v>873</v>
      </c>
      <c r="E3563" t="s">
        <v>1091</v>
      </c>
      <c r="F3563" t="s">
        <v>356</v>
      </c>
      <c r="G3563" t="s">
        <v>319</v>
      </c>
      <c r="H3563" s="502">
        <v>51156</v>
      </c>
      <c r="I3563" s="415">
        <v>0</v>
      </c>
      <c r="J3563" s="415">
        <v>0</v>
      </c>
      <c r="K3563" s="415">
        <v>2726.31</v>
      </c>
      <c r="L3563" s="415">
        <v>3934.62</v>
      </c>
      <c r="M3563" s="415">
        <v>2508.87</v>
      </c>
      <c r="N3563" s="415">
        <v>1273.2</v>
      </c>
      <c r="O3563" s="415">
        <v>8400.18</v>
      </c>
      <c r="P3563" s="415">
        <v>2480.09</v>
      </c>
      <c r="Q3563" s="481">
        <f t="shared" si="101"/>
        <v>0</v>
      </c>
    </row>
    <row r="3564" spans="1:17" x14ac:dyDescent="0.3">
      <c r="A3564" s="366" t="str">
        <f>IFERROR(VLOOKUP(RIGHT(E3564,3)+0,[1]SchLocTable!$A$2:$B$47,2,FALSE)," ")</f>
        <v xml:space="preserve"> </v>
      </c>
      <c r="B3564" s="366" t="str">
        <f>VLOOKUP(VALUE(D3564),$D$3:F$106,3,FALSE)</f>
        <v>Technology</v>
      </c>
      <c r="C3564" t="s">
        <v>314</v>
      </c>
      <c r="D3564">
        <v>873</v>
      </c>
      <c r="E3564" t="s">
        <v>1091</v>
      </c>
      <c r="F3564" t="s">
        <v>1095</v>
      </c>
      <c r="G3564" t="s">
        <v>319</v>
      </c>
      <c r="H3564" s="502">
        <v>59005</v>
      </c>
      <c r="I3564" s="415">
        <v>10300</v>
      </c>
      <c r="J3564" s="415">
        <v>10000</v>
      </c>
      <c r="K3564" s="415">
        <v>1199.95</v>
      </c>
      <c r="L3564" s="415">
        <v>0</v>
      </c>
      <c r="M3564" s="415">
        <v>195.9</v>
      </c>
      <c r="N3564" s="415">
        <v>525.5</v>
      </c>
      <c r="O3564" s="415">
        <v>38864.300000000003</v>
      </c>
      <c r="P3564" s="415">
        <v>729.29</v>
      </c>
      <c r="Q3564" s="481">
        <f t="shared" si="101"/>
        <v>-300</v>
      </c>
    </row>
    <row r="3565" spans="1:17" x14ac:dyDescent="0.3">
      <c r="A3565" s="366" t="str">
        <f>IFERROR(VLOOKUP(RIGHT(E3565,3)+0,[1]SchLocTable!$A$2:$B$47,2,FALSE)," ")</f>
        <v xml:space="preserve"> </v>
      </c>
      <c r="B3565" s="366" t="str">
        <f>VLOOKUP(VALUE(D3565),$D$3:F$106,3,FALSE)</f>
        <v>Transportation Office</v>
      </c>
      <c r="C3565" t="s">
        <v>314</v>
      </c>
      <c r="D3565">
        <v>874</v>
      </c>
      <c r="E3565" t="s">
        <v>1096</v>
      </c>
      <c r="F3565" t="s">
        <v>316</v>
      </c>
      <c r="G3565">
        <v>1</v>
      </c>
      <c r="H3565" s="502">
        <v>51000</v>
      </c>
      <c r="I3565" s="415">
        <v>81900.422915999996</v>
      </c>
      <c r="J3565" s="415">
        <v>56310</v>
      </c>
      <c r="K3565" s="415">
        <v>54310.78</v>
      </c>
      <c r="L3565" s="415">
        <v>47045.03</v>
      </c>
      <c r="M3565" s="415">
        <v>41582.21</v>
      </c>
      <c r="N3565" s="415">
        <v>58126.75</v>
      </c>
      <c r="O3565" s="415">
        <v>152356.66</v>
      </c>
      <c r="P3565" s="415">
        <v>181941.95</v>
      </c>
      <c r="Q3565" s="481">
        <f t="shared" si="101"/>
        <v>-25590.422915999996</v>
      </c>
    </row>
    <row r="3566" spans="1:17" x14ac:dyDescent="0.3">
      <c r="A3566" s="366" t="str">
        <f>IFERROR(VLOOKUP(RIGHT(E3566,3)+0,[1]SchLocTable!$A$2:$B$47,2,FALSE)," ")</f>
        <v xml:space="preserve"> </v>
      </c>
      <c r="B3566" s="366" t="str">
        <f>VLOOKUP(VALUE(D3566),$D$3:F$106,3,FALSE)</f>
        <v>Transportation Office</v>
      </c>
      <c r="C3566" t="s">
        <v>314</v>
      </c>
      <c r="D3566">
        <v>874</v>
      </c>
      <c r="E3566" t="s">
        <v>1096</v>
      </c>
      <c r="F3566" t="s">
        <v>321</v>
      </c>
      <c r="G3566" t="s">
        <v>319</v>
      </c>
      <c r="H3566" s="502">
        <v>52917</v>
      </c>
      <c r="I3566" s="415">
        <v>30728.879999999997</v>
      </c>
      <c r="J3566" s="415">
        <v>10601</v>
      </c>
      <c r="K3566" s="415">
        <v>14353.68</v>
      </c>
      <c r="L3566" s="415">
        <v>9737.7800000000007</v>
      </c>
      <c r="M3566" s="415">
        <v>9185.39</v>
      </c>
      <c r="N3566" s="415">
        <v>9842.83</v>
      </c>
      <c r="O3566" s="415">
        <v>10228.61</v>
      </c>
      <c r="P3566" s="415">
        <v>10207.24</v>
      </c>
      <c r="Q3566" s="481">
        <f t="shared" si="101"/>
        <v>-20127.879999999997</v>
      </c>
    </row>
    <row r="3567" spans="1:17" x14ac:dyDescent="0.3">
      <c r="A3567" s="366" t="str">
        <f>IFERROR(VLOOKUP(RIGHT(E3567,3)+0,[1]SchLocTable!$A$2:$B$47,2,FALSE)," ")</f>
        <v xml:space="preserve"> </v>
      </c>
      <c r="B3567" s="366" t="str">
        <f>VLOOKUP(VALUE(D3567),$D$3:F$106,3,FALSE)</f>
        <v>Transportation Office</v>
      </c>
      <c r="C3567" t="s">
        <v>314</v>
      </c>
      <c r="D3567">
        <v>874</v>
      </c>
      <c r="E3567" t="s">
        <v>1096</v>
      </c>
      <c r="F3567" t="s">
        <v>318</v>
      </c>
      <c r="G3567" t="s">
        <v>319</v>
      </c>
      <c r="H3567" s="502">
        <v>51140</v>
      </c>
      <c r="I3567" s="415">
        <v>0</v>
      </c>
      <c r="J3567" s="415">
        <v>0</v>
      </c>
      <c r="K3567" s="415">
        <v>0</v>
      </c>
      <c r="L3567" s="415">
        <v>0</v>
      </c>
      <c r="M3567" s="415">
        <v>1800</v>
      </c>
      <c r="N3567" s="415">
        <v>1750</v>
      </c>
      <c r="O3567" s="415">
        <v>5292.5</v>
      </c>
      <c r="P3567" s="415">
        <v>4085</v>
      </c>
      <c r="Q3567" s="481">
        <f t="shared" si="101"/>
        <v>0</v>
      </c>
    </row>
    <row r="3568" spans="1:17" x14ac:dyDescent="0.3">
      <c r="A3568" s="366" t="str">
        <f>IFERROR(VLOOKUP(RIGHT(E3568,3)+0,[1]SchLocTable!$A$2:$B$47,2,FALSE)," ")</f>
        <v xml:space="preserve"> </v>
      </c>
      <c r="B3568" s="366" t="str">
        <f>VLOOKUP(VALUE(D3568),$D$3:F$106,3,FALSE)</f>
        <v>Transportation Office</v>
      </c>
      <c r="C3568" t="s">
        <v>314</v>
      </c>
      <c r="D3568">
        <v>874</v>
      </c>
      <c r="E3568" t="s">
        <v>1096</v>
      </c>
      <c r="F3568" t="s">
        <v>320</v>
      </c>
      <c r="G3568" t="s">
        <v>319</v>
      </c>
      <c r="H3568" s="502">
        <v>52360</v>
      </c>
      <c r="I3568" s="415">
        <v>1187.5561322819999</v>
      </c>
      <c r="J3568" s="415">
        <v>726</v>
      </c>
      <c r="K3568" s="415">
        <v>670.31</v>
      </c>
      <c r="L3568" s="415">
        <v>606.66999999999996</v>
      </c>
      <c r="M3568" s="415">
        <v>602.27</v>
      </c>
      <c r="N3568" s="415">
        <v>868.21</v>
      </c>
      <c r="O3568" s="415">
        <v>832.36</v>
      </c>
      <c r="P3568" s="415">
        <v>918.93</v>
      </c>
      <c r="Q3568" s="481">
        <f t="shared" si="101"/>
        <v>-461.55613228199991</v>
      </c>
    </row>
    <row r="3569" spans="1:17" x14ac:dyDescent="0.3">
      <c r="A3569" s="366" t="str">
        <f>IFERROR(VLOOKUP(RIGHT(E3569,3)+0,[1]SchLocTable!$A$2:$B$47,2,FALSE)," ")</f>
        <v xml:space="preserve"> </v>
      </c>
      <c r="B3569" s="366" t="str">
        <f>VLOOKUP(VALUE(D3569),$D$3:F$106,3,FALSE)</f>
        <v>Transportation Office</v>
      </c>
      <c r="C3569" t="s">
        <v>314</v>
      </c>
      <c r="D3569">
        <v>874</v>
      </c>
      <c r="E3569" t="s">
        <v>1096</v>
      </c>
      <c r="F3569" t="s">
        <v>392</v>
      </c>
      <c r="G3569" t="s">
        <v>319</v>
      </c>
      <c r="H3569" s="502">
        <v>52504</v>
      </c>
      <c r="I3569" s="415">
        <v>17018.9078819448</v>
      </c>
      <c r="J3569" s="415">
        <v>11701</v>
      </c>
      <c r="K3569" s="415">
        <v>11184.96</v>
      </c>
      <c r="L3569" s="415">
        <v>9594.27</v>
      </c>
      <c r="M3569" s="415">
        <v>9351.3799999999992</v>
      </c>
      <c r="N3569" s="415">
        <v>11440.24</v>
      </c>
      <c r="O3569" s="415">
        <v>26853.5</v>
      </c>
      <c r="P3569" s="415">
        <v>26761.3</v>
      </c>
      <c r="Q3569" s="481">
        <f t="shared" si="101"/>
        <v>-5317.9078819448005</v>
      </c>
    </row>
    <row r="3570" spans="1:17" x14ac:dyDescent="0.3">
      <c r="A3570" s="366" t="str">
        <f>IFERROR(VLOOKUP(RIGHT(E3570,3)+0,[1]SchLocTable!$A$2:$B$47,2,FALSE)," ")</f>
        <v xml:space="preserve"> </v>
      </c>
      <c r="B3570" s="366" t="str">
        <f>VLOOKUP(VALUE(D3570),$D$3:F$106,3,FALSE)</f>
        <v>Transportation</v>
      </c>
      <c r="C3570" t="s">
        <v>314</v>
      </c>
      <c r="D3570">
        <v>875</v>
      </c>
      <c r="E3570" t="s">
        <v>1097</v>
      </c>
      <c r="F3570" t="s">
        <v>474</v>
      </c>
      <c r="G3570" t="s">
        <v>319</v>
      </c>
      <c r="H3570" s="502">
        <v>54550</v>
      </c>
      <c r="I3570" s="415">
        <v>0</v>
      </c>
      <c r="J3570" s="415">
        <v>0</v>
      </c>
      <c r="K3570" s="415">
        <v>0</v>
      </c>
      <c r="L3570" s="415">
        <v>0</v>
      </c>
      <c r="M3570" s="415">
        <v>0</v>
      </c>
      <c r="N3570" s="415">
        <v>0</v>
      </c>
      <c r="O3570" s="415">
        <v>11450</v>
      </c>
      <c r="P3570" s="415">
        <v>11450</v>
      </c>
      <c r="Q3570" s="481">
        <f t="shared" si="101"/>
        <v>0</v>
      </c>
    </row>
    <row r="3571" spans="1:17" x14ac:dyDescent="0.3">
      <c r="A3571" s="366" t="str">
        <f>IFERROR(VLOOKUP(RIGHT(E3571,3)+0,[1]SchLocTable!$A$2:$B$47,2,FALSE)," ")</f>
        <v xml:space="preserve"> </v>
      </c>
      <c r="B3571" s="366" t="str">
        <f>VLOOKUP(VALUE(D3571),$D$3:F$106,3,FALSE)</f>
        <v>Transportation</v>
      </c>
      <c r="C3571" t="s">
        <v>314</v>
      </c>
      <c r="D3571">
        <v>875</v>
      </c>
      <c r="E3571" t="s">
        <v>1097</v>
      </c>
      <c r="F3571" t="s">
        <v>316</v>
      </c>
      <c r="G3571">
        <v>5</v>
      </c>
      <c r="H3571" s="502">
        <v>51000</v>
      </c>
      <c r="I3571" s="415">
        <v>274696.81158600003</v>
      </c>
      <c r="J3571" s="415">
        <v>255240.48</v>
      </c>
      <c r="K3571" s="415">
        <v>300039.23</v>
      </c>
      <c r="L3571" s="415">
        <v>294628.11</v>
      </c>
      <c r="M3571" s="415">
        <v>290138.09999999998</v>
      </c>
      <c r="N3571" s="415">
        <v>310362.90000000002</v>
      </c>
      <c r="O3571" s="415">
        <v>381733.15</v>
      </c>
      <c r="P3571" s="415">
        <v>358396.15</v>
      </c>
      <c r="Q3571" s="481">
        <f t="shared" si="101"/>
        <v>-19456.331586000015</v>
      </c>
    </row>
    <row r="3572" spans="1:17" x14ac:dyDescent="0.3">
      <c r="A3572" s="366" t="str">
        <f>IFERROR(VLOOKUP(RIGHT(E3572,3)+0,[1]SchLocTable!$A$2:$B$47,2,FALSE)," ")</f>
        <v xml:space="preserve"> </v>
      </c>
      <c r="B3572" s="366" t="str">
        <f>VLOOKUP(VALUE(D3572),$D$3:F$106,3,FALSE)</f>
        <v>Transportation</v>
      </c>
      <c r="C3572" t="s">
        <v>314</v>
      </c>
      <c r="D3572">
        <v>875</v>
      </c>
      <c r="E3572" t="s">
        <v>1097</v>
      </c>
      <c r="F3572" t="s">
        <v>895</v>
      </c>
      <c r="G3572" t="s">
        <v>319</v>
      </c>
      <c r="H3572" s="502">
        <v>54615</v>
      </c>
      <c r="I3572" s="415">
        <v>219165.77929999999</v>
      </c>
      <c r="J3572" s="415">
        <v>212782.31</v>
      </c>
      <c r="K3572" s="415">
        <v>26844.639999999999</v>
      </c>
      <c r="L3572" s="415">
        <v>63637.27</v>
      </c>
      <c r="M3572" s="415">
        <v>0</v>
      </c>
      <c r="N3572" s="415">
        <v>0</v>
      </c>
      <c r="O3572" s="415">
        <v>36416.44</v>
      </c>
      <c r="P3572" s="415">
        <v>0</v>
      </c>
      <c r="Q3572" s="481">
        <f t="shared" si="101"/>
        <v>-6383.469299999997</v>
      </c>
    </row>
    <row r="3573" spans="1:17" x14ac:dyDescent="0.3">
      <c r="A3573" s="366" t="str">
        <f>IFERROR(VLOOKUP(RIGHT(E3573,3)+0,[1]SchLocTable!$A$2:$B$47,2,FALSE)," ")</f>
        <v xml:space="preserve"> </v>
      </c>
      <c r="B3573" s="366" t="str">
        <f>VLOOKUP(VALUE(D3573),$D$3:F$106,3,FALSE)</f>
        <v>Transportation</v>
      </c>
      <c r="C3573" t="s">
        <v>314</v>
      </c>
      <c r="D3573">
        <v>875</v>
      </c>
      <c r="E3573" t="s">
        <v>1097</v>
      </c>
      <c r="F3573" t="s">
        <v>360</v>
      </c>
      <c r="G3573" t="s">
        <v>319</v>
      </c>
      <c r="H3573" s="502">
        <v>52920</v>
      </c>
      <c r="I3573" s="415">
        <v>500</v>
      </c>
      <c r="J3573" s="415">
        <v>500</v>
      </c>
      <c r="K3573" s="415">
        <v>500</v>
      </c>
      <c r="L3573" s="415">
        <v>500</v>
      </c>
      <c r="M3573" s="415">
        <v>500</v>
      </c>
      <c r="N3573" s="415">
        <v>500</v>
      </c>
      <c r="O3573" s="415">
        <v>500</v>
      </c>
      <c r="P3573" s="415">
        <v>500</v>
      </c>
      <c r="Q3573" s="481">
        <f t="shared" si="101"/>
        <v>0</v>
      </c>
    </row>
    <row r="3574" spans="1:17" x14ac:dyDescent="0.3">
      <c r="A3574" s="366" t="str">
        <f>IFERROR(VLOOKUP(RIGHT(E3574,3)+0,[1]SchLocTable!$A$2:$B$47,2,FALSE)," ")</f>
        <v xml:space="preserve"> </v>
      </c>
      <c r="B3574" s="366" t="str">
        <f>VLOOKUP(VALUE(D3574),$D$3:F$106,3,FALSE)</f>
        <v>Transportation</v>
      </c>
      <c r="C3574" t="s">
        <v>314</v>
      </c>
      <c r="D3574">
        <v>875</v>
      </c>
      <c r="E3574" t="s">
        <v>1097</v>
      </c>
      <c r="F3574" t="s">
        <v>321</v>
      </c>
      <c r="G3574" t="s">
        <v>319</v>
      </c>
      <c r="H3574" s="502">
        <v>52917</v>
      </c>
      <c r="I3574" s="415">
        <v>113760.37199999999</v>
      </c>
      <c r="J3574" s="415">
        <v>95017.45</v>
      </c>
      <c r="K3574" s="415">
        <v>95556.07</v>
      </c>
      <c r="L3574" s="415">
        <v>88024.06</v>
      </c>
      <c r="M3574" s="415">
        <v>89690.93</v>
      </c>
      <c r="N3574" s="415">
        <v>89315.58</v>
      </c>
      <c r="O3574" s="415">
        <v>97601.91</v>
      </c>
      <c r="P3574" s="415">
        <v>91268.41</v>
      </c>
      <c r="Q3574" s="481">
        <f t="shared" si="101"/>
        <v>-18742.921999999991</v>
      </c>
    </row>
    <row r="3575" spans="1:17" x14ac:dyDescent="0.3">
      <c r="A3575" s="366" t="str">
        <f>IFERROR(VLOOKUP(RIGHT(E3575,3)+0,[1]SchLocTable!$A$2:$B$47,2,FALSE)," ")</f>
        <v xml:space="preserve"> </v>
      </c>
      <c r="B3575" s="366" t="str">
        <f>VLOOKUP(VALUE(D3575),$D$3:F$106,3,FALSE)</f>
        <v>Transportation</v>
      </c>
      <c r="C3575" t="s">
        <v>314</v>
      </c>
      <c r="D3575">
        <v>875</v>
      </c>
      <c r="E3575" t="s">
        <v>1097</v>
      </c>
      <c r="F3575" t="s">
        <v>318</v>
      </c>
      <c r="G3575" t="s">
        <v>319</v>
      </c>
      <c r="H3575" s="502">
        <v>51140</v>
      </c>
      <c r="I3575" s="415">
        <v>8320</v>
      </c>
      <c r="J3575" s="415">
        <v>0</v>
      </c>
      <c r="K3575" s="415">
        <v>11200</v>
      </c>
      <c r="L3575" s="415">
        <v>9810</v>
      </c>
      <c r="M3575" s="415">
        <v>9550</v>
      </c>
      <c r="N3575" s="415">
        <v>10949.5</v>
      </c>
      <c r="O3575" s="415">
        <v>12702.5</v>
      </c>
      <c r="P3575" s="415">
        <v>11110</v>
      </c>
      <c r="Q3575" s="481">
        <f t="shared" si="101"/>
        <v>-8320</v>
      </c>
    </row>
    <row r="3576" spans="1:17" x14ac:dyDescent="0.3">
      <c r="A3576" s="366" t="str">
        <f>IFERROR(VLOOKUP(RIGHT(E3576,3)+0,[1]SchLocTable!$A$2:$B$47,2,FALSE)," ")</f>
        <v xml:space="preserve"> </v>
      </c>
      <c r="B3576" s="366" t="str">
        <f>VLOOKUP(VALUE(D3576),$D$3:F$106,3,FALSE)</f>
        <v>Transportation</v>
      </c>
      <c r="C3576" t="s">
        <v>314</v>
      </c>
      <c r="D3576">
        <v>875</v>
      </c>
      <c r="E3576" t="s">
        <v>1097</v>
      </c>
      <c r="F3576" t="s">
        <v>320</v>
      </c>
      <c r="G3576" t="s">
        <v>319</v>
      </c>
      <c r="H3576" s="502">
        <v>52360</v>
      </c>
      <c r="I3576" s="415">
        <v>4387.8139093754999</v>
      </c>
      <c r="J3576" s="415">
        <v>4220.87</v>
      </c>
      <c r="K3576" s="415">
        <v>5296.6</v>
      </c>
      <c r="L3576" s="415">
        <v>4822.91</v>
      </c>
      <c r="M3576" s="415">
        <v>4786.46</v>
      </c>
      <c r="N3576" s="415">
        <v>5107.32</v>
      </c>
      <c r="O3576" s="415">
        <v>6082.07</v>
      </c>
      <c r="P3576" s="415">
        <v>5596.02</v>
      </c>
      <c r="Q3576" s="481">
        <f t="shared" si="101"/>
        <v>-166.94390937549997</v>
      </c>
    </row>
    <row r="3577" spans="1:17" x14ac:dyDescent="0.3">
      <c r="A3577" s="366" t="str">
        <f>IFERROR(VLOOKUP(RIGHT(E3577,3)+0,[1]SchLocTable!$A$2:$B$47,2,FALSE)," ")</f>
        <v xml:space="preserve"> </v>
      </c>
      <c r="B3577" s="366" t="str">
        <f>VLOOKUP(VALUE(D3577),$D$3:F$106,3,FALSE)</f>
        <v>Transportation</v>
      </c>
      <c r="C3577" t="s">
        <v>314</v>
      </c>
      <c r="D3577">
        <v>875</v>
      </c>
      <c r="E3577" t="s">
        <v>1097</v>
      </c>
      <c r="F3577" t="s">
        <v>473</v>
      </c>
      <c r="G3577" t="s">
        <v>319</v>
      </c>
      <c r="H3577" s="502">
        <v>53605</v>
      </c>
      <c r="I3577" s="415">
        <v>1183.47</v>
      </c>
      <c r="J3577" s="415">
        <v>1149</v>
      </c>
      <c r="K3577" s="415">
        <v>0</v>
      </c>
      <c r="L3577" s="415">
        <v>0</v>
      </c>
      <c r="M3577" s="415">
        <v>0</v>
      </c>
      <c r="N3577" s="415">
        <v>0</v>
      </c>
      <c r="O3577" s="415">
        <v>1109</v>
      </c>
      <c r="P3577" s="415">
        <v>1129</v>
      </c>
      <c r="Q3577" s="481">
        <f t="shared" si="101"/>
        <v>-34.470000000000027</v>
      </c>
    </row>
    <row r="3578" spans="1:17" x14ac:dyDescent="0.3">
      <c r="A3578" s="366" t="str">
        <f>IFERROR(VLOOKUP(RIGHT(E3578,3)+0,[1]SchLocTable!$A$2:$B$47,2,FALSE)," ")</f>
        <v xml:space="preserve"> </v>
      </c>
      <c r="B3578" s="366" t="str">
        <f>VLOOKUP(VALUE(D3578),$D$3:F$106,3,FALSE)</f>
        <v>Transportation</v>
      </c>
      <c r="C3578" t="s">
        <v>314</v>
      </c>
      <c r="D3578">
        <v>875</v>
      </c>
      <c r="E3578" t="s">
        <v>1097</v>
      </c>
      <c r="F3578" t="s">
        <v>392</v>
      </c>
      <c r="G3578" t="s">
        <v>319</v>
      </c>
      <c r="H3578" s="502">
        <v>52504</v>
      </c>
      <c r="I3578" s="415">
        <v>62881.912439188192</v>
      </c>
      <c r="J3578" s="415">
        <v>60846.78</v>
      </c>
      <c r="K3578" s="415">
        <v>73651.64</v>
      </c>
      <c r="L3578" s="415">
        <v>69951.14</v>
      </c>
      <c r="M3578" s="415">
        <v>73547.14</v>
      </c>
      <c r="N3578" s="415">
        <v>68368.62</v>
      </c>
      <c r="O3578" s="415">
        <v>67945.679999999993</v>
      </c>
      <c r="P3578" s="415">
        <v>57040.58</v>
      </c>
      <c r="Q3578" s="481">
        <f t="shared" si="101"/>
        <v>-2035.1324391881935</v>
      </c>
    </row>
    <row r="3579" spans="1:17" x14ac:dyDescent="0.3">
      <c r="A3579" s="366" t="str">
        <f>IFERROR(VLOOKUP(RIGHT(E3579,3)+0,[1]SchLocTable!$A$2:$B$47,2,FALSE)," ")</f>
        <v xml:space="preserve"> </v>
      </c>
      <c r="B3579" s="366" t="str">
        <f>VLOOKUP(VALUE(D3579),$D$3:F$106,3,FALSE)</f>
        <v>Transportation</v>
      </c>
      <c r="C3579" t="s">
        <v>314</v>
      </c>
      <c r="D3579">
        <v>875</v>
      </c>
      <c r="E3579" t="s">
        <v>1097</v>
      </c>
      <c r="F3579" t="s">
        <v>458</v>
      </c>
      <c r="G3579" t="s">
        <v>319</v>
      </c>
      <c r="H3579" s="502">
        <v>54675</v>
      </c>
      <c r="I3579" s="415">
        <v>3213.6</v>
      </c>
      <c r="J3579" s="415">
        <v>3120</v>
      </c>
      <c r="K3579" s="415">
        <v>0</v>
      </c>
      <c r="L3579" s="415">
        <v>0</v>
      </c>
      <c r="M3579" s="415">
        <v>0</v>
      </c>
      <c r="N3579" s="415">
        <v>134.35</v>
      </c>
      <c r="O3579" s="415">
        <v>196.82</v>
      </c>
      <c r="P3579" s="415">
        <v>304.99</v>
      </c>
      <c r="Q3579" s="481">
        <f t="shared" si="101"/>
        <v>-93.599999999999909</v>
      </c>
    </row>
    <row r="3580" spans="1:17" x14ac:dyDescent="0.3">
      <c r="A3580" s="366" t="str">
        <f>IFERROR(VLOOKUP(RIGHT(E3580,3)+0,[1]SchLocTable!$A$2:$B$47,2,FALSE)," ")</f>
        <v xml:space="preserve"> </v>
      </c>
      <c r="B3580" s="366" t="str">
        <f>VLOOKUP(VALUE(D3580),$D$3:F$106,3,FALSE)</f>
        <v>Transportation</v>
      </c>
      <c r="C3580" t="s">
        <v>314</v>
      </c>
      <c r="D3580">
        <v>875</v>
      </c>
      <c r="E3580" t="s">
        <v>1097</v>
      </c>
      <c r="F3580" t="s">
        <v>464</v>
      </c>
      <c r="G3580" t="s">
        <v>319</v>
      </c>
      <c r="H3580" s="502">
        <v>56180</v>
      </c>
      <c r="I3580" s="415">
        <v>98.88</v>
      </c>
      <c r="J3580" s="415">
        <v>96</v>
      </c>
      <c r="K3580" s="415">
        <v>0</v>
      </c>
      <c r="L3580" s="415">
        <v>0</v>
      </c>
      <c r="M3580" s="415">
        <v>0</v>
      </c>
      <c r="N3580" s="415">
        <v>0</v>
      </c>
      <c r="O3580" s="415">
        <v>0</v>
      </c>
      <c r="P3580" s="415">
        <v>0</v>
      </c>
      <c r="Q3580" s="481">
        <f t="shared" si="101"/>
        <v>-2.8799999999999955</v>
      </c>
    </row>
    <row r="3581" spans="1:17" x14ac:dyDescent="0.3">
      <c r="A3581" s="366" t="str">
        <f>IFERROR(VLOOKUP(RIGHT(E3581,3)+0,[1]SchLocTable!$A$2:$B$47,2,FALSE)," ")</f>
        <v xml:space="preserve"> </v>
      </c>
      <c r="B3581" s="366" t="str">
        <f>VLOOKUP(VALUE(D3581),$D$3:F$106,3,FALSE)</f>
        <v>Transportation</v>
      </c>
      <c r="C3581" t="s">
        <v>314</v>
      </c>
      <c r="D3581">
        <v>875</v>
      </c>
      <c r="E3581" t="s">
        <v>1097</v>
      </c>
      <c r="F3581" t="s">
        <v>419</v>
      </c>
      <c r="G3581" t="s">
        <v>319</v>
      </c>
      <c r="H3581" s="502">
        <v>51318</v>
      </c>
      <c r="I3581" s="415">
        <v>0</v>
      </c>
      <c r="J3581" s="415">
        <v>0</v>
      </c>
      <c r="K3581" s="415">
        <v>762.35</v>
      </c>
      <c r="L3581" s="415">
        <v>0</v>
      </c>
      <c r="M3581" s="415">
        <v>0</v>
      </c>
      <c r="N3581" s="415">
        <v>982.02</v>
      </c>
      <c r="O3581" s="415">
        <v>962.76</v>
      </c>
      <c r="P3581" s="415">
        <v>0</v>
      </c>
      <c r="Q3581" s="481">
        <f t="shared" si="101"/>
        <v>0</v>
      </c>
    </row>
    <row r="3582" spans="1:17" x14ac:dyDescent="0.3">
      <c r="A3582" s="366" t="str">
        <f>IFERROR(VLOOKUP(RIGHT(E3582,3)+0,[1]SchLocTable!$A$2:$B$47,2,FALSE)," ")</f>
        <v xml:space="preserve"> </v>
      </c>
      <c r="B3582" s="366" t="str">
        <f>VLOOKUP(VALUE(D3582),$D$3:F$106,3,FALSE)</f>
        <v>Transportation</v>
      </c>
      <c r="C3582" t="s">
        <v>314</v>
      </c>
      <c r="D3582">
        <v>875</v>
      </c>
      <c r="E3582" t="s">
        <v>1097</v>
      </c>
      <c r="F3582" t="s">
        <v>459</v>
      </c>
      <c r="G3582" t="s">
        <v>319</v>
      </c>
      <c r="H3582" s="502">
        <v>59015</v>
      </c>
      <c r="I3582" s="415">
        <v>669.5</v>
      </c>
      <c r="J3582" s="415">
        <v>650</v>
      </c>
      <c r="K3582" s="415">
        <v>0</v>
      </c>
      <c r="L3582" s="415">
        <v>0</v>
      </c>
      <c r="M3582" s="415">
        <v>0</v>
      </c>
      <c r="N3582" s="415">
        <v>230</v>
      </c>
      <c r="O3582" s="415">
        <v>127</v>
      </c>
      <c r="P3582" s="415">
        <v>324</v>
      </c>
      <c r="Q3582" s="481">
        <f t="shared" si="101"/>
        <v>-19.5</v>
      </c>
    </row>
    <row r="3583" spans="1:17" x14ac:dyDescent="0.3">
      <c r="A3583" s="366" t="str">
        <f>IFERROR(VLOOKUP(RIGHT(E3583,3)+0,[1]SchLocTable!$A$2:$B$47,2,FALSE)," ")</f>
        <v xml:space="preserve"> </v>
      </c>
      <c r="B3583" s="366" t="str">
        <f>VLOOKUP(VALUE(D3583),$D$3:F$106,3,FALSE)</f>
        <v>Transportation</v>
      </c>
      <c r="C3583" t="s">
        <v>314</v>
      </c>
      <c r="D3583">
        <v>875</v>
      </c>
      <c r="E3583" t="s">
        <v>1097</v>
      </c>
      <c r="F3583" t="s">
        <v>452</v>
      </c>
      <c r="G3583" t="s">
        <v>319</v>
      </c>
      <c r="H3583" s="502">
        <v>51108</v>
      </c>
      <c r="I3583" s="415">
        <v>27411.044233000001</v>
      </c>
      <c r="J3583" s="415">
        <v>21683.19</v>
      </c>
      <c r="K3583" s="415">
        <v>24568.42</v>
      </c>
      <c r="L3583" s="415">
        <v>26059.19</v>
      </c>
      <c r="M3583" s="415">
        <v>24214.41</v>
      </c>
      <c r="N3583" s="415">
        <v>22492.6</v>
      </c>
      <c r="O3583" s="415">
        <v>18006.18</v>
      </c>
      <c r="P3583" s="415">
        <v>16410.55</v>
      </c>
      <c r="Q3583" s="481">
        <f t="shared" ref="Q3583:Q3646" si="102">J3583-I3583</f>
        <v>-5727.8542330000018</v>
      </c>
    </row>
    <row r="3584" spans="1:17" x14ac:dyDescent="0.3">
      <c r="A3584" s="366" t="str">
        <f>IFERROR(VLOOKUP(RIGHT(E3584,3)+0,[1]SchLocTable!$A$2:$B$47,2,FALSE)," ")</f>
        <v xml:space="preserve"> </v>
      </c>
      <c r="B3584" s="366" t="str">
        <f>VLOOKUP(VALUE(D3584),$D$3:F$106,3,FALSE)</f>
        <v>Transportation</v>
      </c>
      <c r="C3584" t="s">
        <v>314</v>
      </c>
      <c r="D3584">
        <v>875</v>
      </c>
      <c r="E3584" t="s">
        <v>1097</v>
      </c>
      <c r="F3584" t="s">
        <v>427</v>
      </c>
      <c r="G3584" t="s">
        <v>319</v>
      </c>
      <c r="H3584" s="502">
        <v>51106</v>
      </c>
      <c r="I3584" s="415">
        <v>0</v>
      </c>
      <c r="J3584" s="415">
        <v>16323.53</v>
      </c>
      <c r="K3584" s="415">
        <v>21839.03</v>
      </c>
      <c r="L3584" s="415">
        <v>12488.7</v>
      </c>
      <c r="M3584" s="415">
        <v>17321.71</v>
      </c>
      <c r="N3584" s="415">
        <v>14773.21</v>
      </c>
      <c r="O3584" s="415">
        <v>1014.7</v>
      </c>
      <c r="P3584" s="415">
        <v>14401.2</v>
      </c>
      <c r="Q3584" s="481">
        <f t="shared" si="102"/>
        <v>16323.53</v>
      </c>
    </row>
    <row r="3585" spans="1:17" x14ac:dyDescent="0.3">
      <c r="A3585" s="366" t="str">
        <f>IFERROR(VLOOKUP(RIGHT(E3585,3)+0,[1]SchLocTable!$A$2:$B$47,2,FALSE)," ")</f>
        <v xml:space="preserve"> </v>
      </c>
      <c r="B3585" s="366" t="str">
        <f>VLOOKUP(VALUE(D3585),$D$3:F$106,3,FALSE)</f>
        <v>Transportation</v>
      </c>
      <c r="C3585" t="s">
        <v>314</v>
      </c>
      <c r="D3585">
        <v>875</v>
      </c>
      <c r="E3585" t="s">
        <v>1097</v>
      </c>
      <c r="F3585" t="s">
        <v>465</v>
      </c>
      <c r="G3585" t="s">
        <v>319</v>
      </c>
      <c r="H3585" s="502">
        <v>56240</v>
      </c>
      <c r="I3585" s="415">
        <v>7268098.1522000004</v>
      </c>
      <c r="J3585" s="415">
        <v>6824214.9400000004</v>
      </c>
      <c r="K3585" s="415">
        <v>6207702.1799999997</v>
      </c>
      <c r="L3585" s="415">
        <v>5916158.0899999999</v>
      </c>
      <c r="M3585" s="415">
        <v>5261733.5999999996</v>
      </c>
      <c r="N3585" s="415">
        <v>5246480.4000000004</v>
      </c>
      <c r="O3585" s="415">
        <v>2905569.6</v>
      </c>
      <c r="P3585" s="415">
        <v>1599257.2</v>
      </c>
      <c r="Q3585" s="481">
        <f t="shared" si="102"/>
        <v>-443883.21219999995</v>
      </c>
    </row>
    <row r="3586" spans="1:17" x14ac:dyDescent="0.3">
      <c r="A3586" s="366" t="str">
        <f>IFERROR(VLOOKUP(RIGHT(E3586,3)+0,[1]SchLocTable!$A$2:$B$47,2,FALSE)," ")</f>
        <v xml:space="preserve"> </v>
      </c>
      <c r="B3586" s="366" t="str">
        <f>VLOOKUP(VALUE(D3586),$D$3:F$106,3,FALSE)</f>
        <v>Transportation</v>
      </c>
      <c r="C3586" t="s">
        <v>314</v>
      </c>
      <c r="D3586">
        <v>875</v>
      </c>
      <c r="E3586" t="s">
        <v>1097</v>
      </c>
      <c r="F3586" t="s">
        <v>329</v>
      </c>
      <c r="G3586" t="s">
        <v>319</v>
      </c>
      <c r="H3586" s="502">
        <v>51154</v>
      </c>
      <c r="I3586" s="415">
        <v>0</v>
      </c>
      <c r="J3586" s="415">
        <v>0</v>
      </c>
      <c r="K3586" s="415">
        <v>18761.48</v>
      </c>
      <c r="L3586" s="415">
        <v>0</v>
      </c>
      <c r="M3586" s="415">
        <v>0</v>
      </c>
      <c r="N3586" s="415">
        <v>5152.2299999999996</v>
      </c>
      <c r="O3586" s="415">
        <v>20695.46</v>
      </c>
      <c r="P3586" s="415">
        <v>0</v>
      </c>
      <c r="Q3586" s="481">
        <f t="shared" si="102"/>
        <v>0</v>
      </c>
    </row>
    <row r="3587" spans="1:17" x14ac:dyDescent="0.3">
      <c r="A3587" s="366" t="str">
        <f>IFERROR(VLOOKUP(RIGHT(E3587,3)+0,[1]SchLocTable!$A$2:$B$47,2,FALSE)," ")</f>
        <v xml:space="preserve"> </v>
      </c>
      <c r="B3587" s="366" t="str">
        <f>VLOOKUP(VALUE(D3587),$D$3:F$106,3,FALSE)</f>
        <v>Charter Schools</v>
      </c>
      <c r="C3587" t="s">
        <v>314</v>
      </c>
      <c r="D3587">
        <v>876</v>
      </c>
      <c r="E3587" t="s">
        <v>1098</v>
      </c>
      <c r="F3587" t="s">
        <v>465</v>
      </c>
      <c r="G3587" t="s">
        <v>319</v>
      </c>
      <c r="H3587" s="502">
        <v>56240</v>
      </c>
      <c r="I3587" s="415">
        <v>2034562.0496</v>
      </c>
      <c r="J3587" s="415">
        <v>1919398.16</v>
      </c>
      <c r="K3587" s="415">
        <v>1787029.84</v>
      </c>
      <c r="L3587" s="415">
        <v>1721774.33</v>
      </c>
      <c r="M3587" s="415">
        <v>1690044.6</v>
      </c>
      <c r="N3587" s="415">
        <v>1453343.28</v>
      </c>
      <c r="O3587" s="415">
        <v>1267891.08</v>
      </c>
      <c r="P3587" s="415">
        <v>957574.2</v>
      </c>
      <c r="Q3587" s="481">
        <f t="shared" si="102"/>
        <v>-115163.88960000011</v>
      </c>
    </row>
    <row r="3588" spans="1:17" x14ac:dyDescent="0.3">
      <c r="A3588" s="366" t="str">
        <f>IFERROR(VLOOKUP(RIGHT(E3588,3)+0,[1]SchLocTable!$A$2:$B$47,2,FALSE)," ")</f>
        <v xml:space="preserve"> </v>
      </c>
      <c r="B3588" s="366" t="str">
        <f>VLOOKUP(VALUE(D3588),$D$3:F$106,3,FALSE)</f>
        <v>SPED Transportation</v>
      </c>
      <c r="C3588" t="s">
        <v>314</v>
      </c>
      <c r="D3588">
        <v>877</v>
      </c>
      <c r="E3588" t="s">
        <v>1099</v>
      </c>
      <c r="F3588" t="s">
        <v>465</v>
      </c>
      <c r="G3588" t="s">
        <v>319</v>
      </c>
      <c r="H3588" s="502">
        <v>56240</v>
      </c>
      <c r="I3588" s="415">
        <v>21584203.847600002</v>
      </c>
      <c r="J3588" s="415">
        <v>18502366.579999998</v>
      </c>
      <c r="K3588" s="415">
        <v>18808720.649999999</v>
      </c>
      <c r="L3588" s="415">
        <v>15616931.859999999</v>
      </c>
      <c r="M3588" s="415">
        <v>14996698.880000001</v>
      </c>
      <c r="N3588" s="415">
        <v>14207736.23</v>
      </c>
      <c r="O3588" s="415">
        <v>11877469.880000001</v>
      </c>
      <c r="P3588" s="415">
        <v>13076809.67</v>
      </c>
      <c r="Q3588" s="481">
        <f t="shared" si="102"/>
        <v>-3081837.2676000036</v>
      </c>
    </row>
    <row r="3589" spans="1:17" x14ac:dyDescent="0.3">
      <c r="A3589" s="366" t="str">
        <f>IFERROR(VLOOKUP(RIGHT(E3589,3)+0,[1]SchLocTable!$A$2:$B$47,2,FALSE)," ")</f>
        <v xml:space="preserve"> </v>
      </c>
      <c r="B3589" s="366" t="str">
        <f>VLOOKUP(VALUE(D3589),$D$3:F$106,3,FALSE)</f>
        <v>Parochial/Non-public</v>
      </c>
      <c r="C3589" t="s">
        <v>314</v>
      </c>
      <c r="D3589">
        <v>878</v>
      </c>
      <c r="E3589" t="s">
        <v>1100</v>
      </c>
      <c r="F3589" t="s">
        <v>465</v>
      </c>
      <c r="G3589" t="s">
        <v>319</v>
      </c>
      <c r="H3589" s="502">
        <v>56240</v>
      </c>
      <c r="I3589" s="415">
        <v>783013.18080000009</v>
      </c>
      <c r="J3589" s="415">
        <v>740139.68</v>
      </c>
      <c r="K3589" s="415">
        <v>705755.6</v>
      </c>
      <c r="L3589" s="415">
        <v>675196.35</v>
      </c>
      <c r="M3589" s="415">
        <v>623130</v>
      </c>
      <c r="N3589" s="415">
        <v>590524.96</v>
      </c>
      <c r="O3589" s="415">
        <v>395014.43</v>
      </c>
      <c r="P3589" s="415">
        <v>398587.24</v>
      </c>
      <c r="Q3589" s="481">
        <f t="shared" si="102"/>
        <v>-42873.500800000038</v>
      </c>
    </row>
    <row r="3590" spans="1:17" x14ac:dyDescent="0.3">
      <c r="A3590" s="366" t="str">
        <f>IFERROR(VLOOKUP(RIGHT(E3590,3)+0,[1]SchLocTable!$A$2:$B$47,2,FALSE)," ")</f>
        <v xml:space="preserve"> </v>
      </c>
      <c r="B3590" s="366" t="str">
        <f>VLOOKUP(VALUE(D3590),$D$3:F$106,3,FALSE)</f>
        <v>SPED Charter Schools</v>
      </c>
      <c r="C3590" t="s">
        <v>314</v>
      </c>
      <c r="D3590">
        <v>879</v>
      </c>
      <c r="E3590" t="s">
        <v>1101</v>
      </c>
      <c r="F3590" t="s">
        <v>465</v>
      </c>
      <c r="G3590" t="s">
        <v>319</v>
      </c>
      <c r="H3590" s="502">
        <v>56240</v>
      </c>
      <c r="I3590" s="415">
        <v>348475.31800000003</v>
      </c>
      <c r="J3590" s="415">
        <v>428458.86</v>
      </c>
      <c r="K3590" s="415">
        <v>318521.77</v>
      </c>
      <c r="L3590" s="415">
        <v>309568.25</v>
      </c>
      <c r="M3590" s="415">
        <v>310980</v>
      </c>
      <c r="N3590" s="415">
        <v>286742.28000000003</v>
      </c>
      <c r="O3590" s="415">
        <v>207212.37</v>
      </c>
      <c r="P3590" s="415">
        <v>142332.01</v>
      </c>
      <c r="Q3590" s="481">
        <f t="shared" si="102"/>
        <v>79983.541999999958</v>
      </c>
    </row>
    <row r="3591" spans="1:17" x14ac:dyDescent="0.3">
      <c r="A3591" s="366" t="str">
        <f>IFERROR(VLOOKUP(RIGHT(E3591,3)+0,[1]SchLocTable!$A$2:$B$47,2,FALSE)," ")</f>
        <v xml:space="preserve"> </v>
      </c>
      <c r="B3591" s="366" t="str">
        <f>VLOOKUP(VALUE(D3591),$D$3:F$106,3,FALSE)</f>
        <v>Security Clericals</v>
      </c>
      <c r="C3591" t="s">
        <v>314</v>
      </c>
      <c r="D3591">
        <v>882</v>
      </c>
      <c r="E3591" t="s">
        <v>1102</v>
      </c>
      <c r="F3591" t="s">
        <v>316</v>
      </c>
      <c r="G3591">
        <v>1</v>
      </c>
      <c r="H3591" s="502">
        <v>51000</v>
      </c>
      <c r="I3591" s="415">
        <v>129531.10622400002</v>
      </c>
      <c r="J3591" s="415">
        <v>58416</v>
      </c>
      <c r="K3591" s="415">
        <v>54367.66</v>
      </c>
      <c r="L3591" s="415">
        <v>48149.43</v>
      </c>
      <c r="M3591" s="415">
        <v>47338.39</v>
      </c>
      <c r="N3591" s="415">
        <v>43309.59</v>
      </c>
      <c r="O3591" s="415">
        <v>46622.17</v>
      </c>
      <c r="P3591" s="415">
        <v>44775.8</v>
      </c>
      <c r="Q3591" s="481">
        <f t="shared" si="102"/>
        <v>-71115.106224000017</v>
      </c>
    </row>
    <row r="3592" spans="1:17" x14ac:dyDescent="0.3">
      <c r="A3592" s="366" t="str">
        <f>IFERROR(VLOOKUP(RIGHT(E3592,3)+0,[1]SchLocTable!$A$2:$B$47,2,FALSE)," ")</f>
        <v xml:space="preserve"> </v>
      </c>
      <c r="B3592" s="366" t="str">
        <f>VLOOKUP(VALUE(D3592),$D$3:F$106,3,FALSE)</f>
        <v>Security Clericals</v>
      </c>
      <c r="C3592" t="s">
        <v>314</v>
      </c>
      <c r="D3592">
        <v>882</v>
      </c>
      <c r="E3592" t="s">
        <v>1102</v>
      </c>
      <c r="F3592" t="s">
        <v>321</v>
      </c>
      <c r="G3592" t="s">
        <v>319</v>
      </c>
      <c r="H3592" s="502">
        <v>52917</v>
      </c>
      <c r="I3592" s="415">
        <v>90991.680000000008</v>
      </c>
      <c r="J3592" s="415">
        <v>37710</v>
      </c>
      <c r="K3592" s="415">
        <v>34371.18</v>
      </c>
      <c r="L3592" s="415">
        <v>33556.639999999999</v>
      </c>
      <c r="M3592" s="415">
        <v>31543.65</v>
      </c>
      <c r="N3592" s="415">
        <v>28070.91</v>
      </c>
      <c r="O3592" s="415">
        <v>27630.59</v>
      </c>
      <c r="P3592" s="415">
        <v>26257.43</v>
      </c>
      <c r="Q3592" s="481">
        <f t="shared" si="102"/>
        <v>-53281.680000000008</v>
      </c>
    </row>
    <row r="3593" spans="1:17" x14ac:dyDescent="0.3">
      <c r="A3593" s="366" t="str">
        <f>IFERROR(VLOOKUP(RIGHT(E3593,3)+0,[1]SchLocTable!$A$2:$B$47,2,FALSE)," ")</f>
        <v xml:space="preserve"> </v>
      </c>
      <c r="B3593" s="366" t="str">
        <f>VLOOKUP(VALUE(D3593),$D$3:F$106,3,FALSE)</f>
        <v>Security Clericals</v>
      </c>
      <c r="C3593" t="s">
        <v>314</v>
      </c>
      <c r="D3593">
        <v>882</v>
      </c>
      <c r="E3593" t="s">
        <v>1102</v>
      </c>
      <c r="F3593" t="s">
        <v>318</v>
      </c>
      <c r="G3593" t="s">
        <v>319</v>
      </c>
      <c r="H3593" s="502">
        <v>51140</v>
      </c>
      <c r="I3593" s="415">
        <v>1400</v>
      </c>
      <c r="J3593" s="415">
        <v>0</v>
      </c>
      <c r="K3593" s="415">
        <v>1330</v>
      </c>
      <c r="L3593" s="415">
        <v>1260</v>
      </c>
      <c r="M3593" s="415">
        <v>1190</v>
      </c>
      <c r="N3593" s="415">
        <v>1120</v>
      </c>
      <c r="O3593" s="415">
        <v>1050</v>
      </c>
      <c r="P3593" s="415">
        <v>980</v>
      </c>
      <c r="Q3593" s="481">
        <f t="shared" si="102"/>
        <v>-1400</v>
      </c>
    </row>
    <row r="3594" spans="1:17" x14ac:dyDescent="0.3">
      <c r="A3594" s="366" t="str">
        <f>IFERROR(VLOOKUP(RIGHT(E3594,3)+0,[1]SchLocTable!$A$2:$B$47,2,FALSE)," ")</f>
        <v xml:space="preserve"> </v>
      </c>
      <c r="B3594" s="366" t="str">
        <f>VLOOKUP(VALUE(D3594),$D$3:F$106,3,FALSE)</f>
        <v>Security Clericals</v>
      </c>
      <c r="C3594" t="s">
        <v>314</v>
      </c>
      <c r="D3594">
        <v>882</v>
      </c>
      <c r="E3594" t="s">
        <v>1102</v>
      </c>
      <c r="F3594" t="s">
        <v>320</v>
      </c>
      <c r="G3594" t="s">
        <v>319</v>
      </c>
      <c r="H3594" s="502">
        <v>52360</v>
      </c>
      <c r="I3594" s="415">
        <v>1878.2010402480003</v>
      </c>
      <c r="J3594" s="415">
        <v>691</v>
      </c>
      <c r="K3594" s="415">
        <v>648.01</v>
      </c>
      <c r="L3594" s="415">
        <v>559.84</v>
      </c>
      <c r="M3594" s="415">
        <v>558.33000000000004</v>
      </c>
      <c r="N3594" s="415">
        <v>510.4</v>
      </c>
      <c r="O3594" s="415">
        <v>564.04</v>
      </c>
      <c r="P3594" s="415">
        <v>575.84</v>
      </c>
      <c r="Q3594" s="481">
        <f t="shared" si="102"/>
        <v>-1187.2010402480003</v>
      </c>
    </row>
    <row r="3595" spans="1:17" x14ac:dyDescent="0.3">
      <c r="A3595" s="366" t="str">
        <f>IFERROR(VLOOKUP(RIGHT(E3595,3)+0,[1]SchLocTable!$A$2:$B$47,2,FALSE)," ")</f>
        <v xml:space="preserve"> </v>
      </c>
      <c r="B3595" s="366" t="str">
        <f>VLOOKUP(VALUE(D3595),$D$3:F$106,3,FALSE)</f>
        <v>Security Clericals</v>
      </c>
      <c r="C3595" t="s">
        <v>314</v>
      </c>
      <c r="D3595">
        <v>882</v>
      </c>
      <c r="E3595" t="s">
        <v>1102</v>
      </c>
      <c r="F3595" t="s">
        <v>392</v>
      </c>
      <c r="G3595" t="s">
        <v>319</v>
      </c>
      <c r="H3595" s="502">
        <v>52504</v>
      </c>
      <c r="I3595" s="415">
        <v>26916.563873347204</v>
      </c>
      <c r="J3595" s="415">
        <v>12430</v>
      </c>
      <c r="K3595" s="415">
        <v>11470.56</v>
      </c>
      <c r="L3595" s="415">
        <v>10076.84</v>
      </c>
      <c r="M3595" s="415">
        <v>10461.57</v>
      </c>
      <c r="N3595" s="415">
        <v>8468.7099999999991</v>
      </c>
      <c r="O3595" s="415">
        <v>7850.38</v>
      </c>
      <c r="P3595" s="415">
        <v>6858.8</v>
      </c>
      <c r="Q3595" s="481">
        <f t="shared" si="102"/>
        <v>-14486.563873347204</v>
      </c>
    </row>
    <row r="3596" spans="1:17" x14ac:dyDescent="0.3">
      <c r="A3596" s="366" t="str">
        <f>IFERROR(VLOOKUP(RIGHT(E3596,3)+0,[1]SchLocTable!$A$2:$B$47,2,FALSE)," ")</f>
        <v xml:space="preserve"> </v>
      </c>
      <c r="B3596" s="366" t="str">
        <f>VLOOKUP(VALUE(D3596),$D$3:F$106,3,FALSE)</f>
        <v>Security</v>
      </c>
      <c r="C3596" t="s">
        <v>314</v>
      </c>
      <c r="D3596">
        <v>883</v>
      </c>
      <c r="E3596" t="s">
        <v>1103</v>
      </c>
      <c r="F3596" t="s">
        <v>316</v>
      </c>
      <c r="G3596">
        <v>4</v>
      </c>
      <c r="H3596" s="502">
        <v>51000</v>
      </c>
      <c r="I3596" s="415">
        <v>143171.96399999998</v>
      </c>
      <c r="J3596" s="415">
        <v>49920</v>
      </c>
      <c r="K3596" s="415">
        <v>90503.79</v>
      </c>
      <c r="L3596" s="415">
        <v>64920.14</v>
      </c>
      <c r="M3596" s="415">
        <v>90168.83</v>
      </c>
      <c r="N3596" s="415">
        <v>89157.2</v>
      </c>
      <c r="O3596" s="415">
        <v>102509.86</v>
      </c>
      <c r="P3596" s="415">
        <v>84442.01</v>
      </c>
      <c r="Q3596" s="481">
        <f t="shared" si="102"/>
        <v>-93251.963999999978</v>
      </c>
    </row>
    <row r="3597" spans="1:17" x14ac:dyDescent="0.3">
      <c r="A3597" s="366" t="str">
        <f>IFERROR(VLOOKUP(RIGHT(E3597,3)+0,[1]SchLocTable!$A$2:$B$47,2,FALSE)," ")</f>
        <v xml:space="preserve"> </v>
      </c>
      <c r="B3597" s="366" t="str">
        <f>VLOOKUP(VALUE(D3597),$D$3:F$106,3,FALSE)</f>
        <v>Security</v>
      </c>
      <c r="C3597" t="s">
        <v>314</v>
      </c>
      <c r="D3597">
        <v>883</v>
      </c>
      <c r="E3597" t="s">
        <v>1103</v>
      </c>
      <c r="F3597" t="s">
        <v>360</v>
      </c>
      <c r="G3597" t="s">
        <v>319</v>
      </c>
      <c r="H3597" s="502">
        <v>52920</v>
      </c>
      <c r="I3597" s="415">
        <v>4333.34</v>
      </c>
      <c r="J3597" s="415">
        <v>0</v>
      </c>
      <c r="K3597" s="415">
        <v>2666.68</v>
      </c>
      <c r="L3597" s="415">
        <v>1000</v>
      </c>
      <c r="M3597" s="415">
        <v>1000</v>
      </c>
      <c r="N3597" s="415">
        <v>1000</v>
      </c>
      <c r="O3597" s="415">
        <v>2000</v>
      </c>
      <c r="P3597" s="415">
        <v>2000</v>
      </c>
      <c r="Q3597" s="481">
        <f t="shared" si="102"/>
        <v>-4333.34</v>
      </c>
    </row>
    <row r="3598" spans="1:17" x14ac:dyDescent="0.3">
      <c r="A3598" s="366" t="str">
        <f>IFERROR(VLOOKUP(RIGHT(E3598,3)+0,[1]SchLocTable!$A$2:$B$47,2,FALSE)," ")</f>
        <v xml:space="preserve"> </v>
      </c>
      <c r="B3598" s="366" t="str">
        <f>VLOOKUP(VALUE(D3598),$D$3:F$106,3,FALSE)</f>
        <v>Security</v>
      </c>
      <c r="C3598" t="s">
        <v>314</v>
      </c>
      <c r="D3598">
        <v>883</v>
      </c>
      <c r="E3598" t="s">
        <v>1103</v>
      </c>
      <c r="F3598" t="s">
        <v>321</v>
      </c>
      <c r="G3598" t="s">
        <v>319</v>
      </c>
      <c r="H3598" s="502">
        <v>52917</v>
      </c>
      <c r="I3598" s="415">
        <v>526.65600000000006</v>
      </c>
      <c r="J3598" s="415">
        <v>0</v>
      </c>
      <c r="K3598" s="415">
        <v>12819.12</v>
      </c>
      <c r="L3598" s="415">
        <v>27210.3</v>
      </c>
      <c r="M3598" s="415">
        <v>27702.639999999999</v>
      </c>
      <c r="N3598" s="415">
        <v>26084.71</v>
      </c>
      <c r="O3598" s="415">
        <v>23700.99</v>
      </c>
      <c r="P3598" s="415">
        <v>23009.67</v>
      </c>
      <c r="Q3598" s="481">
        <f t="shared" si="102"/>
        <v>-526.65600000000006</v>
      </c>
    </row>
    <row r="3599" spans="1:17" x14ac:dyDescent="0.3">
      <c r="A3599" s="366" t="str">
        <f>IFERROR(VLOOKUP(RIGHT(E3599,3)+0,[1]SchLocTable!$A$2:$B$47,2,FALSE)," ")</f>
        <v xml:space="preserve"> </v>
      </c>
      <c r="B3599" s="366" t="str">
        <f>VLOOKUP(VALUE(D3599),$D$3:F$106,3,FALSE)</f>
        <v>Security</v>
      </c>
      <c r="C3599" t="s">
        <v>314</v>
      </c>
      <c r="D3599">
        <v>883</v>
      </c>
      <c r="E3599" t="s">
        <v>1103</v>
      </c>
      <c r="F3599" t="s">
        <v>1087</v>
      </c>
      <c r="G3599" t="s">
        <v>319</v>
      </c>
      <c r="H3599" s="502">
        <v>51116</v>
      </c>
      <c r="I3599" s="415">
        <v>0</v>
      </c>
      <c r="J3599" s="415">
        <v>0</v>
      </c>
      <c r="K3599" s="415">
        <v>0</v>
      </c>
      <c r="L3599" s="415">
        <v>0</v>
      </c>
      <c r="M3599" s="415">
        <v>74.540000000000006</v>
      </c>
      <c r="N3599" s="415">
        <v>389.5</v>
      </c>
      <c r="O3599" s="415">
        <v>0</v>
      </c>
      <c r="P3599" s="415">
        <v>170.19</v>
      </c>
      <c r="Q3599" s="481">
        <f t="shared" si="102"/>
        <v>0</v>
      </c>
    </row>
    <row r="3600" spans="1:17" x14ac:dyDescent="0.3">
      <c r="A3600" s="366" t="str">
        <f>IFERROR(VLOOKUP(RIGHT(E3600,3)+0,[1]SchLocTable!$A$2:$B$47,2,FALSE)," ")</f>
        <v xml:space="preserve"> </v>
      </c>
      <c r="B3600" s="366" t="str">
        <f>VLOOKUP(VALUE(D3600),$D$3:F$106,3,FALSE)</f>
        <v>Security</v>
      </c>
      <c r="C3600" t="s">
        <v>314</v>
      </c>
      <c r="D3600">
        <v>883</v>
      </c>
      <c r="E3600" t="s">
        <v>1103</v>
      </c>
      <c r="F3600" t="s">
        <v>318</v>
      </c>
      <c r="G3600" t="s">
        <v>319</v>
      </c>
      <c r="H3600" s="502">
        <v>51140</v>
      </c>
      <c r="I3600" s="415">
        <v>0</v>
      </c>
      <c r="J3600" s="415">
        <v>0</v>
      </c>
      <c r="K3600" s="415">
        <v>2550</v>
      </c>
      <c r="L3600" s="415">
        <v>2100</v>
      </c>
      <c r="M3600" s="415">
        <v>2025</v>
      </c>
      <c r="N3600" s="415">
        <v>1950</v>
      </c>
      <c r="O3600" s="415">
        <v>1875</v>
      </c>
      <c r="P3600" s="415">
        <v>2625</v>
      </c>
      <c r="Q3600" s="481">
        <f t="shared" si="102"/>
        <v>0</v>
      </c>
    </row>
    <row r="3601" spans="1:17" x14ac:dyDescent="0.3">
      <c r="A3601" s="366" t="str">
        <f>IFERROR(VLOOKUP(RIGHT(E3601,3)+0,[1]SchLocTable!$A$2:$B$47,2,FALSE)," ")</f>
        <v xml:space="preserve"> </v>
      </c>
      <c r="B3601" s="366" t="str">
        <f>VLOOKUP(VALUE(D3601),$D$3:F$106,3,FALSE)</f>
        <v>Security</v>
      </c>
      <c r="C3601" t="s">
        <v>314</v>
      </c>
      <c r="D3601">
        <v>883</v>
      </c>
      <c r="E3601" t="s">
        <v>1103</v>
      </c>
      <c r="F3601" t="s">
        <v>320</v>
      </c>
      <c r="G3601" t="s">
        <v>319</v>
      </c>
      <c r="H3601" s="502">
        <v>52360</v>
      </c>
      <c r="I3601" s="415">
        <v>5408.0054803999992</v>
      </c>
      <c r="J3601" s="415">
        <v>724</v>
      </c>
      <c r="K3601" s="415">
        <v>5608.21</v>
      </c>
      <c r="L3601" s="415">
        <v>2738.33</v>
      </c>
      <c r="M3601" s="415">
        <v>3681.56</v>
      </c>
      <c r="N3601" s="415">
        <v>3851.72</v>
      </c>
      <c r="O3601" s="415">
        <v>1852.42</v>
      </c>
      <c r="P3601" s="415">
        <v>2027.47</v>
      </c>
      <c r="Q3601" s="481">
        <f t="shared" si="102"/>
        <v>-4684.0054803999992</v>
      </c>
    </row>
    <row r="3602" spans="1:17" x14ac:dyDescent="0.3">
      <c r="A3602" s="366" t="str">
        <f>IFERROR(VLOOKUP(RIGHT(E3602,3)+0,[1]SchLocTable!$A$2:$B$47,2,FALSE)," ")</f>
        <v xml:space="preserve"> </v>
      </c>
      <c r="B3602" s="366" t="str">
        <f>VLOOKUP(VALUE(D3602),$D$3:F$106,3,FALSE)</f>
        <v>Security</v>
      </c>
      <c r="C3602" t="s">
        <v>314</v>
      </c>
      <c r="D3602">
        <v>883</v>
      </c>
      <c r="E3602" t="s">
        <v>1103</v>
      </c>
      <c r="F3602" t="s">
        <v>392</v>
      </c>
      <c r="G3602" t="s">
        <v>319</v>
      </c>
      <c r="H3602" s="502">
        <v>52504</v>
      </c>
      <c r="I3602" s="415">
        <v>43901.716320159998</v>
      </c>
      <c r="J3602" s="415">
        <v>10373</v>
      </c>
      <c r="K3602" s="415">
        <v>48229.440000000002</v>
      </c>
      <c r="L3602" s="415">
        <v>14828.58</v>
      </c>
      <c r="M3602" s="415">
        <v>24715.16</v>
      </c>
      <c r="N3602" s="415">
        <v>20129.3</v>
      </c>
      <c r="O3602" s="415">
        <v>19329.990000000002</v>
      </c>
      <c r="P3602" s="415">
        <v>13756.21</v>
      </c>
      <c r="Q3602" s="481">
        <f t="shared" si="102"/>
        <v>-33528.716320159998</v>
      </c>
    </row>
    <row r="3603" spans="1:17" x14ac:dyDescent="0.3">
      <c r="A3603" s="366" t="str">
        <f>IFERROR(VLOOKUP(RIGHT(E3603,3)+0,[1]SchLocTable!$A$2:$B$47,2,FALSE)," ")</f>
        <v xml:space="preserve"> </v>
      </c>
      <c r="B3603" s="366" t="str">
        <f>VLOOKUP(VALUE(D3603),$D$3:F$106,3,FALSE)</f>
        <v>Security</v>
      </c>
      <c r="C3603" t="s">
        <v>314</v>
      </c>
      <c r="D3603">
        <v>883</v>
      </c>
      <c r="E3603" t="s">
        <v>1103</v>
      </c>
      <c r="F3603" t="s">
        <v>458</v>
      </c>
      <c r="G3603" t="s">
        <v>319</v>
      </c>
      <c r="H3603" s="502">
        <v>54675</v>
      </c>
      <c r="I3603" s="415">
        <v>8819.5398000000005</v>
      </c>
      <c r="J3603" s="415">
        <v>8562.66</v>
      </c>
      <c r="K3603" s="415">
        <v>0</v>
      </c>
      <c r="L3603" s="415">
        <v>0</v>
      </c>
      <c r="M3603" s="415">
        <v>0</v>
      </c>
      <c r="N3603" s="415">
        <v>0</v>
      </c>
      <c r="O3603" s="415">
        <v>0</v>
      </c>
      <c r="P3603" s="415">
        <v>17045.96</v>
      </c>
      <c r="Q3603" s="481">
        <f t="shared" si="102"/>
        <v>-256.87980000000061</v>
      </c>
    </row>
    <row r="3604" spans="1:17" x14ac:dyDescent="0.3">
      <c r="A3604" s="366" t="str">
        <f>IFERROR(VLOOKUP(RIGHT(E3604,3)+0,[1]SchLocTable!$A$2:$B$47,2,FALSE)," ")</f>
        <v xml:space="preserve"> </v>
      </c>
      <c r="B3604" s="366" t="str">
        <f>VLOOKUP(VALUE(D3604),$D$3:F$106,3,FALSE)</f>
        <v>Security</v>
      </c>
      <c r="C3604" t="s">
        <v>314</v>
      </c>
      <c r="D3604">
        <v>883</v>
      </c>
      <c r="E3604" t="s">
        <v>1103</v>
      </c>
      <c r="F3604" t="s">
        <v>317</v>
      </c>
      <c r="G3604">
        <v>10</v>
      </c>
      <c r="H3604" s="502">
        <v>51100</v>
      </c>
      <c r="I3604" s="415">
        <v>178381.008</v>
      </c>
      <c r="J3604" s="415">
        <v>100208.36</v>
      </c>
      <c r="K3604" s="415">
        <v>163756.20000000001</v>
      </c>
      <c r="L3604" s="415">
        <v>76959.3</v>
      </c>
      <c r="M3604" s="415">
        <v>112486.98</v>
      </c>
      <c r="N3604" s="415">
        <v>150427.94</v>
      </c>
      <c r="O3604" s="415">
        <v>13218.25</v>
      </c>
      <c r="P3604" s="415">
        <v>43605.34</v>
      </c>
      <c r="Q3604" s="481">
        <f t="shared" si="102"/>
        <v>-78172.648000000001</v>
      </c>
    </row>
    <row r="3605" spans="1:17" x14ac:dyDescent="0.3">
      <c r="A3605" s="366" t="str">
        <f>IFERROR(VLOOKUP(RIGHT(E3605,3)+0,[1]SchLocTable!$A$2:$B$47,2,FALSE)," ")</f>
        <v xml:space="preserve"> </v>
      </c>
      <c r="B3605" s="366" t="str">
        <f>VLOOKUP(VALUE(D3605),$D$3:F$106,3,FALSE)</f>
        <v>Security</v>
      </c>
      <c r="C3605" t="s">
        <v>314</v>
      </c>
      <c r="D3605">
        <v>883</v>
      </c>
      <c r="E3605" t="s">
        <v>1103</v>
      </c>
      <c r="F3605" t="s">
        <v>452</v>
      </c>
      <c r="G3605" t="s">
        <v>319</v>
      </c>
      <c r="H3605" s="502">
        <v>51108</v>
      </c>
      <c r="I3605" s="415">
        <v>896.10299999999984</v>
      </c>
      <c r="J3605" s="415">
        <v>681.98</v>
      </c>
      <c r="K3605" s="415">
        <v>0</v>
      </c>
      <c r="L3605" s="415">
        <v>0</v>
      </c>
      <c r="M3605" s="415">
        <v>0</v>
      </c>
      <c r="N3605" s="415">
        <v>0</v>
      </c>
      <c r="O3605" s="415">
        <v>9682.58</v>
      </c>
      <c r="P3605" s="415">
        <v>0</v>
      </c>
      <c r="Q3605" s="481">
        <f t="shared" si="102"/>
        <v>-214.12299999999982</v>
      </c>
    </row>
    <row r="3606" spans="1:17" x14ac:dyDescent="0.3">
      <c r="A3606" s="366" t="str">
        <f>IFERROR(VLOOKUP(RIGHT(E3606,3)+0,[1]SchLocTable!$A$2:$B$47,2,FALSE)," ")</f>
        <v xml:space="preserve"> </v>
      </c>
      <c r="B3606" s="366" t="str">
        <f>VLOOKUP(VALUE(D3606),$D$3:F$106,3,FALSE)</f>
        <v>Security</v>
      </c>
      <c r="C3606" t="s">
        <v>314</v>
      </c>
      <c r="D3606">
        <v>883</v>
      </c>
      <c r="E3606" t="s">
        <v>1103</v>
      </c>
      <c r="F3606" t="s">
        <v>480</v>
      </c>
      <c r="G3606" t="s">
        <v>319</v>
      </c>
      <c r="H3606" s="502">
        <v>55075</v>
      </c>
      <c r="I3606" s="415">
        <v>23690</v>
      </c>
      <c r="J3606" s="415">
        <v>23000</v>
      </c>
      <c r="K3606" s="415">
        <v>0</v>
      </c>
      <c r="L3606" s="415">
        <v>0</v>
      </c>
      <c r="M3606" s="415">
        <v>0</v>
      </c>
      <c r="N3606" s="415">
        <v>0</v>
      </c>
      <c r="O3606" s="415">
        <v>0</v>
      </c>
      <c r="P3606" s="415">
        <v>0</v>
      </c>
      <c r="Q3606" s="481">
        <f t="shared" si="102"/>
        <v>-690</v>
      </c>
    </row>
    <row r="3607" spans="1:17" x14ac:dyDescent="0.3">
      <c r="A3607" s="366" t="str">
        <f>IFERROR(VLOOKUP(RIGHT(E3607,3)+0,[1]SchLocTable!$A$2:$B$47,2,FALSE)," ")</f>
        <v xml:space="preserve"> </v>
      </c>
      <c r="B3607" s="366" t="str">
        <f>VLOOKUP(VALUE(D3607),$D$3:F$106,3,FALSE)</f>
        <v>Security</v>
      </c>
      <c r="C3607" t="s">
        <v>314</v>
      </c>
      <c r="D3607">
        <v>883</v>
      </c>
      <c r="E3607" t="s">
        <v>1103</v>
      </c>
      <c r="F3607" t="s">
        <v>931</v>
      </c>
      <c r="G3607" t="s">
        <v>319</v>
      </c>
      <c r="H3607" s="502">
        <v>56225</v>
      </c>
      <c r="I3607" s="415">
        <v>389395.74359999999</v>
      </c>
      <c r="J3607" s="415">
        <v>378054.12</v>
      </c>
      <c r="K3607" s="415">
        <v>350972.35</v>
      </c>
      <c r="L3607" s="415">
        <v>349760.93</v>
      </c>
      <c r="M3607" s="415">
        <v>27000</v>
      </c>
      <c r="N3607" s="415">
        <v>34378.57</v>
      </c>
      <c r="O3607" s="415">
        <v>27500</v>
      </c>
      <c r="P3607" s="415">
        <v>27500</v>
      </c>
      <c r="Q3607" s="481">
        <f t="shared" si="102"/>
        <v>-11341.623599999992</v>
      </c>
    </row>
    <row r="3608" spans="1:17" x14ac:dyDescent="0.3">
      <c r="A3608" s="366" t="str">
        <f>IFERROR(VLOOKUP(RIGHT(E3608,3)+0,[1]SchLocTable!$A$2:$B$47,2,FALSE)," ")</f>
        <v xml:space="preserve"> </v>
      </c>
      <c r="B3608" s="366" t="str">
        <f>VLOOKUP(VALUE(D3608),$D$3:F$106,3,FALSE)</f>
        <v>Security</v>
      </c>
      <c r="C3608" t="s">
        <v>314</v>
      </c>
      <c r="D3608">
        <v>883</v>
      </c>
      <c r="E3608" t="s">
        <v>1103</v>
      </c>
      <c r="F3608" t="s">
        <v>483</v>
      </c>
      <c r="G3608" t="s">
        <v>319</v>
      </c>
      <c r="H3608" s="502">
        <v>51122</v>
      </c>
      <c r="I3608" s="415">
        <v>46567.855360000009</v>
      </c>
      <c r="J3608" s="415">
        <v>16308.61</v>
      </c>
      <c r="K3608" s="415">
        <v>92076.5</v>
      </c>
      <c r="L3608" s="415">
        <v>5507.56</v>
      </c>
      <c r="M3608" s="415">
        <v>17350.47</v>
      </c>
      <c r="N3608" s="415">
        <v>7267.9</v>
      </c>
      <c r="O3608" s="415">
        <v>10250.11</v>
      </c>
      <c r="P3608" s="415">
        <v>7500.6</v>
      </c>
      <c r="Q3608" s="481">
        <f t="shared" si="102"/>
        <v>-30259.245360000008</v>
      </c>
    </row>
    <row r="3609" spans="1:17" x14ac:dyDescent="0.3">
      <c r="A3609" s="366" t="str">
        <f>IFERROR(VLOOKUP(RIGHT(E3609,3)+0,[1]SchLocTable!$A$2:$B$47,2,FALSE)," ")</f>
        <v xml:space="preserve"> </v>
      </c>
      <c r="B3609" s="366" t="str">
        <f>VLOOKUP(VALUE(D3609),$D$3:F$106,3,FALSE)</f>
        <v>Security</v>
      </c>
      <c r="C3609" t="s">
        <v>314</v>
      </c>
      <c r="D3609">
        <v>883</v>
      </c>
      <c r="E3609" t="s">
        <v>1103</v>
      </c>
      <c r="F3609" t="s">
        <v>324</v>
      </c>
      <c r="G3609" t="s">
        <v>319</v>
      </c>
      <c r="H3609" s="502">
        <v>52385</v>
      </c>
      <c r="I3609" s="415">
        <v>2385.7600000000002</v>
      </c>
      <c r="J3609" s="415">
        <v>6212.89</v>
      </c>
      <c r="K3609" s="415">
        <v>10612.14</v>
      </c>
      <c r="L3609" s="415">
        <v>7665.68</v>
      </c>
      <c r="M3609" s="415">
        <v>7509.44</v>
      </c>
      <c r="N3609" s="415">
        <v>9989.0300000000007</v>
      </c>
      <c r="O3609" s="415">
        <v>862.1</v>
      </c>
      <c r="P3609" s="415">
        <v>2498.15</v>
      </c>
      <c r="Q3609" s="481">
        <f t="shared" si="102"/>
        <v>3827.13</v>
      </c>
    </row>
    <row r="3610" spans="1:17" x14ac:dyDescent="0.3">
      <c r="A3610" s="366" t="str">
        <f>IFERROR(VLOOKUP(RIGHT(E3610,3)+0,[1]SchLocTable!$A$2:$B$47,2,FALSE)," ")</f>
        <v xml:space="preserve"> </v>
      </c>
      <c r="B3610" s="366" t="str">
        <f>VLOOKUP(VALUE(D3610),$D$3:F$106,3,FALSE)</f>
        <v>Security</v>
      </c>
      <c r="C3610" t="s">
        <v>314</v>
      </c>
      <c r="D3610">
        <v>883</v>
      </c>
      <c r="E3610" t="s">
        <v>1103</v>
      </c>
      <c r="F3610" t="s">
        <v>502</v>
      </c>
      <c r="G3610" t="s">
        <v>319</v>
      </c>
      <c r="H3610" s="502">
        <v>53610</v>
      </c>
      <c r="I3610" s="415">
        <v>6180</v>
      </c>
      <c r="J3610" s="415">
        <v>6000</v>
      </c>
      <c r="K3610" s="415">
        <v>0</v>
      </c>
      <c r="L3610" s="415">
        <v>0</v>
      </c>
      <c r="M3610" s="415">
        <v>1498</v>
      </c>
      <c r="N3610" s="415">
        <v>0</v>
      </c>
      <c r="O3610" s="415">
        <v>0</v>
      </c>
      <c r="P3610" s="415">
        <v>0</v>
      </c>
      <c r="Q3610" s="481">
        <f t="shared" si="102"/>
        <v>-180</v>
      </c>
    </row>
    <row r="3611" spans="1:17" x14ac:dyDescent="0.3">
      <c r="A3611" s="366" t="str">
        <f>IFERROR(VLOOKUP(RIGHT(E3611,3)+0,[1]SchLocTable!$A$2:$B$47,2,FALSE)," ")</f>
        <v xml:space="preserve"> </v>
      </c>
      <c r="B3611" s="366" t="str">
        <f>VLOOKUP(VALUE(D3611),$D$3:F$106,3,FALSE)</f>
        <v>Security</v>
      </c>
      <c r="C3611" t="s">
        <v>314</v>
      </c>
      <c r="D3611">
        <v>883</v>
      </c>
      <c r="E3611" t="s">
        <v>1103</v>
      </c>
      <c r="F3611" t="s">
        <v>560</v>
      </c>
      <c r="G3611" t="s">
        <v>319</v>
      </c>
      <c r="H3611" s="502">
        <v>51404</v>
      </c>
      <c r="I3611" s="415">
        <v>0</v>
      </c>
      <c r="J3611" s="415">
        <v>0</v>
      </c>
      <c r="K3611" s="415">
        <v>0</v>
      </c>
      <c r="L3611" s="415">
        <v>0</v>
      </c>
      <c r="M3611" s="415">
        <v>885.27</v>
      </c>
      <c r="N3611" s="415">
        <v>0</v>
      </c>
      <c r="O3611" s="415">
        <v>0</v>
      </c>
      <c r="P3611" s="415">
        <v>0</v>
      </c>
      <c r="Q3611" s="481">
        <f t="shared" si="102"/>
        <v>0</v>
      </c>
    </row>
    <row r="3612" spans="1:17" x14ac:dyDescent="0.3">
      <c r="A3612" s="366" t="str">
        <f>IFERROR(VLOOKUP(RIGHT(E3612,3)+0,[1]SchLocTable!$A$2:$B$47,2,FALSE)," ")</f>
        <v xml:space="preserve"> </v>
      </c>
      <c r="B3612" s="366" t="str">
        <f>VLOOKUP(VALUE(D3612),$D$3:F$106,3,FALSE)</f>
        <v>Security</v>
      </c>
      <c r="C3612" t="s">
        <v>314</v>
      </c>
      <c r="D3612">
        <v>883</v>
      </c>
      <c r="E3612" t="s">
        <v>1103</v>
      </c>
      <c r="F3612" t="s">
        <v>533</v>
      </c>
      <c r="G3612" t="s">
        <v>319</v>
      </c>
      <c r="H3612" s="502">
        <v>52397</v>
      </c>
      <c r="I3612" s="415">
        <v>0</v>
      </c>
      <c r="J3612" s="415">
        <v>0</v>
      </c>
      <c r="K3612" s="415">
        <v>0</v>
      </c>
      <c r="L3612" s="415">
        <v>928</v>
      </c>
      <c r="M3612" s="415">
        <v>690</v>
      </c>
      <c r="N3612" s="415">
        <v>3809</v>
      </c>
      <c r="O3612" s="415">
        <v>0</v>
      </c>
      <c r="P3612" s="415">
        <v>0</v>
      </c>
      <c r="Q3612" s="481">
        <f t="shared" si="102"/>
        <v>0</v>
      </c>
    </row>
    <row r="3613" spans="1:17" x14ac:dyDescent="0.3">
      <c r="A3613" s="366" t="str">
        <f>IFERROR(VLOOKUP(RIGHT(E3613,3)+0,[1]SchLocTable!$A$2:$B$47,2,FALSE)," ")</f>
        <v xml:space="preserve"> </v>
      </c>
      <c r="B3613" s="366" t="str">
        <f>VLOOKUP(VALUE(D3613),$D$3:F$106,3,FALSE)</f>
        <v>Security</v>
      </c>
      <c r="C3613" t="s">
        <v>314</v>
      </c>
      <c r="D3613">
        <v>883</v>
      </c>
      <c r="E3613" t="s">
        <v>1103</v>
      </c>
      <c r="F3613" t="s">
        <v>912</v>
      </c>
      <c r="G3613" t="s">
        <v>319</v>
      </c>
      <c r="H3613" s="502">
        <v>54745</v>
      </c>
      <c r="I3613" s="415">
        <v>40891</v>
      </c>
      <c r="J3613" s="415">
        <v>39700</v>
      </c>
      <c r="K3613" s="415">
        <v>26919</v>
      </c>
      <c r="L3613" s="415">
        <v>27378</v>
      </c>
      <c r="M3613" s="415">
        <v>28599.15</v>
      </c>
      <c r="N3613" s="415">
        <v>26252.400000000001</v>
      </c>
      <c r="O3613" s="415">
        <v>30694.61</v>
      </c>
      <c r="P3613" s="415">
        <v>34657.410000000003</v>
      </c>
      <c r="Q3613" s="481">
        <f t="shared" si="102"/>
        <v>-1191</v>
      </c>
    </row>
    <row r="3614" spans="1:17" x14ac:dyDescent="0.3">
      <c r="A3614" s="366" t="str">
        <f>IFERROR(VLOOKUP(RIGHT(E3614,3)+0,[1]SchLocTable!$A$2:$B$47,2,FALSE)," ")</f>
        <v xml:space="preserve"> </v>
      </c>
      <c r="B3614" s="366" t="str">
        <f>VLOOKUP(VALUE(D3614),$D$3:F$106,3,FALSE)</f>
        <v>Security</v>
      </c>
      <c r="C3614" t="s">
        <v>314</v>
      </c>
      <c r="D3614">
        <v>883</v>
      </c>
      <c r="E3614" t="s">
        <v>1103</v>
      </c>
      <c r="F3614" t="s">
        <v>329</v>
      </c>
      <c r="G3614" t="s">
        <v>319</v>
      </c>
      <c r="H3614" s="502">
        <v>51154</v>
      </c>
      <c r="I3614" s="415">
        <v>0</v>
      </c>
      <c r="J3614" s="415">
        <v>0</v>
      </c>
      <c r="K3614" s="415">
        <v>8728.14</v>
      </c>
      <c r="L3614" s="415">
        <v>0</v>
      </c>
      <c r="M3614" s="415">
        <v>0</v>
      </c>
      <c r="N3614" s="415">
        <v>0</v>
      </c>
      <c r="O3614" s="415">
        <v>0</v>
      </c>
      <c r="P3614" s="415">
        <v>3457.71</v>
      </c>
      <c r="Q3614" s="481">
        <f t="shared" si="102"/>
        <v>0</v>
      </c>
    </row>
    <row r="3615" spans="1:17" x14ac:dyDescent="0.3">
      <c r="A3615" s="366" t="str">
        <f>IFERROR(VLOOKUP(RIGHT(E3615,3)+0,[1]SchLocTable!$A$2:$B$47,2,FALSE)," ")</f>
        <v xml:space="preserve"> </v>
      </c>
      <c r="B3615" s="366" t="str">
        <f>VLOOKUP(VALUE(D3615),$D$3:F$106,3,FALSE)</f>
        <v>Security</v>
      </c>
      <c r="C3615" t="s">
        <v>314</v>
      </c>
      <c r="D3615">
        <v>883</v>
      </c>
      <c r="E3615" t="s">
        <v>1103</v>
      </c>
      <c r="F3615" t="s">
        <v>418</v>
      </c>
      <c r="G3615" t="s">
        <v>319</v>
      </c>
      <c r="H3615" s="502">
        <v>51314</v>
      </c>
      <c r="I3615" s="415">
        <v>1807.0320000000002</v>
      </c>
      <c r="J3615" s="415">
        <v>0</v>
      </c>
      <c r="K3615" s="415">
        <v>1754.4</v>
      </c>
      <c r="L3615" s="415">
        <v>0</v>
      </c>
      <c r="M3615" s="415">
        <v>0</v>
      </c>
      <c r="N3615" s="415">
        <v>0</v>
      </c>
      <c r="O3615" s="415">
        <v>0</v>
      </c>
      <c r="P3615" s="415">
        <v>0</v>
      </c>
      <c r="Q3615" s="481">
        <f t="shared" si="102"/>
        <v>-1807.0320000000002</v>
      </c>
    </row>
    <row r="3616" spans="1:17" x14ac:dyDescent="0.3">
      <c r="A3616" s="366" t="str">
        <f>IFERROR(VLOOKUP(RIGHT(E3616,3)+0,[1]SchLocTable!$A$2:$B$47,2,FALSE)," ")</f>
        <v xml:space="preserve"> </v>
      </c>
      <c r="B3616" s="366" t="str">
        <f>VLOOKUP(VALUE(D3616),$D$3:F$106,3,FALSE)</f>
        <v>Security</v>
      </c>
      <c r="C3616" t="s">
        <v>314</v>
      </c>
      <c r="D3616">
        <v>883</v>
      </c>
      <c r="E3616" t="s">
        <v>1103</v>
      </c>
      <c r="F3616" t="s">
        <v>356</v>
      </c>
      <c r="G3616" t="s">
        <v>319</v>
      </c>
      <c r="H3616" s="502">
        <v>51156</v>
      </c>
      <c r="I3616" s="415">
        <v>0</v>
      </c>
      <c r="J3616" s="415">
        <v>0</v>
      </c>
      <c r="K3616" s="415">
        <v>0</v>
      </c>
      <c r="L3616" s="415">
        <v>4162.8</v>
      </c>
      <c r="M3616" s="415">
        <v>1734.53</v>
      </c>
      <c r="N3616" s="415">
        <v>1574.4</v>
      </c>
      <c r="O3616" s="415">
        <v>1558.15</v>
      </c>
      <c r="P3616" s="415">
        <v>1483.2</v>
      </c>
      <c r="Q3616" s="481">
        <f t="shared" si="102"/>
        <v>0</v>
      </c>
    </row>
    <row r="3617" spans="1:17" x14ac:dyDescent="0.3">
      <c r="A3617" s="366" t="str">
        <f>IFERROR(VLOOKUP(RIGHT(E3617,3)+0,[1]SchLocTable!$A$2:$B$47,2,FALSE)," ")</f>
        <v xml:space="preserve"> </v>
      </c>
      <c r="B3617" s="366" t="str">
        <f>VLOOKUP(VALUE(D3617),$D$3:F$106,3,FALSE)</f>
        <v>Security</v>
      </c>
      <c r="C3617" t="s">
        <v>314</v>
      </c>
      <c r="D3617">
        <v>883</v>
      </c>
      <c r="E3617" t="s">
        <v>1104</v>
      </c>
      <c r="F3617" t="s">
        <v>320</v>
      </c>
      <c r="G3617" t="s">
        <v>319</v>
      </c>
      <c r="H3617" s="502">
        <v>52360</v>
      </c>
      <c r="I3617" s="415">
        <v>0</v>
      </c>
      <c r="J3617" s="415">
        <v>0</v>
      </c>
      <c r="K3617" s="415">
        <v>368.18</v>
      </c>
      <c r="L3617" s="415">
        <v>0</v>
      </c>
      <c r="M3617" s="415">
        <v>0</v>
      </c>
      <c r="N3617" s="415">
        <v>0</v>
      </c>
      <c r="O3617" s="415">
        <v>0</v>
      </c>
      <c r="P3617" s="415">
        <v>0</v>
      </c>
      <c r="Q3617" s="481">
        <f t="shared" si="102"/>
        <v>0</v>
      </c>
    </row>
    <row r="3618" spans="1:17" x14ac:dyDescent="0.3">
      <c r="A3618" s="366" t="str">
        <f>IFERROR(VLOOKUP(RIGHT(E3618,3)+0,[1]SchLocTable!$A$2:$B$47,2,FALSE)," ")</f>
        <v xml:space="preserve"> </v>
      </c>
      <c r="B3618" s="366" t="str">
        <f>VLOOKUP(VALUE(D3618),$D$3:F$106,3,FALSE)</f>
        <v>Security</v>
      </c>
      <c r="C3618" t="s">
        <v>314</v>
      </c>
      <c r="D3618">
        <v>883</v>
      </c>
      <c r="E3618" t="s">
        <v>1104</v>
      </c>
      <c r="F3618" t="s">
        <v>392</v>
      </c>
      <c r="G3618" t="s">
        <v>319</v>
      </c>
      <c r="H3618" s="502">
        <v>52504</v>
      </c>
      <c r="I3618" s="415">
        <v>0</v>
      </c>
      <c r="J3618" s="415">
        <v>0</v>
      </c>
      <c r="K3618" s="415">
        <v>5201.6899999999996</v>
      </c>
      <c r="L3618" s="415">
        <v>0</v>
      </c>
      <c r="M3618" s="415">
        <v>0</v>
      </c>
      <c r="N3618" s="415">
        <v>0</v>
      </c>
      <c r="O3618" s="415">
        <v>0</v>
      </c>
      <c r="P3618" s="415">
        <v>0</v>
      </c>
      <c r="Q3618" s="481">
        <f t="shared" si="102"/>
        <v>0</v>
      </c>
    </row>
    <row r="3619" spans="1:17" x14ac:dyDescent="0.3">
      <c r="A3619" s="366" t="str">
        <f>IFERROR(VLOOKUP(RIGHT(E3619,3)+0,[1]SchLocTable!$A$2:$B$47,2,FALSE)," ")</f>
        <v xml:space="preserve"> </v>
      </c>
      <c r="B3619" s="366" t="str">
        <f>VLOOKUP(VALUE(D3619),$D$3:F$106,3,FALSE)</f>
        <v>Security</v>
      </c>
      <c r="C3619" t="s">
        <v>314</v>
      </c>
      <c r="D3619">
        <v>883</v>
      </c>
      <c r="E3619" t="s">
        <v>1104</v>
      </c>
      <c r="F3619" t="s">
        <v>452</v>
      </c>
      <c r="G3619" t="s">
        <v>319</v>
      </c>
      <c r="H3619" s="502">
        <v>51108</v>
      </c>
      <c r="I3619" s="415">
        <v>0</v>
      </c>
      <c r="J3619" s="415">
        <v>0</v>
      </c>
      <c r="K3619" s="415">
        <v>3532.3</v>
      </c>
      <c r="L3619" s="415">
        <v>0</v>
      </c>
      <c r="M3619" s="415">
        <v>0</v>
      </c>
      <c r="N3619" s="415">
        <v>0</v>
      </c>
      <c r="O3619" s="415">
        <v>0</v>
      </c>
      <c r="P3619" s="415">
        <v>0</v>
      </c>
      <c r="Q3619" s="481">
        <f t="shared" si="102"/>
        <v>0</v>
      </c>
    </row>
    <row r="3620" spans="1:17" x14ac:dyDescent="0.3">
      <c r="A3620" s="366" t="str">
        <f>IFERROR(VLOOKUP(RIGHT(E3620,3)+0,[1]SchLocTable!$A$2:$B$47,2,FALSE)," ")</f>
        <v xml:space="preserve"> </v>
      </c>
      <c r="B3620" s="366" t="str">
        <f>VLOOKUP(VALUE(D3620),$D$3:F$106,3,FALSE)</f>
        <v>Security</v>
      </c>
      <c r="C3620" t="s">
        <v>314</v>
      </c>
      <c r="D3620">
        <v>883</v>
      </c>
      <c r="E3620" t="s">
        <v>1104</v>
      </c>
      <c r="F3620" t="s">
        <v>483</v>
      </c>
      <c r="G3620" t="s">
        <v>319</v>
      </c>
      <c r="H3620" s="502">
        <v>51122</v>
      </c>
      <c r="I3620" s="415">
        <v>1304.1600000000001</v>
      </c>
      <c r="J3620" s="415">
        <v>0</v>
      </c>
      <c r="K3620" s="415">
        <v>21858.89</v>
      </c>
      <c r="L3620" s="415">
        <v>0</v>
      </c>
      <c r="M3620" s="415">
        <v>0</v>
      </c>
      <c r="N3620" s="415">
        <v>0</v>
      </c>
      <c r="O3620" s="415">
        <v>0</v>
      </c>
      <c r="P3620" s="415">
        <v>0</v>
      </c>
      <c r="Q3620" s="481">
        <f t="shared" si="102"/>
        <v>-1304.1600000000001</v>
      </c>
    </row>
    <row r="3621" spans="1:17" x14ac:dyDescent="0.3">
      <c r="A3621" s="366" t="str">
        <f>IFERROR(VLOOKUP(RIGHT(E3621,3)+0,[1]SchLocTable!$A$2:$B$47,2,FALSE)," ")</f>
        <v xml:space="preserve"> </v>
      </c>
      <c r="B3621" s="366" t="str">
        <f>VLOOKUP(VALUE(D3621),$D$3:F$106,3,FALSE)</f>
        <v>Security</v>
      </c>
      <c r="C3621" t="s">
        <v>314</v>
      </c>
      <c r="D3621">
        <v>883</v>
      </c>
      <c r="E3621" t="s">
        <v>1104</v>
      </c>
      <c r="F3621" t="s">
        <v>324</v>
      </c>
      <c r="G3621" t="s">
        <v>319</v>
      </c>
      <c r="H3621" s="502">
        <v>52385</v>
      </c>
      <c r="I3621" s="415">
        <v>0</v>
      </c>
      <c r="J3621" s="415">
        <v>0</v>
      </c>
      <c r="K3621" s="415">
        <v>7.89</v>
      </c>
      <c r="L3621" s="415">
        <v>0</v>
      </c>
      <c r="M3621" s="415">
        <v>0</v>
      </c>
      <c r="N3621" s="415">
        <v>0</v>
      </c>
      <c r="O3621" s="415">
        <v>0</v>
      </c>
      <c r="P3621" s="415">
        <v>0</v>
      </c>
      <c r="Q3621" s="481">
        <f t="shared" si="102"/>
        <v>0</v>
      </c>
    </row>
    <row r="3622" spans="1:17" x14ac:dyDescent="0.3">
      <c r="A3622" s="366" t="str">
        <f>IFERROR(VLOOKUP(RIGHT(E3622,3)+0,[1]SchLocTable!$A$2:$B$47,2,FALSE)," ")</f>
        <v xml:space="preserve"> </v>
      </c>
      <c r="B3622" s="366" t="str">
        <f>VLOOKUP(VALUE(D3622),$D$3:F$106,3,FALSE)</f>
        <v>Security</v>
      </c>
      <c r="C3622" t="s">
        <v>314</v>
      </c>
      <c r="D3622">
        <v>883</v>
      </c>
      <c r="E3622" t="s">
        <v>1105</v>
      </c>
      <c r="F3622" t="s">
        <v>320</v>
      </c>
      <c r="G3622" t="s">
        <v>319</v>
      </c>
      <c r="H3622" s="502">
        <v>52360</v>
      </c>
      <c r="I3622" s="415">
        <v>245.32340039999997</v>
      </c>
      <c r="J3622" s="415">
        <v>14.66</v>
      </c>
      <c r="K3622" s="415">
        <v>103.27</v>
      </c>
      <c r="L3622" s="415">
        <v>48.28</v>
      </c>
      <c r="M3622" s="415">
        <v>411.4</v>
      </c>
      <c r="N3622" s="415">
        <v>510.85</v>
      </c>
      <c r="O3622" s="415">
        <v>352.01</v>
      </c>
      <c r="P3622" s="415">
        <v>1692.81</v>
      </c>
      <c r="Q3622" s="481">
        <f t="shared" si="102"/>
        <v>-230.66340039999997</v>
      </c>
    </row>
    <row r="3623" spans="1:17" x14ac:dyDescent="0.3">
      <c r="A3623" s="366" t="str">
        <f>IFERROR(VLOOKUP(RIGHT(E3623,3)+0,[1]SchLocTable!$A$2:$B$47,2,FALSE)," ")</f>
        <v xml:space="preserve"> </v>
      </c>
      <c r="B3623" s="366" t="str">
        <f>VLOOKUP(VALUE(D3623),$D$3:F$106,3,FALSE)</f>
        <v>Security</v>
      </c>
      <c r="C3623" t="s">
        <v>314</v>
      </c>
      <c r="D3623">
        <v>883</v>
      </c>
      <c r="E3623" t="s">
        <v>1105</v>
      </c>
      <c r="F3623" t="s">
        <v>392</v>
      </c>
      <c r="G3623" t="s">
        <v>319</v>
      </c>
      <c r="H3623" s="502">
        <v>52504</v>
      </c>
      <c r="I3623" s="415">
        <v>3515.7381105599998</v>
      </c>
      <c r="J3623" s="415">
        <v>210.26</v>
      </c>
      <c r="K3623" s="415">
        <v>1468.91</v>
      </c>
      <c r="L3623" s="415">
        <v>686.54</v>
      </c>
      <c r="M3623" s="415">
        <v>6485.11</v>
      </c>
      <c r="N3623" s="415">
        <v>6748.8</v>
      </c>
      <c r="O3623" s="415">
        <v>4797.8500000000004</v>
      </c>
      <c r="P3623" s="415">
        <v>20039.419999999998</v>
      </c>
      <c r="Q3623" s="481">
        <f t="shared" si="102"/>
        <v>-3305.4781105599995</v>
      </c>
    </row>
    <row r="3624" spans="1:17" x14ac:dyDescent="0.3">
      <c r="A3624" s="366" t="str">
        <f>IFERROR(VLOOKUP(RIGHT(E3624,3)+0,[1]SchLocTable!$A$2:$B$47,2,FALSE)," ")</f>
        <v xml:space="preserve"> </v>
      </c>
      <c r="B3624" s="366" t="str">
        <f>VLOOKUP(VALUE(D3624),$D$3:F$106,3,FALSE)</f>
        <v>Security</v>
      </c>
      <c r="C3624" t="s">
        <v>314</v>
      </c>
      <c r="D3624">
        <v>883</v>
      </c>
      <c r="E3624" t="s">
        <v>1105</v>
      </c>
      <c r="F3624" t="s">
        <v>452</v>
      </c>
      <c r="G3624" t="s">
        <v>319</v>
      </c>
      <c r="H3624" s="502">
        <v>51108</v>
      </c>
      <c r="I3624" s="415">
        <v>896.10299999999984</v>
      </c>
      <c r="J3624" s="415">
        <v>573.99</v>
      </c>
      <c r="K3624" s="415">
        <v>2321.71</v>
      </c>
      <c r="L3624" s="415">
        <v>1212.8</v>
      </c>
      <c r="M3624" s="415">
        <v>2243.4899999999998</v>
      </c>
      <c r="N3624" s="415">
        <v>13896.47</v>
      </c>
      <c r="O3624" s="415">
        <v>10810.96</v>
      </c>
      <c r="P3624" s="415">
        <v>26613.16</v>
      </c>
      <c r="Q3624" s="481">
        <f t="shared" si="102"/>
        <v>-322.11299999999983</v>
      </c>
    </row>
    <row r="3625" spans="1:17" x14ac:dyDescent="0.3">
      <c r="A3625" s="366" t="str">
        <f>IFERROR(VLOOKUP(RIGHT(E3625,3)+0,[1]SchLocTable!$A$2:$B$47,2,FALSE)," ")</f>
        <v xml:space="preserve"> </v>
      </c>
      <c r="B3625" s="366" t="str">
        <f>VLOOKUP(VALUE(D3625),$D$3:F$106,3,FALSE)</f>
        <v>Security</v>
      </c>
      <c r="C3625" t="s">
        <v>314</v>
      </c>
      <c r="D3625">
        <v>883</v>
      </c>
      <c r="E3625" t="s">
        <v>1105</v>
      </c>
      <c r="F3625" t="s">
        <v>427</v>
      </c>
      <c r="G3625" t="s">
        <v>319</v>
      </c>
      <c r="H3625" s="502">
        <v>51106</v>
      </c>
      <c r="I3625" s="415">
        <v>0</v>
      </c>
      <c r="J3625" s="415">
        <v>0</v>
      </c>
      <c r="K3625" s="415">
        <v>0</v>
      </c>
      <c r="L3625" s="415">
        <v>0</v>
      </c>
      <c r="M3625" s="415">
        <v>260</v>
      </c>
      <c r="N3625" s="415">
        <v>0</v>
      </c>
      <c r="O3625" s="415">
        <v>77.16</v>
      </c>
      <c r="P3625" s="415">
        <v>0</v>
      </c>
      <c r="Q3625" s="481">
        <f t="shared" si="102"/>
        <v>0</v>
      </c>
    </row>
    <row r="3626" spans="1:17" x14ac:dyDescent="0.3">
      <c r="A3626" s="366" t="str">
        <f>IFERROR(VLOOKUP(RIGHT(E3626,3)+0,[1]SchLocTable!$A$2:$B$47,2,FALSE)," ")</f>
        <v xml:space="preserve"> </v>
      </c>
      <c r="B3626" s="366" t="str">
        <f>VLOOKUP(VALUE(D3626),$D$3:F$106,3,FALSE)</f>
        <v>Security</v>
      </c>
      <c r="C3626" t="s">
        <v>314</v>
      </c>
      <c r="D3626">
        <v>883</v>
      </c>
      <c r="E3626" t="s">
        <v>1105</v>
      </c>
      <c r="F3626" t="s">
        <v>483</v>
      </c>
      <c r="G3626" t="s">
        <v>319</v>
      </c>
      <c r="H3626" s="502">
        <v>51122</v>
      </c>
      <c r="I3626" s="415">
        <v>10546.092960000002</v>
      </c>
      <c r="J3626" s="415">
        <v>437.81</v>
      </c>
      <c r="K3626" s="415">
        <v>4807.76</v>
      </c>
      <c r="L3626" s="415">
        <v>948.81</v>
      </c>
      <c r="M3626" s="415">
        <v>20622.39</v>
      </c>
      <c r="N3626" s="415">
        <v>20845.16</v>
      </c>
      <c r="O3626" s="415">
        <v>6345.02</v>
      </c>
      <c r="P3626" s="415">
        <v>49986.62</v>
      </c>
      <c r="Q3626" s="481">
        <f t="shared" si="102"/>
        <v>-10108.282960000002</v>
      </c>
    </row>
    <row r="3627" spans="1:17" x14ac:dyDescent="0.3">
      <c r="A3627" s="366" t="str">
        <f>IFERROR(VLOOKUP(RIGHT(E3627,3)+0,[1]SchLocTable!$A$2:$B$47,2,FALSE)," ")</f>
        <v>Barnum</v>
      </c>
      <c r="B3627" s="366" t="str">
        <f>VLOOKUP(VALUE(D3627),$D$3:F$106,3,FALSE)</f>
        <v>Security</v>
      </c>
      <c r="C3627" t="s">
        <v>314</v>
      </c>
      <c r="D3627">
        <v>883</v>
      </c>
      <c r="E3627" t="s">
        <v>1106</v>
      </c>
      <c r="F3627" t="s">
        <v>316</v>
      </c>
      <c r="G3627">
        <v>1</v>
      </c>
      <c r="H3627" s="502">
        <v>51000</v>
      </c>
      <c r="I3627" s="415">
        <v>47792.159999999996</v>
      </c>
      <c r="J3627" s="415">
        <v>46176</v>
      </c>
      <c r="K3627" s="415">
        <v>45423.6</v>
      </c>
      <c r="L3627" s="415">
        <v>44112.88</v>
      </c>
      <c r="M3627" s="415">
        <v>43021.46</v>
      </c>
      <c r="N3627" s="415">
        <v>41494.32</v>
      </c>
      <c r="O3627" s="415">
        <v>52776.24</v>
      </c>
      <c r="P3627" s="415">
        <v>84471.73</v>
      </c>
      <c r="Q3627" s="481">
        <f t="shared" si="102"/>
        <v>-1616.1599999999962</v>
      </c>
    </row>
    <row r="3628" spans="1:17" x14ac:dyDescent="0.3">
      <c r="A3628" s="366" t="str">
        <f>IFERROR(VLOOKUP(RIGHT(E3628,3)+0,[1]SchLocTable!$A$2:$B$47,2,FALSE)," ")</f>
        <v>Barnum</v>
      </c>
      <c r="B3628" s="366" t="str">
        <f>VLOOKUP(VALUE(D3628),$D$3:F$106,3,FALSE)</f>
        <v>Security</v>
      </c>
      <c r="C3628" t="s">
        <v>314</v>
      </c>
      <c r="D3628">
        <v>883</v>
      </c>
      <c r="E3628" t="s">
        <v>1106</v>
      </c>
      <c r="F3628" t="s">
        <v>321</v>
      </c>
      <c r="G3628" t="s">
        <v>319</v>
      </c>
      <c r="H3628" s="502">
        <v>52917</v>
      </c>
      <c r="I3628" s="415">
        <v>35515.583999999995</v>
      </c>
      <c r="J3628" s="415">
        <v>29447</v>
      </c>
      <c r="K3628" s="415">
        <v>27172.03</v>
      </c>
      <c r="L3628" s="415">
        <v>26860.34</v>
      </c>
      <c r="M3628" s="415">
        <v>23918.42</v>
      </c>
      <c r="N3628" s="415">
        <v>20896.71</v>
      </c>
      <c r="O3628" s="415">
        <v>23473.88</v>
      </c>
      <c r="P3628" s="415">
        <v>32791.72</v>
      </c>
      <c r="Q3628" s="481">
        <f t="shared" si="102"/>
        <v>-6068.5839999999953</v>
      </c>
    </row>
    <row r="3629" spans="1:17" x14ac:dyDescent="0.3">
      <c r="A3629" s="366" t="str">
        <f>IFERROR(VLOOKUP(RIGHT(E3629,3)+0,[1]SchLocTable!$A$2:$B$47,2,FALSE)," ")</f>
        <v>Barnum</v>
      </c>
      <c r="B3629" s="366" t="str">
        <f>VLOOKUP(VALUE(D3629),$D$3:F$106,3,FALSE)</f>
        <v>Security</v>
      </c>
      <c r="C3629" t="s">
        <v>314</v>
      </c>
      <c r="D3629">
        <v>883</v>
      </c>
      <c r="E3629" t="s">
        <v>1106</v>
      </c>
      <c r="F3629" t="s">
        <v>318</v>
      </c>
      <c r="G3629" t="s">
        <v>319</v>
      </c>
      <c r="H3629" s="502">
        <v>51140</v>
      </c>
      <c r="I3629" s="415">
        <v>900</v>
      </c>
      <c r="J3629" s="415">
        <v>900</v>
      </c>
      <c r="K3629" s="415">
        <v>825</v>
      </c>
      <c r="L3629" s="415">
        <v>750</v>
      </c>
      <c r="M3629" s="415">
        <v>0</v>
      </c>
      <c r="N3629" s="415">
        <v>0</v>
      </c>
      <c r="O3629" s="415">
        <v>825</v>
      </c>
      <c r="P3629" s="415">
        <v>825</v>
      </c>
      <c r="Q3629" s="481">
        <f t="shared" si="102"/>
        <v>0</v>
      </c>
    </row>
    <row r="3630" spans="1:17" x14ac:dyDescent="0.3">
      <c r="A3630" s="366" t="str">
        <f>IFERROR(VLOOKUP(RIGHT(E3630,3)+0,[1]SchLocTable!$A$2:$B$47,2,FALSE)," ")</f>
        <v>Barnum</v>
      </c>
      <c r="B3630" s="366" t="str">
        <f>VLOOKUP(VALUE(D3630),$D$3:F$106,3,FALSE)</f>
        <v>Security</v>
      </c>
      <c r="C3630" t="s">
        <v>314</v>
      </c>
      <c r="D3630">
        <v>883</v>
      </c>
      <c r="E3630" t="s">
        <v>1106</v>
      </c>
      <c r="F3630" t="s">
        <v>320</v>
      </c>
      <c r="G3630" t="s">
        <v>319</v>
      </c>
      <c r="H3630" s="502">
        <v>52360</v>
      </c>
      <c r="I3630" s="415">
        <v>692.98631999999998</v>
      </c>
      <c r="J3630" s="415">
        <v>522</v>
      </c>
      <c r="K3630" s="415">
        <v>529.6</v>
      </c>
      <c r="L3630" s="415">
        <v>528.91999999999996</v>
      </c>
      <c r="M3630" s="415">
        <v>484.93</v>
      </c>
      <c r="N3630" s="415">
        <v>455.63</v>
      </c>
      <c r="O3630" s="415">
        <v>772.19</v>
      </c>
      <c r="P3630" s="415">
        <v>1052.72</v>
      </c>
      <c r="Q3630" s="481">
        <f t="shared" si="102"/>
        <v>-170.98631999999998</v>
      </c>
    </row>
    <row r="3631" spans="1:17" x14ac:dyDescent="0.3">
      <c r="A3631" s="366" t="str">
        <f>IFERROR(VLOOKUP(RIGHT(E3631,3)+0,[1]SchLocTable!$A$2:$B$47,2,FALSE)," ")</f>
        <v>Barnum</v>
      </c>
      <c r="B3631" s="366" t="str">
        <f>VLOOKUP(VALUE(D3631),$D$3:F$106,3,FALSE)</f>
        <v>Security</v>
      </c>
      <c r="C3631" t="s">
        <v>314</v>
      </c>
      <c r="D3631">
        <v>883</v>
      </c>
      <c r="E3631" t="s">
        <v>1106</v>
      </c>
      <c r="F3631" t="s">
        <v>392</v>
      </c>
      <c r="G3631" t="s">
        <v>319</v>
      </c>
      <c r="H3631" s="502">
        <v>52504</v>
      </c>
      <c r="I3631" s="415">
        <v>9931.2108480000006</v>
      </c>
      <c r="J3631" s="415">
        <v>9782</v>
      </c>
      <c r="K3631" s="415">
        <v>9524.75</v>
      </c>
      <c r="L3631" s="415">
        <v>9293.56</v>
      </c>
      <c r="M3631" s="415">
        <v>9406.14</v>
      </c>
      <c r="N3631" s="415">
        <v>7965.5</v>
      </c>
      <c r="O3631" s="415">
        <v>9119.94</v>
      </c>
      <c r="P3631" s="415">
        <v>12184.49</v>
      </c>
      <c r="Q3631" s="481">
        <f t="shared" si="102"/>
        <v>-149.21084800000062</v>
      </c>
    </row>
    <row r="3632" spans="1:17" x14ac:dyDescent="0.3">
      <c r="A3632" s="366" t="str">
        <f>IFERROR(VLOOKUP(RIGHT(E3632,3)+0,[1]SchLocTable!$A$2:$B$47,2,FALSE)," ")</f>
        <v>Barnum</v>
      </c>
      <c r="B3632" s="366" t="str">
        <f>VLOOKUP(VALUE(D3632),$D$3:F$106,3,FALSE)</f>
        <v>Security</v>
      </c>
      <c r="C3632" t="s">
        <v>314</v>
      </c>
      <c r="D3632">
        <v>883</v>
      </c>
      <c r="E3632" t="s">
        <v>1106</v>
      </c>
      <c r="F3632" t="s">
        <v>452</v>
      </c>
      <c r="G3632" t="s">
        <v>319</v>
      </c>
      <c r="H3632" s="502">
        <v>51108</v>
      </c>
      <c r="I3632" s="415">
        <v>0</v>
      </c>
      <c r="J3632" s="415">
        <v>0</v>
      </c>
      <c r="K3632" s="415">
        <v>0</v>
      </c>
      <c r="L3632" s="415">
        <v>219.77</v>
      </c>
      <c r="M3632" s="415">
        <v>0</v>
      </c>
      <c r="N3632" s="415">
        <v>0</v>
      </c>
      <c r="O3632" s="415">
        <v>0</v>
      </c>
      <c r="P3632" s="415">
        <v>0</v>
      </c>
      <c r="Q3632" s="481">
        <f t="shared" si="102"/>
        <v>0</v>
      </c>
    </row>
    <row r="3633" spans="1:17" x14ac:dyDescent="0.3">
      <c r="A3633" s="366" t="str">
        <f>IFERROR(VLOOKUP(RIGHT(E3633,3)+0,[1]SchLocTable!$A$2:$B$47,2,FALSE)," ")</f>
        <v>Barnum</v>
      </c>
      <c r="B3633" s="366" t="str">
        <f>VLOOKUP(VALUE(D3633),$D$3:F$106,3,FALSE)</f>
        <v>Security</v>
      </c>
      <c r="C3633" t="s">
        <v>314</v>
      </c>
      <c r="D3633">
        <v>883</v>
      </c>
      <c r="E3633" t="s">
        <v>1106</v>
      </c>
      <c r="F3633" t="s">
        <v>483</v>
      </c>
      <c r="G3633" t="s">
        <v>319</v>
      </c>
      <c r="H3633" s="502">
        <v>51122</v>
      </c>
      <c r="I3633" s="415">
        <v>0</v>
      </c>
      <c r="J3633" s="415">
        <v>0</v>
      </c>
      <c r="K3633" s="415">
        <v>0</v>
      </c>
      <c r="L3633" s="415">
        <v>488.07</v>
      </c>
      <c r="M3633" s="415">
        <v>496.21</v>
      </c>
      <c r="N3633" s="415">
        <v>190.53</v>
      </c>
      <c r="O3633" s="415">
        <v>1839.03</v>
      </c>
      <c r="P3633" s="415">
        <v>0</v>
      </c>
      <c r="Q3633" s="481">
        <f t="shared" si="102"/>
        <v>0</v>
      </c>
    </row>
    <row r="3634" spans="1:17" x14ac:dyDescent="0.3">
      <c r="A3634" s="366" t="str">
        <f>IFERROR(VLOOKUP(RIGHT(E3634,3)+0,[1]SchLocTable!$A$2:$B$47,2,FALSE)," ")</f>
        <v>Beardsley</v>
      </c>
      <c r="B3634" s="366" t="str">
        <f>VLOOKUP(VALUE(D3634),$D$3:F$106,3,FALSE)</f>
        <v>Security</v>
      </c>
      <c r="C3634" t="s">
        <v>314</v>
      </c>
      <c r="D3634">
        <v>883</v>
      </c>
      <c r="E3634" t="s">
        <v>1107</v>
      </c>
      <c r="F3634" t="s">
        <v>316</v>
      </c>
      <c r="G3634" t="s">
        <v>319</v>
      </c>
      <c r="H3634" s="502">
        <v>51000</v>
      </c>
      <c r="I3634" s="415">
        <v>0</v>
      </c>
      <c r="J3634" s="415">
        <v>0</v>
      </c>
      <c r="K3634" s="415">
        <v>0</v>
      </c>
      <c r="L3634" s="415">
        <v>0</v>
      </c>
      <c r="M3634" s="415">
        <v>43600.35</v>
      </c>
      <c r="N3634" s="415">
        <v>37771.33</v>
      </c>
      <c r="O3634" s="415">
        <v>46875.23</v>
      </c>
      <c r="P3634" s="415">
        <v>41078.239999999998</v>
      </c>
      <c r="Q3634" s="481">
        <f t="shared" si="102"/>
        <v>0</v>
      </c>
    </row>
    <row r="3635" spans="1:17" x14ac:dyDescent="0.3">
      <c r="A3635" s="366" t="str">
        <f>IFERROR(VLOOKUP(RIGHT(E3635,3)+0,[1]SchLocTable!$A$2:$B$47,2,FALSE)," ")</f>
        <v>Beardsley</v>
      </c>
      <c r="B3635" s="366" t="str">
        <f>VLOOKUP(VALUE(D3635),$D$3:F$106,3,FALSE)</f>
        <v>Security</v>
      </c>
      <c r="C3635" t="s">
        <v>314</v>
      </c>
      <c r="D3635">
        <v>883</v>
      </c>
      <c r="E3635" t="s">
        <v>1107</v>
      </c>
      <c r="F3635" t="s">
        <v>321</v>
      </c>
      <c r="G3635" t="s">
        <v>319</v>
      </c>
      <c r="H3635" s="502">
        <v>52917</v>
      </c>
      <c r="I3635" s="415">
        <v>0</v>
      </c>
      <c r="J3635" s="415">
        <v>0</v>
      </c>
      <c r="K3635" s="415">
        <v>0</v>
      </c>
      <c r="L3635" s="415">
        <v>0</v>
      </c>
      <c r="M3635" s="415">
        <v>8461.69</v>
      </c>
      <c r="N3635" s="415">
        <v>7058.07</v>
      </c>
      <c r="O3635" s="415">
        <v>4802.93</v>
      </c>
      <c r="P3635" s="415">
        <v>1344.9</v>
      </c>
      <c r="Q3635" s="481">
        <f t="shared" si="102"/>
        <v>0</v>
      </c>
    </row>
    <row r="3636" spans="1:17" x14ac:dyDescent="0.3">
      <c r="A3636" s="366" t="str">
        <f>IFERROR(VLOOKUP(RIGHT(E3636,3)+0,[1]SchLocTable!$A$2:$B$47,2,FALSE)," ")</f>
        <v>Beardsley</v>
      </c>
      <c r="B3636" s="366" t="str">
        <f>VLOOKUP(VALUE(D3636),$D$3:F$106,3,FALSE)</f>
        <v>Security</v>
      </c>
      <c r="C3636" t="s">
        <v>314</v>
      </c>
      <c r="D3636">
        <v>883</v>
      </c>
      <c r="E3636" t="s">
        <v>1107</v>
      </c>
      <c r="F3636" t="s">
        <v>320</v>
      </c>
      <c r="G3636" t="s">
        <v>319</v>
      </c>
      <c r="H3636" s="502">
        <v>52360</v>
      </c>
      <c r="I3636" s="415">
        <v>0</v>
      </c>
      <c r="J3636" s="415">
        <v>0</v>
      </c>
      <c r="K3636" s="415">
        <v>0</v>
      </c>
      <c r="L3636" s="415">
        <v>4.0599999999999996</v>
      </c>
      <c r="M3636" s="415">
        <v>546.82000000000005</v>
      </c>
      <c r="N3636" s="415">
        <v>517.69000000000005</v>
      </c>
      <c r="O3636" s="415">
        <v>699.31</v>
      </c>
      <c r="P3636" s="415">
        <v>624.64</v>
      </c>
      <c r="Q3636" s="481">
        <f t="shared" si="102"/>
        <v>0</v>
      </c>
    </row>
    <row r="3637" spans="1:17" x14ac:dyDescent="0.3">
      <c r="A3637" s="366" t="str">
        <f>IFERROR(VLOOKUP(RIGHT(E3637,3)+0,[1]SchLocTable!$A$2:$B$47,2,FALSE)," ")</f>
        <v>Beardsley</v>
      </c>
      <c r="B3637" s="366" t="str">
        <f>VLOOKUP(VALUE(D3637),$D$3:F$106,3,FALSE)</f>
        <v>Security</v>
      </c>
      <c r="C3637" t="s">
        <v>314</v>
      </c>
      <c r="D3637">
        <v>883</v>
      </c>
      <c r="E3637" t="s">
        <v>1107</v>
      </c>
      <c r="F3637" t="s">
        <v>392</v>
      </c>
      <c r="G3637" t="s">
        <v>319</v>
      </c>
      <c r="H3637" s="502">
        <v>52504</v>
      </c>
      <c r="I3637" s="415">
        <v>0</v>
      </c>
      <c r="J3637" s="415">
        <v>0</v>
      </c>
      <c r="K3637" s="415">
        <v>0</v>
      </c>
      <c r="L3637" s="415">
        <v>0</v>
      </c>
      <c r="M3637" s="415">
        <v>9234.36</v>
      </c>
      <c r="N3637" s="415">
        <v>7275.8</v>
      </c>
      <c r="O3637" s="415">
        <v>7793.43</v>
      </c>
      <c r="P3637" s="415">
        <v>5868.37</v>
      </c>
      <c r="Q3637" s="481">
        <f t="shared" si="102"/>
        <v>0</v>
      </c>
    </row>
    <row r="3638" spans="1:17" x14ac:dyDescent="0.3">
      <c r="A3638" s="366" t="str">
        <f>IFERROR(VLOOKUP(RIGHT(E3638,3)+0,[1]SchLocTable!$A$2:$B$47,2,FALSE)," ")</f>
        <v>Beardsley</v>
      </c>
      <c r="B3638" s="366" t="str">
        <f>VLOOKUP(VALUE(D3638),$D$3:F$106,3,FALSE)</f>
        <v>Security</v>
      </c>
      <c r="C3638" t="s">
        <v>314</v>
      </c>
      <c r="D3638">
        <v>883</v>
      </c>
      <c r="E3638" t="s">
        <v>1107</v>
      </c>
      <c r="F3638" t="s">
        <v>317</v>
      </c>
      <c r="G3638" t="s">
        <v>319</v>
      </c>
      <c r="H3638" s="502">
        <v>51100</v>
      </c>
      <c r="I3638" s="415">
        <v>0</v>
      </c>
      <c r="J3638" s="415">
        <v>0</v>
      </c>
      <c r="K3638" s="415">
        <v>0</v>
      </c>
      <c r="L3638" s="415">
        <v>280</v>
      </c>
      <c r="M3638" s="415">
        <v>0</v>
      </c>
      <c r="N3638" s="415">
        <v>0</v>
      </c>
      <c r="O3638" s="415">
        <v>0</v>
      </c>
      <c r="P3638" s="415">
        <v>0</v>
      </c>
      <c r="Q3638" s="481">
        <f t="shared" si="102"/>
        <v>0</v>
      </c>
    </row>
    <row r="3639" spans="1:17" x14ac:dyDescent="0.3">
      <c r="A3639" s="366" t="str">
        <f>IFERROR(VLOOKUP(RIGHT(E3639,3)+0,[1]SchLocTable!$A$2:$B$47,2,FALSE)," ")</f>
        <v>Beardsley</v>
      </c>
      <c r="B3639" s="366" t="str">
        <f>VLOOKUP(VALUE(D3639),$D$3:F$106,3,FALSE)</f>
        <v>Security</v>
      </c>
      <c r="C3639" t="s">
        <v>314</v>
      </c>
      <c r="D3639">
        <v>883</v>
      </c>
      <c r="E3639" t="s">
        <v>1107</v>
      </c>
      <c r="F3639" t="s">
        <v>324</v>
      </c>
      <c r="G3639" t="s">
        <v>319</v>
      </c>
      <c r="H3639" s="502">
        <v>52385</v>
      </c>
      <c r="I3639" s="415">
        <v>0</v>
      </c>
      <c r="J3639" s="415">
        <v>0</v>
      </c>
      <c r="K3639" s="415">
        <v>0</v>
      </c>
      <c r="L3639" s="415">
        <v>17.36</v>
      </c>
      <c r="M3639" s="415">
        <v>0</v>
      </c>
      <c r="N3639" s="415">
        <v>0</v>
      </c>
      <c r="O3639" s="415">
        <v>0</v>
      </c>
      <c r="P3639" s="415">
        <v>0</v>
      </c>
      <c r="Q3639" s="481">
        <f t="shared" si="102"/>
        <v>0</v>
      </c>
    </row>
    <row r="3640" spans="1:17" x14ac:dyDescent="0.3">
      <c r="A3640" s="366" t="str">
        <f>IFERROR(VLOOKUP(RIGHT(E3640,3)+0,[1]SchLocTable!$A$2:$B$47,2,FALSE)," ")</f>
        <v>Black Rock</v>
      </c>
      <c r="B3640" s="366" t="str">
        <f>VLOOKUP(VALUE(D3640),$D$3:F$106,3,FALSE)</f>
        <v>Security</v>
      </c>
      <c r="C3640" t="s">
        <v>314</v>
      </c>
      <c r="D3640">
        <v>883</v>
      </c>
      <c r="E3640" t="s">
        <v>1108</v>
      </c>
      <c r="F3640" t="s">
        <v>316</v>
      </c>
      <c r="G3640">
        <v>1</v>
      </c>
      <c r="H3640" s="502">
        <v>51000</v>
      </c>
      <c r="I3640" s="415">
        <v>47792.159999999996</v>
      </c>
      <c r="J3640" s="415">
        <v>46176</v>
      </c>
      <c r="K3640" s="415">
        <v>33557.800000000003</v>
      </c>
      <c r="L3640" s="415">
        <v>43118.07</v>
      </c>
      <c r="M3640" s="415">
        <v>38434.81</v>
      </c>
      <c r="N3640" s="415">
        <v>31943.68</v>
      </c>
      <c r="O3640" s="415">
        <v>49436.639999999999</v>
      </c>
      <c r="P3640" s="415">
        <v>39400.26</v>
      </c>
      <c r="Q3640" s="481">
        <f t="shared" si="102"/>
        <v>-1616.1599999999962</v>
      </c>
    </row>
    <row r="3641" spans="1:17" x14ac:dyDescent="0.3">
      <c r="A3641" s="366" t="str">
        <f>IFERROR(VLOOKUP(RIGHT(E3641,3)+0,[1]SchLocTable!$A$2:$B$47,2,FALSE)," ")</f>
        <v>Black Rock</v>
      </c>
      <c r="B3641" s="366" t="str">
        <f>VLOOKUP(VALUE(D3641),$D$3:F$106,3,FALSE)</f>
        <v>Security</v>
      </c>
      <c r="C3641" t="s">
        <v>314</v>
      </c>
      <c r="D3641">
        <v>883</v>
      </c>
      <c r="E3641" t="s">
        <v>1108</v>
      </c>
      <c r="F3641" t="s">
        <v>321</v>
      </c>
      <c r="G3641" t="s">
        <v>319</v>
      </c>
      <c r="H3641" s="502">
        <v>52917</v>
      </c>
      <c r="I3641" s="415">
        <v>14767.583999999999</v>
      </c>
      <c r="J3641" s="415">
        <v>12245</v>
      </c>
      <c r="K3641" s="415">
        <v>8274.7099999999991</v>
      </c>
      <c r="L3641" s="415">
        <v>11183.38</v>
      </c>
      <c r="M3641" s="415">
        <v>7620.25</v>
      </c>
      <c r="N3641" s="415">
        <v>2442.41</v>
      </c>
      <c r="O3641" s="415">
        <v>7756.38</v>
      </c>
      <c r="P3641" s="415">
        <v>445.85</v>
      </c>
      <c r="Q3641" s="481">
        <f t="shared" si="102"/>
        <v>-2522.5839999999989</v>
      </c>
    </row>
    <row r="3642" spans="1:17" x14ac:dyDescent="0.3">
      <c r="A3642" s="366" t="str">
        <f>IFERROR(VLOOKUP(RIGHT(E3642,3)+0,[1]SchLocTable!$A$2:$B$47,2,FALSE)," ")</f>
        <v>Black Rock</v>
      </c>
      <c r="B3642" s="366" t="str">
        <f>VLOOKUP(VALUE(D3642),$D$3:F$106,3,FALSE)</f>
        <v>Security</v>
      </c>
      <c r="C3642" t="s">
        <v>314</v>
      </c>
      <c r="D3642">
        <v>883</v>
      </c>
      <c r="E3642" t="s">
        <v>1108</v>
      </c>
      <c r="F3642" t="s">
        <v>320</v>
      </c>
      <c r="G3642" t="s">
        <v>319</v>
      </c>
      <c r="H3642" s="502">
        <v>52360</v>
      </c>
      <c r="I3642" s="415">
        <v>692.98631999999998</v>
      </c>
      <c r="J3642" s="415">
        <v>603</v>
      </c>
      <c r="K3642" s="415">
        <v>443.95</v>
      </c>
      <c r="L3642" s="415">
        <v>570.71</v>
      </c>
      <c r="M3642" s="415">
        <v>515.73</v>
      </c>
      <c r="N3642" s="415">
        <v>478.59</v>
      </c>
      <c r="O3642" s="415">
        <v>705.56</v>
      </c>
      <c r="P3642" s="415">
        <v>600.32000000000005</v>
      </c>
      <c r="Q3642" s="481">
        <f t="shared" si="102"/>
        <v>-89.986319999999978</v>
      </c>
    </row>
    <row r="3643" spans="1:17" x14ac:dyDescent="0.3">
      <c r="A3643" s="366" t="str">
        <f>IFERROR(VLOOKUP(RIGHT(E3643,3)+0,[1]SchLocTable!$A$2:$B$47,2,FALSE)," ")</f>
        <v>Black Rock</v>
      </c>
      <c r="B3643" s="366" t="str">
        <f>VLOOKUP(VALUE(D3643),$D$3:F$106,3,FALSE)</f>
        <v>Security</v>
      </c>
      <c r="C3643" t="s">
        <v>314</v>
      </c>
      <c r="D3643">
        <v>883</v>
      </c>
      <c r="E3643" t="s">
        <v>1108</v>
      </c>
      <c r="F3643" t="s">
        <v>392</v>
      </c>
      <c r="G3643" t="s">
        <v>319</v>
      </c>
      <c r="H3643" s="502">
        <v>52504</v>
      </c>
      <c r="I3643" s="415">
        <v>9931.2108480000006</v>
      </c>
      <c r="J3643" s="415">
        <v>9596</v>
      </c>
      <c r="K3643" s="415">
        <v>6911.61</v>
      </c>
      <c r="L3643" s="415">
        <v>8793.51</v>
      </c>
      <c r="M3643" s="415">
        <v>8284.7000000000007</v>
      </c>
      <c r="N3643" s="415">
        <v>4244.16</v>
      </c>
      <c r="O3643" s="415">
        <v>8135.73</v>
      </c>
      <c r="P3643" s="415">
        <v>5629.57</v>
      </c>
      <c r="Q3643" s="481">
        <f t="shared" si="102"/>
        <v>-335.21084800000062</v>
      </c>
    </row>
    <row r="3644" spans="1:17" x14ac:dyDescent="0.3">
      <c r="A3644" s="366" t="str">
        <f>IFERROR(VLOOKUP(RIGHT(E3644,3)+0,[1]SchLocTable!$A$2:$B$47,2,FALSE)," ")</f>
        <v>Bryant</v>
      </c>
      <c r="B3644" s="366" t="str">
        <f>VLOOKUP(VALUE(D3644),$D$3:F$106,3,FALSE)</f>
        <v>Security</v>
      </c>
      <c r="C3644" t="s">
        <v>314</v>
      </c>
      <c r="D3644">
        <v>883</v>
      </c>
      <c r="E3644" t="s">
        <v>1109</v>
      </c>
      <c r="F3644" t="s">
        <v>316</v>
      </c>
      <c r="G3644">
        <v>1</v>
      </c>
      <c r="H3644" s="502">
        <v>51000</v>
      </c>
      <c r="I3644" s="415">
        <v>47792.159999999996</v>
      </c>
      <c r="J3644" s="415">
        <v>46353.599999999999</v>
      </c>
      <c r="K3644" s="415">
        <v>39298.559999999998</v>
      </c>
      <c r="L3644" s="415">
        <v>43494.18</v>
      </c>
      <c r="M3644" s="415">
        <v>43176.21</v>
      </c>
      <c r="N3644" s="415">
        <v>34261.919999999998</v>
      </c>
      <c r="O3644" s="415">
        <v>22038.240000000002</v>
      </c>
      <c r="P3644" s="415">
        <v>39428.5</v>
      </c>
      <c r="Q3644" s="481">
        <f t="shared" si="102"/>
        <v>-1438.5599999999977</v>
      </c>
    </row>
    <row r="3645" spans="1:17" x14ac:dyDescent="0.3">
      <c r="A3645" s="366" t="str">
        <f>IFERROR(VLOOKUP(RIGHT(E3645,3)+0,[1]SchLocTable!$A$2:$B$47,2,FALSE)," ")</f>
        <v>Bryant</v>
      </c>
      <c r="B3645" s="366" t="str">
        <f>VLOOKUP(VALUE(D3645),$D$3:F$106,3,FALSE)</f>
        <v>Security</v>
      </c>
      <c r="C3645" t="s">
        <v>314</v>
      </c>
      <c r="D3645">
        <v>883</v>
      </c>
      <c r="E3645" t="s">
        <v>1109</v>
      </c>
      <c r="F3645" t="s">
        <v>360</v>
      </c>
      <c r="G3645" t="s">
        <v>319</v>
      </c>
      <c r="H3645" s="502">
        <v>52920</v>
      </c>
      <c r="I3645" s="415">
        <v>0</v>
      </c>
      <c r="J3645" s="415">
        <v>0</v>
      </c>
      <c r="K3645" s="415">
        <v>0</v>
      </c>
      <c r="L3645" s="415">
        <v>1666.63</v>
      </c>
      <c r="M3645" s="415">
        <v>0</v>
      </c>
      <c r="N3645" s="415">
        <v>0</v>
      </c>
      <c r="O3645" s="415">
        <v>0</v>
      </c>
      <c r="P3645" s="415">
        <v>2500</v>
      </c>
      <c r="Q3645" s="481">
        <f t="shared" si="102"/>
        <v>0</v>
      </c>
    </row>
    <row r="3646" spans="1:17" x14ac:dyDescent="0.3">
      <c r="A3646" s="366" t="str">
        <f>IFERROR(VLOOKUP(RIGHT(E3646,3)+0,[1]SchLocTable!$A$2:$B$47,2,FALSE)," ")</f>
        <v>Bryant</v>
      </c>
      <c r="B3646" s="366" t="str">
        <f>VLOOKUP(VALUE(D3646),$D$3:F$106,3,FALSE)</f>
        <v>Security</v>
      </c>
      <c r="C3646" t="s">
        <v>314</v>
      </c>
      <c r="D3646">
        <v>883</v>
      </c>
      <c r="E3646" t="s">
        <v>1109</v>
      </c>
      <c r="F3646" t="s">
        <v>321</v>
      </c>
      <c r="G3646" t="s">
        <v>319</v>
      </c>
      <c r="H3646" s="502">
        <v>52917</v>
      </c>
      <c r="I3646" s="415">
        <v>15361.008</v>
      </c>
      <c r="J3646" s="415">
        <v>12850.07</v>
      </c>
      <c r="K3646" s="415">
        <v>9737.6</v>
      </c>
      <c r="L3646" s="415">
        <v>2303.4899999999998</v>
      </c>
      <c r="M3646" s="415">
        <v>26249.21</v>
      </c>
      <c r="N3646" s="415">
        <v>17586.53</v>
      </c>
      <c r="O3646" s="415">
        <v>8717.99</v>
      </c>
      <c r="P3646" s="415">
        <v>636.6</v>
      </c>
      <c r="Q3646" s="481">
        <f t="shared" si="102"/>
        <v>-2510.9380000000001</v>
      </c>
    </row>
    <row r="3647" spans="1:17" x14ac:dyDescent="0.3">
      <c r="A3647" s="366" t="str">
        <f>IFERROR(VLOOKUP(RIGHT(E3647,3)+0,[1]SchLocTable!$A$2:$B$47,2,FALSE)," ")</f>
        <v>Bryant</v>
      </c>
      <c r="B3647" s="366" t="str">
        <f>VLOOKUP(VALUE(D3647),$D$3:F$106,3,FALSE)</f>
        <v>Security</v>
      </c>
      <c r="C3647" t="s">
        <v>314</v>
      </c>
      <c r="D3647">
        <v>883</v>
      </c>
      <c r="E3647" t="s">
        <v>1109</v>
      </c>
      <c r="F3647" t="s">
        <v>318</v>
      </c>
      <c r="G3647" t="s">
        <v>319</v>
      </c>
      <c r="H3647" s="502">
        <v>51140</v>
      </c>
      <c r="I3647" s="415">
        <v>1500</v>
      </c>
      <c r="J3647" s="415">
        <v>1500</v>
      </c>
      <c r="K3647" s="415">
        <v>1425</v>
      </c>
      <c r="L3647" s="415">
        <v>0</v>
      </c>
      <c r="M3647" s="415">
        <v>0</v>
      </c>
      <c r="N3647" s="415">
        <v>0</v>
      </c>
      <c r="O3647" s="415">
        <v>0</v>
      </c>
      <c r="P3647" s="415">
        <v>0</v>
      </c>
      <c r="Q3647" s="481">
        <f t="shared" ref="Q3647:Q3710" si="103">J3647-I3647</f>
        <v>0</v>
      </c>
    </row>
    <row r="3648" spans="1:17" x14ac:dyDescent="0.3">
      <c r="A3648" s="366" t="str">
        <f>IFERROR(VLOOKUP(RIGHT(E3648,3)+0,[1]SchLocTable!$A$2:$B$47,2,FALSE)," ")</f>
        <v>Bryant</v>
      </c>
      <c r="B3648" s="366" t="str">
        <f>VLOOKUP(VALUE(D3648),$D$3:F$106,3,FALSE)</f>
        <v>Security</v>
      </c>
      <c r="C3648" t="s">
        <v>314</v>
      </c>
      <c r="D3648">
        <v>883</v>
      </c>
      <c r="E3648" t="s">
        <v>1109</v>
      </c>
      <c r="F3648" t="s">
        <v>320</v>
      </c>
      <c r="G3648" t="s">
        <v>319</v>
      </c>
      <c r="H3648" s="502">
        <v>52360</v>
      </c>
      <c r="I3648" s="415">
        <v>989.53451999999993</v>
      </c>
      <c r="J3648" s="415">
        <v>922.38</v>
      </c>
      <c r="K3648" s="415">
        <v>732.1</v>
      </c>
      <c r="L3648" s="415">
        <v>645.41999999999996</v>
      </c>
      <c r="M3648" s="415">
        <v>504.67</v>
      </c>
      <c r="N3648" s="415">
        <v>408.26</v>
      </c>
      <c r="O3648" s="415">
        <v>273.27999999999997</v>
      </c>
      <c r="P3648" s="415">
        <v>607.97</v>
      </c>
      <c r="Q3648" s="481">
        <f t="shared" si="103"/>
        <v>-67.154519999999934</v>
      </c>
    </row>
    <row r="3649" spans="1:17" x14ac:dyDescent="0.3">
      <c r="A3649" s="366" t="str">
        <f>IFERROR(VLOOKUP(RIGHT(E3649,3)+0,[1]SchLocTable!$A$2:$B$47,2,FALSE)," ")</f>
        <v>Bryant</v>
      </c>
      <c r="B3649" s="366" t="str">
        <f>VLOOKUP(VALUE(D3649),$D$3:F$106,3,FALSE)</f>
        <v>Security</v>
      </c>
      <c r="C3649" t="s">
        <v>314</v>
      </c>
      <c r="D3649">
        <v>883</v>
      </c>
      <c r="E3649" t="s">
        <v>1109</v>
      </c>
      <c r="F3649" t="s">
        <v>392</v>
      </c>
      <c r="G3649" t="s">
        <v>319</v>
      </c>
      <c r="H3649" s="502">
        <v>52504</v>
      </c>
      <c r="I3649" s="415">
        <v>9931.2108480000006</v>
      </c>
      <c r="J3649" s="415">
        <v>9943.98</v>
      </c>
      <c r="K3649" s="415">
        <v>8206.51</v>
      </c>
      <c r="L3649" s="415">
        <v>3075.06</v>
      </c>
      <c r="M3649" s="415">
        <v>9307.39</v>
      </c>
      <c r="N3649" s="415">
        <v>6553.6</v>
      </c>
      <c r="O3649" s="415">
        <v>3612.14</v>
      </c>
      <c r="P3649" s="415">
        <v>5634.07</v>
      </c>
      <c r="Q3649" s="481">
        <f t="shared" si="103"/>
        <v>12.76915199999894</v>
      </c>
    </row>
    <row r="3650" spans="1:17" x14ac:dyDescent="0.3">
      <c r="A3650" s="366" t="str">
        <f>IFERROR(VLOOKUP(RIGHT(E3650,3)+0,[1]SchLocTable!$A$2:$B$47,2,FALSE)," ")</f>
        <v>Bryant</v>
      </c>
      <c r="B3650" s="366" t="str">
        <f>VLOOKUP(VALUE(D3650),$D$3:F$106,3,FALSE)</f>
        <v>Security</v>
      </c>
      <c r="C3650" t="s">
        <v>314</v>
      </c>
      <c r="D3650">
        <v>883</v>
      </c>
      <c r="E3650" t="s">
        <v>1109</v>
      </c>
      <c r="F3650" t="s">
        <v>317</v>
      </c>
      <c r="G3650">
        <v>1</v>
      </c>
      <c r="H3650" s="502">
        <v>51100</v>
      </c>
      <c r="I3650" s="415">
        <v>20451.599999999999</v>
      </c>
      <c r="J3650" s="415">
        <v>0</v>
      </c>
      <c r="K3650" s="415">
        <v>11890</v>
      </c>
      <c r="L3650" s="415">
        <v>0</v>
      </c>
      <c r="M3650" s="415">
        <v>0</v>
      </c>
      <c r="N3650" s="415">
        <v>0</v>
      </c>
      <c r="O3650" s="415">
        <v>0</v>
      </c>
      <c r="P3650" s="415">
        <v>0</v>
      </c>
      <c r="Q3650" s="481">
        <f t="shared" si="103"/>
        <v>-20451.599999999999</v>
      </c>
    </row>
    <row r="3651" spans="1:17" x14ac:dyDescent="0.3">
      <c r="A3651" s="366" t="str">
        <f>IFERROR(VLOOKUP(RIGHT(E3651,3)+0,[1]SchLocTable!$A$2:$B$47,2,FALSE)," ")</f>
        <v>Bryant</v>
      </c>
      <c r="B3651" s="366" t="str">
        <f>VLOOKUP(VALUE(D3651),$D$3:F$106,3,FALSE)</f>
        <v>Security</v>
      </c>
      <c r="C3651" t="s">
        <v>314</v>
      </c>
      <c r="D3651">
        <v>883</v>
      </c>
      <c r="E3651" t="s">
        <v>1109</v>
      </c>
      <c r="F3651" t="s">
        <v>324</v>
      </c>
      <c r="G3651" t="s">
        <v>319</v>
      </c>
      <c r="H3651" s="502">
        <v>52385</v>
      </c>
      <c r="I3651" s="415">
        <v>1225.1199999999999</v>
      </c>
      <c r="J3651" s="415">
        <v>0</v>
      </c>
      <c r="K3651" s="415">
        <v>737.18</v>
      </c>
      <c r="L3651" s="415">
        <v>1803.43</v>
      </c>
      <c r="M3651" s="415">
        <v>0</v>
      </c>
      <c r="N3651" s="415">
        <v>0</v>
      </c>
      <c r="O3651" s="415">
        <v>0</v>
      </c>
      <c r="P3651" s="415">
        <v>0</v>
      </c>
      <c r="Q3651" s="481">
        <f t="shared" si="103"/>
        <v>-1225.1199999999999</v>
      </c>
    </row>
    <row r="3652" spans="1:17" x14ac:dyDescent="0.3">
      <c r="A3652" s="366" t="str">
        <f>IFERROR(VLOOKUP(RIGHT(E3652,3)+0,[1]SchLocTable!$A$2:$B$47,2,FALSE)," ")</f>
        <v>Bryant</v>
      </c>
      <c r="B3652" s="366" t="str">
        <f>VLOOKUP(VALUE(D3652),$D$3:F$106,3,FALSE)</f>
        <v>Security</v>
      </c>
      <c r="C3652" t="s">
        <v>314</v>
      </c>
      <c r="D3652">
        <v>883</v>
      </c>
      <c r="E3652" t="s">
        <v>1109</v>
      </c>
      <c r="F3652" t="s">
        <v>533</v>
      </c>
      <c r="G3652" t="s">
        <v>319</v>
      </c>
      <c r="H3652" s="502">
        <v>52397</v>
      </c>
      <c r="I3652" s="415">
        <v>0</v>
      </c>
      <c r="J3652" s="415">
        <v>0</v>
      </c>
      <c r="K3652" s="415">
        <v>0</v>
      </c>
      <c r="L3652" s="415">
        <v>648</v>
      </c>
      <c r="M3652" s="415">
        <v>0</v>
      </c>
      <c r="N3652" s="415">
        <v>0</v>
      </c>
      <c r="O3652" s="415">
        <v>0</v>
      </c>
      <c r="P3652" s="415">
        <v>0</v>
      </c>
      <c r="Q3652" s="481">
        <f t="shared" si="103"/>
        <v>0</v>
      </c>
    </row>
    <row r="3653" spans="1:17" x14ac:dyDescent="0.3">
      <c r="A3653" s="366" t="str">
        <f>IFERROR(VLOOKUP(RIGHT(E3653,3)+0,[1]SchLocTable!$A$2:$B$47,2,FALSE)," ")</f>
        <v>Columbus</v>
      </c>
      <c r="B3653" s="366" t="str">
        <f>VLOOKUP(VALUE(D3653),$D$3:F$106,3,FALSE)</f>
        <v>Security</v>
      </c>
      <c r="C3653" t="s">
        <v>314</v>
      </c>
      <c r="D3653">
        <v>883</v>
      </c>
      <c r="E3653" t="s">
        <v>1110</v>
      </c>
      <c r="F3653" t="s">
        <v>316</v>
      </c>
      <c r="G3653">
        <v>2</v>
      </c>
      <c r="H3653" s="502">
        <v>51000</v>
      </c>
      <c r="I3653" s="415">
        <v>95584.319999999992</v>
      </c>
      <c r="J3653" s="415">
        <v>92352</v>
      </c>
      <c r="K3653" s="415">
        <v>91481.72</v>
      </c>
      <c r="L3653" s="415">
        <v>88566.399999999994</v>
      </c>
      <c r="M3653" s="415">
        <v>90802.93</v>
      </c>
      <c r="N3653" s="415">
        <v>71366.759999999995</v>
      </c>
      <c r="O3653" s="415">
        <v>85339.15</v>
      </c>
      <c r="P3653" s="415">
        <v>85076.51</v>
      </c>
      <c r="Q3653" s="481">
        <f t="shared" si="103"/>
        <v>-3232.3199999999924</v>
      </c>
    </row>
    <row r="3654" spans="1:17" x14ac:dyDescent="0.3">
      <c r="A3654" s="366" t="str">
        <f>IFERROR(VLOOKUP(RIGHT(E3654,3)+0,[1]SchLocTable!$A$2:$B$47,2,FALSE)," ")</f>
        <v>Columbus</v>
      </c>
      <c r="B3654" s="366" t="str">
        <f>VLOOKUP(VALUE(D3654),$D$3:F$106,3,FALSE)</f>
        <v>Security</v>
      </c>
      <c r="C3654" t="s">
        <v>314</v>
      </c>
      <c r="D3654">
        <v>883</v>
      </c>
      <c r="E3654" t="s">
        <v>1110</v>
      </c>
      <c r="F3654" t="s">
        <v>360</v>
      </c>
      <c r="G3654" t="s">
        <v>319</v>
      </c>
      <c r="H3654" s="502">
        <v>52920</v>
      </c>
      <c r="I3654" s="415">
        <v>2000</v>
      </c>
      <c r="J3654" s="415">
        <v>2000</v>
      </c>
      <c r="K3654" s="415">
        <v>2000</v>
      </c>
      <c r="L3654" s="415">
        <v>2000</v>
      </c>
      <c r="M3654" s="415">
        <v>2000</v>
      </c>
      <c r="N3654" s="415">
        <v>2000</v>
      </c>
      <c r="O3654" s="415">
        <v>1000</v>
      </c>
      <c r="P3654" s="415">
        <v>2000</v>
      </c>
      <c r="Q3654" s="481">
        <f t="shared" si="103"/>
        <v>0</v>
      </c>
    </row>
    <row r="3655" spans="1:17" x14ac:dyDescent="0.3">
      <c r="A3655" s="366" t="str">
        <f>IFERROR(VLOOKUP(RIGHT(E3655,3)+0,[1]SchLocTable!$A$2:$B$47,2,FALSE)," ")</f>
        <v>Columbus</v>
      </c>
      <c r="B3655" s="366" t="str">
        <f>VLOOKUP(VALUE(D3655),$D$3:F$106,3,FALSE)</f>
        <v>Security</v>
      </c>
      <c r="C3655" t="s">
        <v>314</v>
      </c>
      <c r="D3655">
        <v>883</v>
      </c>
      <c r="E3655" t="s">
        <v>1110</v>
      </c>
      <c r="F3655" t="s">
        <v>321</v>
      </c>
      <c r="G3655" t="s">
        <v>319</v>
      </c>
      <c r="H3655" s="502">
        <v>52917</v>
      </c>
      <c r="I3655" s="415">
        <v>16353.791999999999</v>
      </c>
      <c r="J3655" s="415">
        <v>13578</v>
      </c>
      <c r="K3655" s="415">
        <v>12655.13</v>
      </c>
      <c r="L3655" s="415">
        <v>12641.98</v>
      </c>
      <c r="M3655" s="415">
        <v>12148.91</v>
      </c>
      <c r="N3655" s="415">
        <v>21143.56</v>
      </c>
      <c r="O3655" s="415">
        <v>19291.63</v>
      </c>
      <c r="P3655" s="415">
        <v>11737.54</v>
      </c>
      <c r="Q3655" s="481">
        <f t="shared" si="103"/>
        <v>-2775.7919999999995</v>
      </c>
    </row>
    <row r="3656" spans="1:17" x14ac:dyDescent="0.3">
      <c r="A3656" s="366" t="str">
        <f>IFERROR(VLOOKUP(RIGHT(E3656,3)+0,[1]SchLocTable!$A$2:$B$47,2,FALSE)," ")</f>
        <v>Columbus</v>
      </c>
      <c r="B3656" s="366" t="str">
        <f>VLOOKUP(VALUE(D3656),$D$3:F$106,3,FALSE)</f>
        <v>Security</v>
      </c>
      <c r="C3656" t="s">
        <v>314</v>
      </c>
      <c r="D3656">
        <v>883</v>
      </c>
      <c r="E3656" t="s">
        <v>1110</v>
      </c>
      <c r="F3656" t="s">
        <v>320</v>
      </c>
      <c r="G3656" t="s">
        <v>319</v>
      </c>
      <c r="H3656" s="502">
        <v>52360</v>
      </c>
      <c r="I3656" s="415">
        <v>1414.97264</v>
      </c>
      <c r="J3656" s="415">
        <v>1273</v>
      </c>
      <c r="K3656" s="415">
        <v>1297.17</v>
      </c>
      <c r="L3656" s="415">
        <v>1262.1400000000001</v>
      </c>
      <c r="M3656" s="415">
        <v>1288.6099999999999</v>
      </c>
      <c r="N3656" s="415">
        <v>921.41</v>
      </c>
      <c r="O3656" s="415">
        <v>1173.97</v>
      </c>
      <c r="P3656" s="415">
        <v>1057.29</v>
      </c>
      <c r="Q3656" s="481">
        <f t="shared" si="103"/>
        <v>-141.97263999999996</v>
      </c>
    </row>
    <row r="3657" spans="1:17" x14ac:dyDescent="0.3">
      <c r="A3657" s="366" t="str">
        <f>IFERROR(VLOOKUP(RIGHT(E3657,3)+0,[1]SchLocTable!$A$2:$B$47,2,FALSE)," ")</f>
        <v>Columbus</v>
      </c>
      <c r="B3657" s="366" t="str">
        <f>VLOOKUP(VALUE(D3657),$D$3:F$106,3,FALSE)</f>
        <v>Security</v>
      </c>
      <c r="C3657" t="s">
        <v>314</v>
      </c>
      <c r="D3657">
        <v>883</v>
      </c>
      <c r="E3657" t="s">
        <v>1110</v>
      </c>
      <c r="F3657" t="s">
        <v>392</v>
      </c>
      <c r="G3657" t="s">
        <v>319</v>
      </c>
      <c r="H3657" s="502">
        <v>52504</v>
      </c>
      <c r="I3657" s="415">
        <v>20278.021696</v>
      </c>
      <c r="J3657" s="415">
        <v>19192</v>
      </c>
      <c r="K3657" s="415">
        <v>18840.3</v>
      </c>
      <c r="L3657" s="415">
        <v>18109.990000000002</v>
      </c>
      <c r="M3657" s="415">
        <v>19681.689999999999</v>
      </c>
      <c r="N3657" s="415">
        <v>13648.03</v>
      </c>
      <c r="O3657" s="415">
        <v>14301.69</v>
      </c>
      <c r="P3657" s="415">
        <v>12512.14</v>
      </c>
      <c r="Q3657" s="481">
        <f t="shared" si="103"/>
        <v>-1086.0216959999998</v>
      </c>
    </row>
    <row r="3658" spans="1:17" x14ac:dyDescent="0.3">
      <c r="A3658" s="366" t="str">
        <f>IFERROR(VLOOKUP(RIGHT(E3658,3)+0,[1]SchLocTable!$A$2:$B$47,2,FALSE)," ")</f>
        <v>Columbus</v>
      </c>
      <c r="B3658" s="366" t="str">
        <f>VLOOKUP(VALUE(D3658),$D$3:F$106,3,FALSE)</f>
        <v>Security</v>
      </c>
      <c r="C3658" t="s">
        <v>314</v>
      </c>
      <c r="D3658">
        <v>883</v>
      </c>
      <c r="E3658" t="s">
        <v>1110</v>
      </c>
      <c r="F3658" t="s">
        <v>483</v>
      </c>
      <c r="G3658" t="s">
        <v>319</v>
      </c>
      <c r="H3658" s="502">
        <v>51122</v>
      </c>
      <c r="I3658" s="415">
        <v>0</v>
      </c>
      <c r="J3658" s="415">
        <v>0</v>
      </c>
      <c r="K3658" s="415">
        <v>0</v>
      </c>
      <c r="L3658" s="415">
        <v>235.62</v>
      </c>
      <c r="M3658" s="415">
        <v>333.66</v>
      </c>
      <c r="N3658" s="415">
        <v>0</v>
      </c>
      <c r="O3658" s="415">
        <v>1514.1</v>
      </c>
      <c r="P3658" s="415">
        <v>275.27</v>
      </c>
      <c r="Q3658" s="481">
        <f t="shared" si="103"/>
        <v>0</v>
      </c>
    </row>
    <row r="3659" spans="1:17" x14ac:dyDescent="0.3">
      <c r="A3659" s="366" t="str">
        <f>IFERROR(VLOOKUP(RIGHT(E3659,3)+0,[1]SchLocTable!$A$2:$B$47,2,FALSE)," ")</f>
        <v>Edison</v>
      </c>
      <c r="B3659" s="366" t="str">
        <f>VLOOKUP(VALUE(D3659),$D$3:F$106,3,FALSE)</f>
        <v>Security</v>
      </c>
      <c r="C3659" t="s">
        <v>314</v>
      </c>
      <c r="D3659">
        <v>883</v>
      </c>
      <c r="E3659" t="s">
        <v>1111</v>
      </c>
      <c r="F3659" t="s">
        <v>316</v>
      </c>
      <c r="G3659">
        <v>1</v>
      </c>
      <c r="H3659" s="502">
        <v>51000</v>
      </c>
      <c r="I3659" s="415">
        <v>47792.159999999996</v>
      </c>
      <c r="J3659" s="415">
        <v>46176</v>
      </c>
      <c r="K3659" s="415">
        <v>45012.24</v>
      </c>
      <c r="L3659" s="415">
        <v>49903.56</v>
      </c>
      <c r="M3659" s="415">
        <v>41466.6</v>
      </c>
      <c r="N3659" s="415">
        <v>39146.720000000001</v>
      </c>
      <c r="O3659" s="415">
        <v>40676.879999999997</v>
      </c>
      <c r="P3659" s="415">
        <v>41166.910000000003</v>
      </c>
      <c r="Q3659" s="481">
        <f t="shared" si="103"/>
        <v>-1616.1599999999962</v>
      </c>
    </row>
    <row r="3660" spans="1:17" x14ac:dyDescent="0.3">
      <c r="A3660" s="366" t="str">
        <f>IFERROR(VLOOKUP(RIGHT(E3660,3)+0,[1]SchLocTable!$A$2:$B$47,2,FALSE)," ")</f>
        <v>Edison</v>
      </c>
      <c r="B3660" s="366" t="str">
        <f>VLOOKUP(VALUE(D3660),$D$3:F$106,3,FALSE)</f>
        <v>Security</v>
      </c>
      <c r="C3660" t="s">
        <v>314</v>
      </c>
      <c r="D3660">
        <v>883</v>
      </c>
      <c r="E3660" t="s">
        <v>1111</v>
      </c>
      <c r="F3660" t="s">
        <v>321</v>
      </c>
      <c r="G3660" t="s">
        <v>319</v>
      </c>
      <c r="H3660" s="502">
        <v>52917</v>
      </c>
      <c r="I3660" s="415">
        <v>14767.583999999999</v>
      </c>
      <c r="J3660" s="415">
        <v>12245</v>
      </c>
      <c r="K3660" s="415">
        <v>11305.85</v>
      </c>
      <c r="L3660" s="415">
        <v>11183.38</v>
      </c>
      <c r="M3660" s="415">
        <v>9968.83</v>
      </c>
      <c r="N3660" s="415">
        <v>7839.98</v>
      </c>
      <c r="O3660" s="415">
        <v>840.08</v>
      </c>
      <c r="P3660" s="415">
        <v>1858.7</v>
      </c>
      <c r="Q3660" s="481">
        <f t="shared" si="103"/>
        <v>-2522.5839999999989</v>
      </c>
    </row>
    <row r="3661" spans="1:17" x14ac:dyDescent="0.3">
      <c r="A3661" s="366" t="str">
        <f>IFERROR(VLOOKUP(RIGHT(E3661,3)+0,[1]SchLocTable!$A$2:$B$47,2,FALSE)," ")</f>
        <v>Edison</v>
      </c>
      <c r="B3661" s="366" t="str">
        <f>VLOOKUP(VALUE(D3661),$D$3:F$106,3,FALSE)</f>
        <v>Security</v>
      </c>
      <c r="C3661" t="s">
        <v>314</v>
      </c>
      <c r="D3661">
        <v>883</v>
      </c>
      <c r="E3661" t="s">
        <v>1111</v>
      </c>
      <c r="F3661" t="s">
        <v>318</v>
      </c>
      <c r="G3661" t="s">
        <v>319</v>
      </c>
      <c r="H3661" s="502">
        <v>51140</v>
      </c>
      <c r="I3661" s="415">
        <v>0</v>
      </c>
      <c r="J3661" s="415">
        <v>0</v>
      </c>
      <c r="K3661" s="415">
        <v>0</v>
      </c>
      <c r="L3661" s="415">
        <v>0</v>
      </c>
      <c r="M3661" s="415">
        <v>2250</v>
      </c>
      <c r="N3661" s="415">
        <v>2250</v>
      </c>
      <c r="O3661" s="415">
        <v>0</v>
      </c>
      <c r="P3661" s="415">
        <v>0</v>
      </c>
      <c r="Q3661" s="481">
        <f t="shared" si="103"/>
        <v>0</v>
      </c>
    </row>
    <row r="3662" spans="1:17" x14ac:dyDescent="0.3">
      <c r="A3662" s="366" t="str">
        <f>IFERROR(VLOOKUP(RIGHT(E3662,3)+0,[1]SchLocTable!$A$2:$B$47,2,FALSE)," ")</f>
        <v>Edison</v>
      </c>
      <c r="B3662" s="366" t="str">
        <f>VLOOKUP(VALUE(D3662),$D$3:F$106,3,FALSE)</f>
        <v>Security</v>
      </c>
      <c r="C3662" t="s">
        <v>314</v>
      </c>
      <c r="D3662">
        <v>883</v>
      </c>
      <c r="E3662" t="s">
        <v>1111</v>
      </c>
      <c r="F3662" t="s">
        <v>320</v>
      </c>
      <c r="G3662" t="s">
        <v>319</v>
      </c>
      <c r="H3662" s="502">
        <v>52360</v>
      </c>
      <c r="I3662" s="415">
        <v>692.98631999999998</v>
      </c>
      <c r="J3662" s="415">
        <v>603</v>
      </c>
      <c r="K3662" s="415">
        <v>594.41999999999996</v>
      </c>
      <c r="L3662" s="415">
        <v>669.33</v>
      </c>
      <c r="M3662" s="415">
        <v>526.6</v>
      </c>
      <c r="N3662" s="415">
        <v>331.1</v>
      </c>
      <c r="O3662" s="415">
        <v>618.82000000000005</v>
      </c>
      <c r="P3662" s="415">
        <v>627.9</v>
      </c>
      <c r="Q3662" s="481">
        <f t="shared" si="103"/>
        <v>-89.986319999999978</v>
      </c>
    </row>
    <row r="3663" spans="1:17" x14ac:dyDescent="0.3">
      <c r="A3663" s="366" t="str">
        <f>IFERROR(VLOOKUP(RIGHT(E3663,3)+0,[1]SchLocTable!$A$2:$B$47,2,FALSE)," ")</f>
        <v>Edison</v>
      </c>
      <c r="B3663" s="366" t="str">
        <f>VLOOKUP(VALUE(D3663),$D$3:F$106,3,FALSE)</f>
        <v>Security</v>
      </c>
      <c r="C3663" t="s">
        <v>314</v>
      </c>
      <c r="D3663">
        <v>883</v>
      </c>
      <c r="E3663" t="s">
        <v>1111</v>
      </c>
      <c r="F3663" t="s">
        <v>392</v>
      </c>
      <c r="G3663" t="s">
        <v>319</v>
      </c>
      <c r="H3663" s="502">
        <v>52504</v>
      </c>
      <c r="I3663" s="415">
        <v>9931.2108480000006</v>
      </c>
      <c r="J3663" s="415">
        <v>9596</v>
      </c>
      <c r="K3663" s="415">
        <v>9270.08</v>
      </c>
      <c r="L3663" s="415">
        <v>8878.16</v>
      </c>
      <c r="M3663" s="415">
        <v>8906.7199999999993</v>
      </c>
      <c r="N3663" s="415">
        <v>7910.66</v>
      </c>
      <c r="O3663" s="415">
        <v>6700.15</v>
      </c>
      <c r="P3663" s="415">
        <v>5900.65</v>
      </c>
      <c r="Q3663" s="481">
        <f t="shared" si="103"/>
        <v>-335.21084800000062</v>
      </c>
    </row>
    <row r="3664" spans="1:17" x14ac:dyDescent="0.3">
      <c r="A3664" s="366" t="str">
        <f>IFERROR(VLOOKUP(RIGHT(E3664,3)+0,[1]SchLocTable!$A$2:$B$47,2,FALSE)," ")</f>
        <v>Edison</v>
      </c>
      <c r="B3664" s="366" t="str">
        <f>VLOOKUP(VALUE(D3664),$D$3:F$106,3,FALSE)</f>
        <v>Security</v>
      </c>
      <c r="C3664" t="s">
        <v>314</v>
      </c>
      <c r="D3664">
        <v>883</v>
      </c>
      <c r="E3664" t="s">
        <v>1111</v>
      </c>
      <c r="F3664" t="s">
        <v>483</v>
      </c>
      <c r="G3664" t="s">
        <v>319</v>
      </c>
      <c r="H3664" s="502">
        <v>51122</v>
      </c>
      <c r="I3664" s="415">
        <v>0</v>
      </c>
      <c r="J3664" s="415">
        <v>0</v>
      </c>
      <c r="K3664" s="415">
        <v>0</v>
      </c>
      <c r="L3664" s="415">
        <v>215.28</v>
      </c>
      <c r="M3664" s="415">
        <v>0</v>
      </c>
      <c r="N3664" s="415">
        <v>0</v>
      </c>
      <c r="O3664" s="415">
        <v>0</v>
      </c>
      <c r="P3664" s="415">
        <v>135.07</v>
      </c>
      <c r="Q3664" s="481">
        <f t="shared" si="103"/>
        <v>0</v>
      </c>
    </row>
    <row r="3665" spans="1:17" x14ac:dyDescent="0.3">
      <c r="A3665" s="366" t="str">
        <f>IFERROR(VLOOKUP(RIGHT(E3665,3)+0,[1]SchLocTable!$A$2:$B$47,2,FALSE)," ")</f>
        <v>Edison</v>
      </c>
      <c r="B3665" s="366" t="str">
        <f>VLOOKUP(VALUE(D3665),$D$3:F$106,3,FALSE)</f>
        <v>Security</v>
      </c>
      <c r="C3665" t="s">
        <v>314</v>
      </c>
      <c r="D3665">
        <v>883</v>
      </c>
      <c r="E3665" t="s">
        <v>1111</v>
      </c>
      <c r="F3665" t="s">
        <v>324</v>
      </c>
      <c r="G3665" t="s">
        <v>319</v>
      </c>
      <c r="H3665" s="502">
        <v>52385</v>
      </c>
      <c r="I3665" s="415">
        <v>0</v>
      </c>
      <c r="J3665" s="415">
        <v>0</v>
      </c>
      <c r="K3665" s="415">
        <v>0</v>
      </c>
      <c r="L3665" s="415">
        <v>408.31</v>
      </c>
      <c r="M3665" s="415">
        <v>148.65</v>
      </c>
      <c r="N3665" s="415">
        <v>0</v>
      </c>
      <c r="O3665" s="415">
        <v>0</v>
      </c>
      <c r="P3665" s="415">
        <v>0</v>
      </c>
      <c r="Q3665" s="481">
        <f t="shared" si="103"/>
        <v>0</v>
      </c>
    </row>
    <row r="3666" spans="1:17" x14ac:dyDescent="0.3">
      <c r="A3666" s="366" t="str">
        <f>IFERROR(VLOOKUP(RIGHT(E3666,3)+0,[1]SchLocTable!$A$2:$B$47,2,FALSE)," ")</f>
        <v>Marin</v>
      </c>
      <c r="B3666" s="366" t="str">
        <f>VLOOKUP(VALUE(D3666),$D$3:F$106,3,FALSE)</f>
        <v>Security</v>
      </c>
      <c r="C3666" t="s">
        <v>314</v>
      </c>
      <c r="D3666">
        <v>883</v>
      </c>
      <c r="E3666" t="s">
        <v>1112</v>
      </c>
      <c r="F3666" t="s">
        <v>316</v>
      </c>
      <c r="G3666">
        <v>3</v>
      </c>
      <c r="H3666" s="502">
        <v>51000</v>
      </c>
      <c r="I3666" s="415">
        <v>140233.39199999999</v>
      </c>
      <c r="J3666" s="415">
        <v>46176</v>
      </c>
      <c r="K3666" s="415">
        <v>45789.84</v>
      </c>
      <c r="L3666" s="415">
        <v>59612</v>
      </c>
      <c r="M3666" s="415">
        <v>85037.49</v>
      </c>
      <c r="N3666" s="415">
        <v>82733.62</v>
      </c>
      <c r="O3666" s="415">
        <v>87077.8</v>
      </c>
      <c r="P3666" s="415">
        <v>65266.54</v>
      </c>
      <c r="Q3666" s="481">
        <f t="shared" si="103"/>
        <v>-94057.391999999993</v>
      </c>
    </row>
    <row r="3667" spans="1:17" x14ac:dyDescent="0.3">
      <c r="A3667" s="366" t="str">
        <f>IFERROR(VLOOKUP(RIGHT(E3667,3)+0,[1]SchLocTable!$A$2:$B$47,2,FALSE)," ")</f>
        <v>Marin</v>
      </c>
      <c r="B3667" s="366" t="str">
        <f>VLOOKUP(VALUE(D3667),$D$3:F$106,3,FALSE)</f>
        <v>Security</v>
      </c>
      <c r="C3667" t="s">
        <v>314</v>
      </c>
      <c r="D3667">
        <v>883</v>
      </c>
      <c r="E3667" t="s">
        <v>1112</v>
      </c>
      <c r="F3667" t="s">
        <v>360</v>
      </c>
      <c r="G3667" t="s">
        <v>319</v>
      </c>
      <c r="H3667" s="502">
        <v>52920</v>
      </c>
      <c r="I3667" s="415">
        <v>3666.72</v>
      </c>
      <c r="J3667" s="415">
        <v>2000</v>
      </c>
      <c r="K3667" s="415">
        <v>2000</v>
      </c>
      <c r="L3667" s="415">
        <v>2000</v>
      </c>
      <c r="M3667" s="415">
        <v>2000</v>
      </c>
      <c r="N3667" s="415">
        <v>2000</v>
      </c>
      <c r="O3667" s="415">
        <v>1000</v>
      </c>
      <c r="P3667" s="415">
        <v>1000</v>
      </c>
      <c r="Q3667" s="481">
        <f t="shared" si="103"/>
        <v>-1666.7199999999998</v>
      </c>
    </row>
    <row r="3668" spans="1:17" x14ac:dyDescent="0.3">
      <c r="A3668" s="366" t="str">
        <f>IFERROR(VLOOKUP(RIGHT(E3668,3)+0,[1]SchLocTable!$A$2:$B$47,2,FALSE)," ")</f>
        <v>Marin</v>
      </c>
      <c r="B3668" s="366" t="str">
        <f>VLOOKUP(VALUE(D3668),$D$3:F$106,3,FALSE)</f>
        <v>Security</v>
      </c>
      <c r="C3668" t="s">
        <v>314</v>
      </c>
      <c r="D3668">
        <v>883</v>
      </c>
      <c r="E3668" t="s">
        <v>1112</v>
      </c>
      <c r="F3668" t="s">
        <v>321</v>
      </c>
      <c r="G3668" t="s">
        <v>319</v>
      </c>
      <c r="H3668" s="502">
        <v>52917</v>
      </c>
      <c r="I3668" s="415">
        <v>1586.2079999999999</v>
      </c>
      <c r="J3668" s="415">
        <v>914.55</v>
      </c>
      <c r="K3668" s="415">
        <v>928.58</v>
      </c>
      <c r="L3668" s="415">
        <v>10302.94</v>
      </c>
      <c r="M3668" s="415">
        <v>27467.38</v>
      </c>
      <c r="N3668" s="415">
        <v>26852.2</v>
      </c>
      <c r="O3668" s="415">
        <v>32289.040000000001</v>
      </c>
      <c r="P3668" s="415">
        <v>32810.57</v>
      </c>
      <c r="Q3668" s="481">
        <f t="shared" si="103"/>
        <v>-671.6579999999999</v>
      </c>
    </row>
    <row r="3669" spans="1:17" x14ac:dyDescent="0.3">
      <c r="A3669" s="366" t="str">
        <f>IFERROR(VLOOKUP(RIGHT(E3669,3)+0,[1]SchLocTable!$A$2:$B$47,2,FALSE)," ")</f>
        <v>Marin</v>
      </c>
      <c r="B3669" s="366" t="str">
        <f>VLOOKUP(VALUE(D3669),$D$3:F$106,3,FALSE)</f>
        <v>Security</v>
      </c>
      <c r="C3669" t="s">
        <v>314</v>
      </c>
      <c r="D3669">
        <v>883</v>
      </c>
      <c r="E3669" t="s">
        <v>1112</v>
      </c>
      <c r="F3669" t="s">
        <v>318</v>
      </c>
      <c r="G3669" t="s">
        <v>319</v>
      </c>
      <c r="H3669" s="502">
        <v>51140</v>
      </c>
      <c r="I3669" s="415">
        <v>1725</v>
      </c>
      <c r="J3669" s="415">
        <v>1725</v>
      </c>
      <c r="K3669" s="415">
        <v>1650</v>
      </c>
      <c r="L3669" s="415">
        <v>1575</v>
      </c>
      <c r="M3669" s="415">
        <v>1500</v>
      </c>
      <c r="N3669" s="415">
        <v>1425</v>
      </c>
      <c r="O3669" s="415">
        <v>1125</v>
      </c>
      <c r="P3669" s="415">
        <v>2006.25</v>
      </c>
      <c r="Q3669" s="481">
        <f t="shared" si="103"/>
        <v>0</v>
      </c>
    </row>
    <row r="3670" spans="1:17" x14ac:dyDescent="0.3">
      <c r="A3670" s="366" t="str">
        <f>IFERROR(VLOOKUP(RIGHT(E3670,3)+0,[1]SchLocTable!$A$2:$B$47,2,FALSE)," ")</f>
        <v>Marin</v>
      </c>
      <c r="B3670" s="366" t="str">
        <f>VLOOKUP(VALUE(D3670),$D$3:F$106,3,FALSE)</f>
        <v>Security</v>
      </c>
      <c r="C3670" t="s">
        <v>314</v>
      </c>
      <c r="D3670">
        <v>883</v>
      </c>
      <c r="E3670" t="s">
        <v>1112</v>
      </c>
      <c r="F3670" t="s">
        <v>320</v>
      </c>
      <c r="G3670" t="s">
        <v>319</v>
      </c>
      <c r="H3670" s="502">
        <v>52360</v>
      </c>
      <c r="I3670" s="415">
        <v>2086.5516239999997</v>
      </c>
      <c r="J3670" s="415">
        <v>695</v>
      </c>
      <c r="K3670" s="415">
        <v>716.87</v>
      </c>
      <c r="L3670" s="415">
        <v>938.86</v>
      </c>
      <c r="M3670" s="415">
        <v>1206.22</v>
      </c>
      <c r="N3670" s="415">
        <v>1082.4000000000001</v>
      </c>
      <c r="O3670" s="415">
        <v>1129.4100000000001</v>
      </c>
      <c r="P3670" s="415">
        <v>846.07</v>
      </c>
      <c r="Q3670" s="481">
        <f t="shared" si="103"/>
        <v>-1391.5516239999997</v>
      </c>
    </row>
    <row r="3671" spans="1:17" x14ac:dyDescent="0.3">
      <c r="A3671" s="366" t="str">
        <f>IFERROR(VLOOKUP(RIGHT(E3671,3)+0,[1]SchLocTable!$A$2:$B$47,2,FALSE)," ")</f>
        <v>Marin</v>
      </c>
      <c r="B3671" s="366" t="str">
        <f>VLOOKUP(VALUE(D3671),$D$3:F$106,3,FALSE)</f>
        <v>Security</v>
      </c>
      <c r="C3671" t="s">
        <v>314</v>
      </c>
      <c r="D3671">
        <v>883</v>
      </c>
      <c r="E3671" t="s">
        <v>1112</v>
      </c>
      <c r="F3671" t="s">
        <v>392</v>
      </c>
      <c r="G3671" t="s">
        <v>319</v>
      </c>
      <c r="H3671" s="502">
        <v>52504</v>
      </c>
      <c r="I3671" s="415">
        <v>29902.443273599998</v>
      </c>
      <c r="J3671" s="415">
        <v>9954</v>
      </c>
      <c r="K3671" s="415">
        <v>9770.08</v>
      </c>
      <c r="L3671" s="415">
        <v>13438.33</v>
      </c>
      <c r="M3671" s="415">
        <v>19716.63</v>
      </c>
      <c r="N3671" s="415">
        <v>16128.88</v>
      </c>
      <c r="O3671" s="415">
        <v>14751.82</v>
      </c>
      <c r="P3671" s="415">
        <v>9627.9699999999993</v>
      </c>
      <c r="Q3671" s="481">
        <f t="shared" si="103"/>
        <v>-19948.443273599998</v>
      </c>
    </row>
    <row r="3672" spans="1:17" x14ac:dyDescent="0.3">
      <c r="A3672" s="366" t="str">
        <f>IFERROR(VLOOKUP(RIGHT(E3672,3)+0,[1]SchLocTable!$A$2:$B$47,2,FALSE)," ")</f>
        <v>Marin</v>
      </c>
      <c r="B3672" s="366" t="str">
        <f>VLOOKUP(VALUE(D3672),$D$3:F$106,3,FALSE)</f>
        <v>Security</v>
      </c>
      <c r="C3672" t="s">
        <v>314</v>
      </c>
      <c r="D3672">
        <v>883</v>
      </c>
      <c r="E3672" t="s">
        <v>1112</v>
      </c>
      <c r="F3672" t="s">
        <v>452</v>
      </c>
      <c r="G3672" t="s">
        <v>319</v>
      </c>
      <c r="H3672" s="502">
        <v>51108</v>
      </c>
      <c r="I3672" s="415">
        <v>0</v>
      </c>
      <c r="J3672" s="415">
        <v>0</v>
      </c>
      <c r="K3672" s="415">
        <v>0</v>
      </c>
      <c r="L3672" s="415">
        <v>15.97</v>
      </c>
      <c r="M3672" s="415">
        <v>0</v>
      </c>
      <c r="N3672" s="415">
        <v>0</v>
      </c>
      <c r="O3672" s="415">
        <v>0</v>
      </c>
      <c r="P3672" s="415">
        <v>0</v>
      </c>
      <c r="Q3672" s="481">
        <f t="shared" si="103"/>
        <v>0</v>
      </c>
    </row>
    <row r="3673" spans="1:17" x14ac:dyDescent="0.3">
      <c r="A3673" s="366" t="str">
        <f>IFERROR(VLOOKUP(RIGHT(E3673,3)+0,[1]SchLocTable!$A$2:$B$47,2,FALSE)," ")</f>
        <v>Marin</v>
      </c>
      <c r="B3673" s="366" t="str">
        <f>VLOOKUP(VALUE(D3673),$D$3:F$106,3,FALSE)</f>
        <v>Security</v>
      </c>
      <c r="C3673" t="s">
        <v>314</v>
      </c>
      <c r="D3673">
        <v>883</v>
      </c>
      <c r="E3673" t="s">
        <v>1112</v>
      </c>
      <c r="F3673" t="s">
        <v>483</v>
      </c>
      <c r="G3673" t="s">
        <v>319</v>
      </c>
      <c r="H3673" s="502">
        <v>51122</v>
      </c>
      <c r="I3673" s="415">
        <v>0</v>
      </c>
      <c r="J3673" s="415">
        <v>0</v>
      </c>
      <c r="K3673" s="415">
        <v>0</v>
      </c>
      <c r="L3673" s="415">
        <v>4695.57</v>
      </c>
      <c r="M3673" s="415">
        <v>3973.32</v>
      </c>
      <c r="N3673" s="415">
        <v>251.7</v>
      </c>
      <c r="O3673" s="415">
        <v>1406.91</v>
      </c>
      <c r="P3673" s="415">
        <v>58.92</v>
      </c>
      <c r="Q3673" s="481">
        <f t="shared" si="103"/>
        <v>0</v>
      </c>
    </row>
    <row r="3674" spans="1:17" x14ac:dyDescent="0.3">
      <c r="A3674" s="366" t="str">
        <f>IFERROR(VLOOKUP(RIGHT(E3674,3)+0,[1]SchLocTable!$A$2:$B$47,2,FALSE)," ")</f>
        <v>Marin</v>
      </c>
      <c r="B3674" s="366" t="str">
        <f>VLOOKUP(VALUE(D3674),$D$3:F$106,3,FALSE)</f>
        <v>Security</v>
      </c>
      <c r="C3674" t="s">
        <v>314</v>
      </c>
      <c r="D3674">
        <v>883</v>
      </c>
      <c r="E3674" t="s">
        <v>1112</v>
      </c>
      <c r="F3674" t="s">
        <v>324</v>
      </c>
      <c r="G3674" t="s">
        <v>319</v>
      </c>
      <c r="H3674" s="502">
        <v>52385</v>
      </c>
      <c r="I3674" s="415">
        <v>0</v>
      </c>
      <c r="J3674" s="415">
        <v>0</v>
      </c>
      <c r="K3674" s="415">
        <v>0</v>
      </c>
      <c r="L3674" s="415">
        <v>0</v>
      </c>
      <c r="M3674" s="415">
        <v>0</v>
      </c>
      <c r="N3674" s="415">
        <v>0</v>
      </c>
      <c r="O3674" s="415">
        <v>0</v>
      </c>
      <c r="P3674" s="415">
        <v>0</v>
      </c>
      <c r="Q3674" s="481">
        <f t="shared" si="103"/>
        <v>0</v>
      </c>
    </row>
    <row r="3675" spans="1:17" x14ac:dyDescent="0.3">
      <c r="A3675" s="366" t="str">
        <f>IFERROR(VLOOKUP(RIGHT(E3675,3)+0,[1]SchLocTable!$A$2:$B$47,2,FALSE)," ")</f>
        <v>Marin</v>
      </c>
      <c r="B3675" s="366" t="str">
        <f>VLOOKUP(VALUE(D3675),$D$3:F$106,3,FALSE)</f>
        <v>Security</v>
      </c>
      <c r="C3675" t="s">
        <v>314</v>
      </c>
      <c r="D3675">
        <v>883</v>
      </c>
      <c r="E3675" t="s">
        <v>1112</v>
      </c>
      <c r="F3675" t="s">
        <v>356</v>
      </c>
      <c r="G3675" t="s">
        <v>319</v>
      </c>
      <c r="H3675" s="502">
        <v>51156</v>
      </c>
      <c r="I3675" s="415">
        <v>0</v>
      </c>
      <c r="J3675" s="415">
        <v>0</v>
      </c>
      <c r="K3675" s="415">
        <v>0</v>
      </c>
      <c r="L3675" s="415">
        <v>0</v>
      </c>
      <c r="M3675" s="415">
        <v>802.8</v>
      </c>
      <c r="N3675" s="415">
        <v>787.2</v>
      </c>
      <c r="O3675" s="415">
        <v>771.6</v>
      </c>
      <c r="P3675" s="415">
        <v>1483.2</v>
      </c>
      <c r="Q3675" s="481">
        <f t="shared" si="103"/>
        <v>0</v>
      </c>
    </row>
    <row r="3676" spans="1:17" x14ac:dyDescent="0.3">
      <c r="A3676" s="366" t="str">
        <f>IFERROR(VLOOKUP(RIGHT(E3676,3)+0,[1]SchLocTable!$A$2:$B$47,2,FALSE)," ")</f>
        <v>Hall</v>
      </c>
      <c r="B3676" s="366" t="str">
        <f>VLOOKUP(VALUE(D3676),$D$3:F$106,3,FALSE)</f>
        <v>Security</v>
      </c>
      <c r="C3676" t="s">
        <v>314</v>
      </c>
      <c r="D3676">
        <v>883</v>
      </c>
      <c r="E3676" t="s">
        <v>1113</v>
      </c>
      <c r="F3676" t="s">
        <v>316</v>
      </c>
      <c r="G3676">
        <v>1</v>
      </c>
      <c r="H3676" s="502">
        <v>51000</v>
      </c>
      <c r="I3676" s="415">
        <v>47792.159999999996</v>
      </c>
      <c r="J3676" s="415">
        <v>46176</v>
      </c>
      <c r="K3676" s="415">
        <v>45767.92</v>
      </c>
      <c r="L3676" s="415">
        <v>44283.199999999997</v>
      </c>
      <c r="M3676" s="415">
        <v>42841.88</v>
      </c>
      <c r="N3676" s="415">
        <v>41474.25</v>
      </c>
      <c r="O3676" s="415">
        <v>25028.15</v>
      </c>
      <c r="P3676" s="415">
        <v>40433.040000000001</v>
      </c>
      <c r="Q3676" s="481">
        <f t="shared" si="103"/>
        <v>-1616.1599999999962</v>
      </c>
    </row>
    <row r="3677" spans="1:17" x14ac:dyDescent="0.3">
      <c r="A3677" s="366" t="str">
        <f>IFERROR(VLOOKUP(RIGHT(E3677,3)+0,[1]SchLocTable!$A$2:$B$47,2,FALSE)," ")</f>
        <v>Hall</v>
      </c>
      <c r="B3677" s="366" t="str">
        <f>VLOOKUP(VALUE(D3677),$D$3:F$106,3,FALSE)</f>
        <v>Security</v>
      </c>
      <c r="C3677" t="s">
        <v>314</v>
      </c>
      <c r="D3677">
        <v>883</v>
      </c>
      <c r="E3677" t="s">
        <v>1113</v>
      </c>
      <c r="F3677" t="s">
        <v>321</v>
      </c>
      <c r="G3677" t="s">
        <v>319</v>
      </c>
      <c r="H3677" s="502">
        <v>52917</v>
      </c>
      <c r="I3677" s="415">
        <v>15361.008</v>
      </c>
      <c r="J3677" s="415">
        <v>12737</v>
      </c>
      <c r="K3677" s="415">
        <v>11604.16</v>
      </c>
      <c r="L3677" s="415">
        <v>11327.94</v>
      </c>
      <c r="M3677" s="415">
        <v>10648.31</v>
      </c>
      <c r="N3677" s="415">
        <v>9842.83</v>
      </c>
      <c r="O3677" s="415">
        <v>5718.98</v>
      </c>
      <c r="P3677" s="415">
        <v>8862.34</v>
      </c>
      <c r="Q3677" s="481">
        <f t="shared" si="103"/>
        <v>-2624.0079999999998</v>
      </c>
    </row>
    <row r="3678" spans="1:17" x14ac:dyDescent="0.3">
      <c r="A3678" s="366" t="str">
        <f>IFERROR(VLOOKUP(RIGHT(E3678,3)+0,[1]SchLocTable!$A$2:$B$47,2,FALSE)," ")</f>
        <v>Hall</v>
      </c>
      <c r="B3678" s="366" t="str">
        <f>VLOOKUP(VALUE(D3678),$D$3:F$106,3,FALSE)</f>
        <v>Security</v>
      </c>
      <c r="C3678" t="s">
        <v>314</v>
      </c>
      <c r="D3678">
        <v>883</v>
      </c>
      <c r="E3678" t="s">
        <v>1113</v>
      </c>
      <c r="F3678" t="s">
        <v>318</v>
      </c>
      <c r="G3678" t="s">
        <v>319</v>
      </c>
      <c r="H3678" s="502">
        <v>51140</v>
      </c>
      <c r="I3678" s="415">
        <v>1725</v>
      </c>
      <c r="J3678" s="415">
        <v>1725</v>
      </c>
      <c r="K3678" s="415">
        <v>1650</v>
      </c>
      <c r="L3678" s="415">
        <v>1575</v>
      </c>
      <c r="M3678" s="415">
        <v>1500</v>
      </c>
      <c r="N3678" s="415">
        <v>1425</v>
      </c>
      <c r="O3678" s="415">
        <v>0</v>
      </c>
      <c r="P3678" s="415">
        <v>1275</v>
      </c>
      <c r="Q3678" s="481">
        <f t="shared" si="103"/>
        <v>0</v>
      </c>
    </row>
    <row r="3679" spans="1:17" x14ac:dyDescent="0.3">
      <c r="A3679" s="366" t="str">
        <f>IFERROR(VLOOKUP(RIGHT(E3679,3)+0,[1]SchLocTable!$A$2:$B$47,2,FALSE)," ")</f>
        <v>Hall</v>
      </c>
      <c r="B3679" s="366" t="str">
        <f>VLOOKUP(VALUE(D3679),$D$3:F$106,3,FALSE)</f>
        <v>Security</v>
      </c>
      <c r="C3679" t="s">
        <v>314</v>
      </c>
      <c r="D3679">
        <v>883</v>
      </c>
      <c r="E3679" t="s">
        <v>1113</v>
      </c>
      <c r="F3679" t="s">
        <v>320</v>
      </c>
      <c r="G3679" t="s">
        <v>319</v>
      </c>
      <c r="H3679" s="502">
        <v>52360</v>
      </c>
      <c r="I3679" s="415">
        <v>692.98631999999998</v>
      </c>
      <c r="J3679" s="415">
        <v>635</v>
      </c>
      <c r="K3679" s="415">
        <v>629.59</v>
      </c>
      <c r="L3679" s="415">
        <v>616</v>
      </c>
      <c r="M3679" s="415">
        <v>593.84</v>
      </c>
      <c r="N3679" s="415">
        <v>576.83000000000004</v>
      </c>
      <c r="O3679" s="415">
        <v>336.57</v>
      </c>
      <c r="P3679" s="415">
        <v>564.08000000000004</v>
      </c>
      <c r="Q3679" s="481">
        <f t="shared" si="103"/>
        <v>-57.986319999999978</v>
      </c>
    </row>
    <row r="3680" spans="1:17" x14ac:dyDescent="0.3">
      <c r="A3680" s="366" t="str">
        <f>IFERROR(VLOOKUP(RIGHT(E3680,3)+0,[1]SchLocTable!$A$2:$B$47,2,FALSE)," ")</f>
        <v>Hall</v>
      </c>
      <c r="B3680" s="366" t="str">
        <f>VLOOKUP(VALUE(D3680),$D$3:F$106,3,FALSE)</f>
        <v>Security</v>
      </c>
      <c r="C3680" t="s">
        <v>314</v>
      </c>
      <c r="D3680">
        <v>883</v>
      </c>
      <c r="E3680" t="s">
        <v>1113</v>
      </c>
      <c r="F3680" t="s">
        <v>392</v>
      </c>
      <c r="G3680" t="s">
        <v>319</v>
      </c>
      <c r="H3680" s="502">
        <v>52504</v>
      </c>
      <c r="I3680" s="415">
        <v>9931.2108480000006</v>
      </c>
      <c r="J3680" s="415">
        <v>9954</v>
      </c>
      <c r="K3680" s="415">
        <v>9765.52</v>
      </c>
      <c r="L3680" s="415">
        <v>9400.16</v>
      </c>
      <c r="M3680" s="415">
        <v>9558.9699999999993</v>
      </c>
      <c r="N3680" s="415">
        <v>8196.4699999999993</v>
      </c>
      <c r="O3680" s="415">
        <v>4135.26</v>
      </c>
      <c r="P3680" s="415">
        <v>5958.42</v>
      </c>
      <c r="Q3680" s="481">
        <f t="shared" si="103"/>
        <v>22.789151999999376</v>
      </c>
    </row>
    <row r="3681" spans="1:17" x14ac:dyDescent="0.3">
      <c r="A3681" s="366" t="str">
        <f>IFERROR(VLOOKUP(RIGHT(E3681,3)+0,[1]SchLocTable!$A$2:$B$47,2,FALSE)," ")</f>
        <v>Hall</v>
      </c>
      <c r="B3681" s="366" t="str">
        <f>VLOOKUP(VALUE(D3681),$D$3:F$106,3,FALSE)</f>
        <v>Security</v>
      </c>
      <c r="C3681" t="s">
        <v>314</v>
      </c>
      <c r="D3681">
        <v>883</v>
      </c>
      <c r="E3681" t="s">
        <v>1113</v>
      </c>
      <c r="F3681" t="s">
        <v>483</v>
      </c>
      <c r="G3681" t="s">
        <v>319</v>
      </c>
      <c r="H3681" s="502">
        <v>51122</v>
      </c>
      <c r="I3681" s="415">
        <v>0</v>
      </c>
      <c r="J3681" s="415">
        <v>0</v>
      </c>
      <c r="K3681" s="415">
        <v>0</v>
      </c>
      <c r="L3681" s="415">
        <v>235.62</v>
      </c>
      <c r="M3681" s="415">
        <v>0</v>
      </c>
      <c r="N3681" s="415">
        <v>0</v>
      </c>
      <c r="O3681" s="415">
        <v>0</v>
      </c>
      <c r="P3681" s="415">
        <v>0</v>
      </c>
      <c r="Q3681" s="481">
        <f t="shared" si="103"/>
        <v>0</v>
      </c>
    </row>
    <row r="3682" spans="1:17" x14ac:dyDescent="0.3">
      <c r="A3682" s="366" t="str">
        <f>IFERROR(VLOOKUP(RIGHT(E3682,3)+0,[1]SchLocTable!$A$2:$B$47,2,FALSE)," ")</f>
        <v>Hallen</v>
      </c>
      <c r="B3682" s="366" t="str">
        <f>VLOOKUP(VALUE(D3682),$D$3:F$106,3,FALSE)</f>
        <v>Security</v>
      </c>
      <c r="C3682" t="s">
        <v>314</v>
      </c>
      <c r="D3682">
        <v>883</v>
      </c>
      <c r="E3682" t="s">
        <v>1114</v>
      </c>
      <c r="F3682" t="s">
        <v>316</v>
      </c>
      <c r="G3682">
        <v>1</v>
      </c>
      <c r="H3682" s="502">
        <v>51000</v>
      </c>
      <c r="I3682" s="415">
        <v>47792.159999999996</v>
      </c>
      <c r="J3682" s="415">
        <v>46176</v>
      </c>
      <c r="K3682" s="415">
        <v>43942.6</v>
      </c>
      <c r="L3682" s="415">
        <v>35128.5</v>
      </c>
      <c r="M3682" s="415">
        <v>41008.26</v>
      </c>
      <c r="N3682" s="415">
        <v>39513.839999999997</v>
      </c>
      <c r="O3682" s="415">
        <v>47664</v>
      </c>
      <c r="P3682" s="415">
        <v>41205.81</v>
      </c>
      <c r="Q3682" s="481">
        <f t="shared" si="103"/>
        <v>-1616.1599999999962</v>
      </c>
    </row>
    <row r="3683" spans="1:17" x14ac:dyDescent="0.3">
      <c r="A3683" s="366" t="str">
        <f>IFERROR(VLOOKUP(RIGHT(E3683,3)+0,[1]SchLocTable!$A$2:$B$47,2,FALSE)," ")</f>
        <v>Hallen</v>
      </c>
      <c r="B3683" s="366" t="str">
        <f>VLOOKUP(VALUE(D3683),$D$3:F$106,3,FALSE)</f>
        <v>Security</v>
      </c>
      <c r="C3683" t="s">
        <v>314</v>
      </c>
      <c r="D3683">
        <v>883</v>
      </c>
      <c r="E3683" t="s">
        <v>1114</v>
      </c>
      <c r="F3683" t="s">
        <v>360</v>
      </c>
      <c r="G3683" t="s">
        <v>319</v>
      </c>
      <c r="H3683" s="502">
        <v>52920</v>
      </c>
      <c r="I3683" s="415">
        <v>0</v>
      </c>
      <c r="J3683" s="415">
        <v>0</v>
      </c>
      <c r="K3683" s="415">
        <v>0</v>
      </c>
      <c r="L3683" s="415">
        <v>0</v>
      </c>
      <c r="M3683" s="415">
        <v>2000</v>
      </c>
      <c r="N3683" s="415">
        <v>2000</v>
      </c>
      <c r="O3683" s="415">
        <v>0</v>
      </c>
      <c r="P3683" s="415">
        <v>0</v>
      </c>
      <c r="Q3683" s="481">
        <f t="shared" si="103"/>
        <v>0</v>
      </c>
    </row>
    <row r="3684" spans="1:17" x14ac:dyDescent="0.3">
      <c r="A3684" s="366" t="str">
        <f>IFERROR(VLOOKUP(RIGHT(E3684,3)+0,[1]SchLocTable!$A$2:$B$47,2,FALSE)," ")</f>
        <v>Hallen</v>
      </c>
      <c r="B3684" s="366" t="str">
        <f>VLOOKUP(VALUE(D3684),$D$3:F$106,3,FALSE)</f>
        <v>Security</v>
      </c>
      <c r="C3684" t="s">
        <v>314</v>
      </c>
      <c r="D3684">
        <v>883</v>
      </c>
      <c r="E3684" t="s">
        <v>1114</v>
      </c>
      <c r="F3684" t="s">
        <v>321</v>
      </c>
      <c r="G3684" t="s">
        <v>319</v>
      </c>
      <c r="H3684" s="502">
        <v>52917</v>
      </c>
      <c r="I3684" s="415">
        <v>14767.583999999999</v>
      </c>
      <c r="J3684" s="415">
        <v>12245</v>
      </c>
      <c r="K3684" s="415">
        <v>11305.85</v>
      </c>
      <c r="L3684" s="415">
        <v>9247.39</v>
      </c>
      <c r="M3684" s="415">
        <v>0</v>
      </c>
      <c r="N3684" s="415">
        <v>1236.24</v>
      </c>
      <c r="O3684" s="415">
        <v>10191.799999999999</v>
      </c>
      <c r="P3684" s="415">
        <v>8521.86</v>
      </c>
      <c r="Q3684" s="481">
        <f t="shared" si="103"/>
        <v>-2522.5839999999989</v>
      </c>
    </row>
    <row r="3685" spans="1:17" x14ac:dyDescent="0.3">
      <c r="A3685" s="366" t="str">
        <f>IFERROR(VLOOKUP(RIGHT(E3685,3)+0,[1]SchLocTable!$A$2:$B$47,2,FALSE)," ")</f>
        <v>Hallen</v>
      </c>
      <c r="B3685" s="366" t="str">
        <f>VLOOKUP(VALUE(D3685),$D$3:F$106,3,FALSE)</f>
        <v>Security</v>
      </c>
      <c r="C3685" t="s">
        <v>314</v>
      </c>
      <c r="D3685">
        <v>883</v>
      </c>
      <c r="E3685" t="s">
        <v>1114</v>
      </c>
      <c r="F3685" t="s">
        <v>318</v>
      </c>
      <c r="G3685" t="s">
        <v>319</v>
      </c>
      <c r="H3685" s="502">
        <v>51140</v>
      </c>
      <c r="I3685" s="415">
        <v>750</v>
      </c>
      <c r="J3685" s="415">
        <v>750</v>
      </c>
      <c r="K3685" s="415">
        <v>0</v>
      </c>
      <c r="L3685" s="415">
        <v>0</v>
      </c>
      <c r="M3685" s="415">
        <v>0</v>
      </c>
      <c r="N3685" s="415">
        <v>0</v>
      </c>
      <c r="O3685" s="415">
        <v>0</v>
      </c>
      <c r="P3685" s="415">
        <v>0</v>
      </c>
      <c r="Q3685" s="481">
        <f t="shared" si="103"/>
        <v>0</v>
      </c>
    </row>
    <row r="3686" spans="1:17" x14ac:dyDescent="0.3">
      <c r="A3686" s="366" t="str">
        <f>IFERROR(VLOOKUP(RIGHT(E3686,3)+0,[1]SchLocTable!$A$2:$B$47,2,FALSE)," ")</f>
        <v>Hallen</v>
      </c>
      <c r="B3686" s="366" t="str">
        <f>VLOOKUP(VALUE(D3686),$D$3:F$106,3,FALSE)</f>
        <v>Security</v>
      </c>
      <c r="C3686" t="s">
        <v>314</v>
      </c>
      <c r="D3686">
        <v>883</v>
      </c>
      <c r="E3686" t="s">
        <v>1114</v>
      </c>
      <c r="F3686" t="s">
        <v>320</v>
      </c>
      <c r="G3686" t="s">
        <v>319</v>
      </c>
      <c r="H3686" s="502">
        <v>52360</v>
      </c>
      <c r="I3686" s="415">
        <v>692.98631999999998</v>
      </c>
      <c r="J3686" s="415">
        <v>614</v>
      </c>
      <c r="K3686" s="415">
        <v>562.66</v>
      </c>
      <c r="L3686" s="415">
        <v>451.2</v>
      </c>
      <c r="M3686" s="415">
        <v>623.63</v>
      </c>
      <c r="N3686" s="415">
        <v>593.23</v>
      </c>
      <c r="O3686" s="415">
        <v>633.79999999999995</v>
      </c>
      <c r="P3686" s="415">
        <v>545.4</v>
      </c>
      <c r="Q3686" s="481">
        <f t="shared" si="103"/>
        <v>-78.986319999999978</v>
      </c>
    </row>
    <row r="3687" spans="1:17" x14ac:dyDescent="0.3">
      <c r="A3687" s="366" t="str">
        <f>IFERROR(VLOOKUP(RIGHT(E3687,3)+0,[1]SchLocTable!$A$2:$B$47,2,FALSE)," ")</f>
        <v>Hallen</v>
      </c>
      <c r="B3687" s="366" t="str">
        <f>VLOOKUP(VALUE(D3687),$D$3:F$106,3,FALSE)</f>
        <v>Security</v>
      </c>
      <c r="C3687" t="s">
        <v>314</v>
      </c>
      <c r="D3687">
        <v>883</v>
      </c>
      <c r="E3687" t="s">
        <v>1114</v>
      </c>
      <c r="F3687" t="s">
        <v>392</v>
      </c>
      <c r="G3687" t="s">
        <v>319</v>
      </c>
      <c r="H3687" s="502">
        <v>52504</v>
      </c>
      <c r="I3687" s="415">
        <v>9931.2108480000006</v>
      </c>
      <c r="J3687" s="415">
        <v>9751</v>
      </c>
      <c r="K3687" s="415">
        <v>9064.2099999999991</v>
      </c>
      <c r="L3687" s="415">
        <v>7181.51</v>
      </c>
      <c r="M3687" s="415">
        <v>8839.57</v>
      </c>
      <c r="N3687" s="415">
        <v>7552.54</v>
      </c>
      <c r="O3687" s="415">
        <v>7928.67</v>
      </c>
      <c r="P3687" s="415">
        <v>5886.98</v>
      </c>
      <c r="Q3687" s="481">
        <f t="shared" si="103"/>
        <v>-180.21084800000062</v>
      </c>
    </row>
    <row r="3688" spans="1:17" x14ac:dyDescent="0.3">
      <c r="A3688" s="366" t="str">
        <f>IFERROR(VLOOKUP(RIGHT(E3688,3)+0,[1]SchLocTable!$A$2:$B$47,2,FALSE)," ")</f>
        <v>Hallen</v>
      </c>
      <c r="B3688" s="366" t="str">
        <f>VLOOKUP(VALUE(D3688),$D$3:F$106,3,FALSE)</f>
        <v>Security</v>
      </c>
      <c r="C3688" t="s">
        <v>314</v>
      </c>
      <c r="D3688">
        <v>883</v>
      </c>
      <c r="E3688" t="s">
        <v>1114</v>
      </c>
      <c r="F3688" t="s">
        <v>483</v>
      </c>
      <c r="G3688" t="s">
        <v>319</v>
      </c>
      <c r="H3688" s="502">
        <v>51122</v>
      </c>
      <c r="I3688" s="415">
        <v>0</v>
      </c>
      <c r="J3688" s="415">
        <v>0</v>
      </c>
      <c r="K3688" s="415">
        <v>69.239999999999995</v>
      </c>
      <c r="L3688" s="415">
        <v>84.15</v>
      </c>
      <c r="M3688" s="415">
        <v>0</v>
      </c>
      <c r="N3688" s="415">
        <v>0</v>
      </c>
      <c r="O3688" s="415">
        <v>187.02</v>
      </c>
      <c r="P3688" s="415">
        <v>0</v>
      </c>
      <c r="Q3688" s="481">
        <f t="shared" si="103"/>
        <v>0</v>
      </c>
    </row>
    <row r="3689" spans="1:17" x14ac:dyDescent="0.3">
      <c r="A3689" s="366" t="str">
        <f>IFERROR(VLOOKUP(RIGHT(E3689,3)+0,[1]SchLocTable!$A$2:$B$47,2,FALSE)," ")</f>
        <v>Hooker</v>
      </c>
      <c r="B3689" s="366" t="str">
        <f>VLOOKUP(VALUE(D3689),$D$3:F$106,3,FALSE)</f>
        <v>Security</v>
      </c>
      <c r="C3689" t="s">
        <v>314</v>
      </c>
      <c r="D3689">
        <v>883</v>
      </c>
      <c r="E3689" t="s">
        <v>1115</v>
      </c>
      <c r="F3689" t="s">
        <v>316</v>
      </c>
      <c r="G3689">
        <v>1</v>
      </c>
      <c r="H3689" s="502">
        <v>51000</v>
      </c>
      <c r="I3689" s="415">
        <v>47792.159999999996</v>
      </c>
      <c r="J3689" s="415">
        <v>46176</v>
      </c>
      <c r="K3689" s="415">
        <v>45784.72</v>
      </c>
      <c r="L3689" s="415">
        <v>36193</v>
      </c>
      <c r="M3689" s="415">
        <v>31469.759999999998</v>
      </c>
      <c r="N3689" s="415">
        <v>41494.32</v>
      </c>
      <c r="O3689" s="415">
        <v>53285.94</v>
      </c>
      <c r="P3689" s="415">
        <v>41761.32</v>
      </c>
      <c r="Q3689" s="481">
        <f t="shared" si="103"/>
        <v>-1616.1599999999962</v>
      </c>
    </row>
    <row r="3690" spans="1:17" x14ac:dyDescent="0.3">
      <c r="A3690" s="366" t="str">
        <f>IFERROR(VLOOKUP(RIGHT(E3690,3)+0,[1]SchLocTable!$A$2:$B$47,2,FALSE)," ")</f>
        <v>Hooker</v>
      </c>
      <c r="B3690" s="366" t="str">
        <f>VLOOKUP(VALUE(D3690),$D$3:F$106,3,FALSE)</f>
        <v>Security</v>
      </c>
      <c r="C3690" t="s">
        <v>314</v>
      </c>
      <c r="D3690">
        <v>883</v>
      </c>
      <c r="E3690" t="s">
        <v>1115</v>
      </c>
      <c r="F3690" t="s">
        <v>360</v>
      </c>
      <c r="G3690" t="s">
        <v>319</v>
      </c>
      <c r="H3690" s="502">
        <v>52920</v>
      </c>
      <c r="I3690" s="415">
        <v>2000</v>
      </c>
      <c r="J3690" s="415">
        <v>2000</v>
      </c>
      <c r="K3690" s="415">
        <v>2000</v>
      </c>
      <c r="L3690" s="415">
        <v>2000</v>
      </c>
      <c r="M3690" s="415">
        <v>1000</v>
      </c>
      <c r="N3690" s="415">
        <v>2000</v>
      </c>
      <c r="O3690" s="415">
        <v>2000</v>
      </c>
      <c r="P3690" s="415">
        <v>2000</v>
      </c>
      <c r="Q3690" s="481">
        <f t="shared" si="103"/>
        <v>0</v>
      </c>
    </row>
    <row r="3691" spans="1:17" x14ac:dyDescent="0.3">
      <c r="A3691" s="366" t="str">
        <f>IFERROR(VLOOKUP(RIGHT(E3691,3)+0,[1]SchLocTable!$A$2:$B$47,2,FALSE)," ")</f>
        <v>Hooker</v>
      </c>
      <c r="B3691" s="366" t="str">
        <f>VLOOKUP(VALUE(D3691),$D$3:F$106,3,FALSE)</f>
        <v>Security</v>
      </c>
      <c r="C3691" t="s">
        <v>314</v>
      </c>
      <c r="D3691">
        <v>883</v>
      </c>
      <c r="E3691" t="s">
        <v>1115</v>
      </c>
      <c r="F3691" t="s">
        <v>321</v>
      </c>
      <c r="G3691" t="s">
        <v>319</v>
      </c>
      <c r="H3691" s="502">
        <v>52917</v>
      </c>
      <c r="I3691" s="415">
        <v>0</v>
      </c>
      <c r="J3691" s="415">
        <v>0</v>
      </c>
      <c r="K3691" s="415">
        <v>0</v>
      </c>
      <c r="L3691" s="415">
        <v>0</v>
      </c>
      <c r="M3691" s="415">
        <v>733.04</v>
      </c>
      <c r="N3691" s="415">
        <v>976.14</v>
      </c>
      <c r="O3691" s="415">
        <v>7333.11</v>
      </c>
      <c r="P3691" s="415">
        <v>891.7</v>
      </c>
      <c r="Q3691" s="481">
        <f t="shared" si="103"/>
        <v>0</v>
      </c>
    </row>
    <row r="3692" spans="1:17" x14ac:dyDescent="0.3">
      <c r="A3692" s="366" t="str">
        <f>IFERROR(VLOOKUP(RIGHT(E3692,3)+0,[1]SchLocTable!$A$2:$B$47,2,FALSE)," ")</f>
        <v>Hooker</v>
      </c>
      <c r="B3692" s="366" t="str">
        <f>VLOOKUP(VALUE(D3692),$D$3:F$106,3,FALSE)</f>
        <v>Security</v>
      </c>
      <c r="C3692" t="s">
        <v>314</v>
      </c>
      <c r="D3692">
        <v>883</v>
      </c>
      <c r="E3692" t="s">
        <v>1115</v>
      </c>
      <c r="F3692" t="s">
        <v>318</v>
      </c>
      <c r="G3692" t="s">
        <v>319</v>
      </c>
      <c r="H3692" s="502">
        <v>51140</v>
      </c>
      <c r="I3692" s="415">
        <v>825</v>
      </c>
      <c r="J3692" s="415">
        <v>825</v>
      </c>
      <c r="K3692" s="415">
        <v>750</v>
      </c>
      <c r="L3692" s="415">
        <v>0</v>
      </c>
      <c r="M3692" s="415">
        <v>0</v>
      </c>
      <c r="N3692" s="415">
        <v>0</v>
      </c>
      <c r="O3692" s="415">
        <v>0</v>
      </c>
      <c r="P3692" s="415">
        <v>0</v>
      </c>
      <c r="Q3692" s="481">
        <f t="shared" si="103"/>
        <v>0</v>
      </c>
    </row>
    <row r="3693" spans="1:17" x14ac:dyDescent="0.3">
      <c r="A3693" s="366" t="str">
        <f>IFERROR(VLOOKUP(RIGHT(E3693,3)+0,[1]SchLocTable!$A$2:$B$47,2,FALSE)," ")</f>
        <v>Hooker</v>
      </c>
      <c r="B3693" s="366" t="str">
        <f>VLOOKUP(VALUE(D3693),$D$3:F$106,3,FALSE)</f>
        <v>Security</v>
      </c>
      <c r="C3693" t="s">
        <v>314</v>
      </c>
      <c r="D3693">
        <v>883</v>
      </c>
      <c r="E3693" t="s">
        <v>1115</v>
      </c>
      <c r="F3693" t="s">
        <v>320</v>
      </c>
      <c r="G3693" t="s">
        <v>319</v>
      </c>
      <c r="H3693" s="502">
        <v>52360</v>
      </c>
      <c r="I3693" s="415">
        <v>721.98631999999998</v>
      </c>
      <c r="J3693" s="415">
        <v>682</v>
      </c>
      <c r="K3693" s="415">
        <v>703.72</v>
      </c>
      <c r="L3693" s="415">
        <v>553.80999999999995</v>
      </c>
      <c r="M3693" s="415">
        <v>475.11</v>
      </c>
      <c r="N3693" s="415">
        <v>634.98</v>
      </c>
      <c r="O3693" s="415">
        <v>788.6</v>
      </c>
      <c r="P3693" s="415">
        <v>634.54999999999995</v>
      </c>
      <c r="Q3693" s="481">
        <f t="shared" si="103"/>
        <v>-39.986319999999978</v>
      </c>
    </row>
    <row r="3694" spans="1:17" x14ac:dyDescent="0.3">
      <c r="A3694" s="366" t="str">
        <f>IFERROR(VLOOKUP(RIGHT(E3694,3)+0,[1]SchLocTable!$A$2:$B$47,2,FALSE)," ")</f>
        <v>Hooker</v>
      </c>
      <c r="B3694" s="366" t="str">
        <f>VLOOKUP(VALUE(D3694),$D$3:F$106,3,FALSE)</f>
        <v>Security</v>
      </c>
      <c r="C3694" t="s">
        <v>314</v>
      </c>
      <c r="D3694">
        <v>883</v>
      </c>
      <c r="E3694" t="s">
        <v>1115</v>
      </c>
      <c r="F3694" t="s">
        <v>392</v>
      </c>
      <c r="G3694" t="s">
        <v>319</v>
      </c>
      <c r="H3694" s="502">
        <v>52504</v>
      </c>
      <c r="I3694" s="415">
        <v>10346.810848000001</v>
      </c>
      <c r="J3694" s="415">
        <v>9767</v>
      </c>
      <c r="K3694" s="415">
        <v>9583.66</v>
      </c>
      <c r="L3694" s="415">
        <v>7381.41</v>
      </c>
      <c r="M3694" s="415">
        <v>6854.72</v>
      </c>
      <c r="N3694" s="415">
        <v>7985.56</v>
      </c>
      <c r="O3694" s="415">
        <v>8957</v>
      </c>
      <c r="P3694" s="415">
        <v>5966.01</v>
      </c>
      <c r="Q3694" s="481">
        <f t="shared" si="103"/>
        <v>-579.81084800000099</v>
      </c>
    </row>
    <row r="3695" spans="1:17" x14ac:dyDescent="0.3">
      <c r="A3695" s="366" t="str">
        <f>IFERROR(VLOOKUP(RIGHT(E3695,3)+0,[1]SchLocTable!$A$2:$B$47,2,FALSE)," ")</f>
        <v>Hooker</v>
      </c>
      <c r="B3695" s="366" t="str">
        <f>VLOOKUP(VALUE(D3695),$D$3:F$106,3,FALSE)</f>
        <v>Security</v>
      </c>
      <c r="C3695" t="s">
        <v>314</v>
      </c>
      <c r="D3695">
        <v>883</v>
      </c>
      <c r="E3695" t="s">
        <v>1115</v>
      </c>
      <c r="F3695" t="s">
        <v>483</v>
      </c>
      <c r="G3695" t="s">
        <v>319</v>
      </c>
      <c r="H3695" s="502">
        <v>51122</v>
      </c>
      <c r="I3695" s="415">
        <v>0</v>
      </c>
      <c r="J3695" s="415">
        <v>0</v>
      </c>
      <c r="K3695" s="415">
        <v>0</v>
      </c>
      <c r="L3695" s="415">
        <v>0</v>
      </c>
      <c r="M3695" s="415">
        <v>294.58</v>
      </c>
      <c r="N3695" s="415">
        <v>0</v>
      </c>
      <c r="O3695" s="415">
        <v>813.6</v>
      </c>
      <c r="P3695" s="415">
        <v>0</v>
      </c>
      <c r="Q3695" s="481">
        <f t="shared" si="103"/>
        <v>0</v>
      </c>
    </row>
    <row r="3696" spans="1:17" x14ac:dyDescent="0.3">
      <c r="A3696" s="366" t="str">
        <f>IFERROR(VLOOKUP(RIGHT(E3696,3)+0,[1]SchLocTable!$A$2:$B$47,2,FALSE)," ")</f>
        <v>Batalla</v>
      </c>
      <c r="B3696" s="366" t="str">
        <f>VLOOKUP(VALUE(D3696),$D$3:F$106,3,FALSE)</f>
        <v>Security</v>
      </c>
      <c r="C3696" t="s">
        <v>314</v>
      </c>
      <c r="D3696">
        <v>883</v>
      </c>
      <c r="E3696" t="s">
        <v>1116</v>
      </c>
      <c r="F3696" t="s">
        <v>316</v>
      </c>
      <c r="G3696">
        <v>2</v>
      </c>
      <c r="H3696" s="502">
        <v>51000</v>
      </c>
      <c r="I3696" s="415">
        <v>94012.775999999983</v>
      </c>
      <c r="J3696" s="415">
        <v>92352</v>
      </c>
      <c r="K3696" s="415">
        <v>86666.28</v>
      </c>
      <c r="L3696" s="415">
        <v>74241.8</v>
      </c>
      <c r="M3696" s="415">
        <v>79623.8</v>
      </c>
      <c r="N3696" s="415">
        <v>54747.31</v>
      </c>
      <c r="O3696" s="415">
        <v>80511.289999999994</v>
      </c>
      <c r="P3696" s="415">
        <v>80987.259999999995</v>
      </c>
      <c r="Q3696" s="481">
        <f t="shared" si="103"/>
        <v>-1660.7759999999835</v>
      </c>
    </row>
    <row r="3697" spans="1:17" x14ac:dyDescent="0.3">
      <c r="A3697" s="366" t="str">
        <f>IFERROR(VLOOKUP(RIGHT(E3697,3)+0,[1]SchLocTable!$A$2:$B$47,2,FALSE)," ")</f>
        <v>Batalla</v>
      </c>
      <c r="B3697" s="366" t="str">
        <f>VLOOKUP(VALUE(D3697),$D$3:F$106,3,FALSE)</f>
        <v>Security</v>
      </c>
      <c r="C3697" t="s">
        <v>314</v>
      </c>
      <c r="D3697">
        <v>883</v>
      </c>
      <c r="E3697" t="s">
        <v>1116</v>
      </c>
      <c r="F3697" t="s">
        <v>360</v>
      </c>
      <c r="G3697" t="s">
        <v>319</v>
      </c>
      <c r="H3697" s="502">
        <v>52920</v>
      </c>
      <c r="I3697" s="415">
        <v>1000</v>
      </c>
      <c r="J3697" s="415">
        <v>0</v>
      </c>
      <c r="K3697" s="415">
        <v>0</v>
      </c>
      <c r="L3697" s="415">
        <v>0</v>
      </c>
      <c r="M3697" s="415">
        <v>2000</v>
      </c>
      <c r="N3697" s="415">
        <v>333.34</v>
      </c>
      <c r="O3697" s="415">
        <v>1000</v>
      </c>
      <c r="P3697" s="415">
        <v>0</v>
      </c>
      <c r="Q3697" s="481">
        <f t="shared" si="103"/>
        <v>-1000</v>
      </c>
    </row>
    <row r="3698" spans="1:17" x14ac:dyDescent="0.3">
      <c r="A3698" s="366" t="str">
        <f>IFERROR(VLOOKUP(RIGHT(E3698,3)+0,[1]SchLocTable!$A$2:$B$47,2,FALSE)," ")</f>
        <v>Batalla</v>
      </c>
      <c r="B3698" s="366" t="str">
        <f>VLOOKUP(VALUE(D3698),$D$3:F$106,3,FALSE)</f>
        <v>Security</v>
      </c>
      <c r="C3698" t="s">
        <v>314</v>
      </c>
      <c r="D3698">
        <v>883</v>
      </c>
      <c r="E3698" t="s">
        <v>1116</v>
      </c>
      <c r="F3698" t="s">
        <v>321</v>
      </c>
      <c r="G3698" t="s">
        <v>319</v>
      </c>
      <c r="H3698" s="502">
        <v>52917</v>
      </c>
      <c r="I3698" s="415">
        <v>14780.687999999996</v>
      </c>
      <c r="J3698" s="415">
        <v>24501</v>
      </c>
      <c r="K3698" s="415">
        <v>19484.240000000002</v>
      </c>
      <c r="L3698" s="415">
        <v>17585.84</v>
      </c>
      <c r="M3698" s="415">
        <v>8679.39</v>
      </c>
      <c r="N3698" s="415">
        <v>25060.45</v>
      </c>
      <c r="O3698" s="415">
        <v>45045.24</v>
      </c>
      <c r="P3698" s="415">
        <v>47516.49</v>
      </c>
      <c r="Q3698" s="481">
        <f t="shared" si="103"/>
        <v>9720.3120000000035</v>
      </c>
    </row>
    <row r="3699" spans="1:17" x14ac:dyDescent="0.3">
      <c r="A3699" s="366" t="str">
        <f>IFERROR(VLOOKUP(RIGHT(E3699,3)+0,[1]SchLocTable!$A$2:$B$47,2,FALSE)," ")</f>
        <v>Batalla</v>
      </c>
      <c r="B3699" s="366" t="str">
        <f>VLOOKUP(VALUE(D3699),$D$3:F$106,3,FALSE)</f>
        <v>Security</v>
      </c>
      <c r="C3699" t="s">
        <v>314</v>
      </c>
      <c r="D3699">
        <v>883</v>
      </c>
      <c r="E3699" t="s">
        <v>1116</v>
      </c>
      <c r="F3699" t="s">
        <v>318</v>
      </c>
      <c r="G3699" t="s">
        <v>319</v>
      </c>
      <c r="H3699" s="502">
        <v>51140</v>
      </c>
      <c r="I3699" s="415">
        <v>900</v>
      </c>
      <c r="J3699" s="415">
        <v>900</v>
      </c>
      <c r="K3699" s="415">
        <v>825</v>
      </c>
      <c r="L3699" s="415">
        <v>750</v>
      </c>
      <c r="M3699" s="415">
        <v>0</v>
      </c>
      <c r="N3699" s="415">
        <v>2775</v>
      </c>
      <c r="O3699" s="415">
        <v>5062.5</v>
      </c>
      <c r="P3699" s="415">
        <v>3675</v>
      </c>
      <c r="Q3699" s="481">
        <f t="shared" si="103"/>
        <v>0</v>
      </c>
    </row>
    <row r="3700" spans="1:17" x14ac:dyDescent="0.3">
      <c r="A3700" s="366" t="str">
        <f>IFERROR(VLOOKUP(RIGHT(E3700,3)+0,[1]SchLocTable!$A$2:$B$47,2,FALSE)," ")</f>
        <v>Batalla</v>
      </c>
      <c r="B3700" s="366" t="str">
        <f>VLOOKUP(VALUE(D3700),$D$3:F$106,3,FALSE)</f>
        <v>Security</v>
      </c>
      <c r="C3700" t="s">
        <v>314</v>
      </c>
      <c r="D3700">
        <v>883</v>
      </c>
      <c r="E3700" t="s">
        <v>1116</v>
      </c>
      <c r="F3700" t="s">
        <v>320</v>
      </c>
      <c r="G3700" t="s">
        <v>319</v>
      </c>
      <c r="H3700" s="502">
        <v>52360</v>
      </c>
      <c r="I3700" s="415">
        <v>1377.6852519999998</v>
      </c>
      <c r="J3700" s="415">
        <v>1219</v>
      </c>
      <c r="K3700" s="415">
        <v>1158.8800000000001</v>
      </c>
      <c r="L3700" s="415">
        <v>1093.69</v>
      </c>
      <c r="M3700" s="415">
        <v>1200.3699999999999</v>
      </c>
      <c r="N3700" s="415">
        <v>851.23</v>
      </c>
      <c r="O3700" s="415">
        <v>1961.9</v>
      </c>
      <c r="P3700" s="415">
        <v>1107.17</v>
      </c>
      <c r="Q3700" s="481">
        <f t="shared" si="103"/>
        <v>-158.68525199999976</v>
      </c>
    </row>
    <row r="3701" spans="1:17" x14ac:dyDescent="0.3">
      <c r="A3701" s="366" t="str">
        <f>IFERROR(VLOOKUP(RIGHT(E3701,3)+0,[1]SchLocTable!$A$2:$B$47,2,FALSE)," ")</f>
        <v>Batalla</v>
      </c>
      <c r="B3701" s="366" t="str">
        <f>VLOOKUP(VALUE(D3701),$D$3:F$106,3,FALSE)</f>
        <v>Security</v>
      </c>
      <c r="C3701" t="s">
        <v>314</v>
      </c>
      <c r="D3701">
        <v>883</v>
      </c>
      <c r="E3701" t="s">
        <v>1116</v>
      </c>
      <c r="F3701" t="s">
        <v>392</v>
      </c>
      <c r="G3701" t="s">
        <v>319</v>
      </c>
      <c r="H3701" s="502">
        <v>52504</v>
      </c>
      <c r="I3701" s="415">
        <v>19743.654852799998</v>
      </c>
      <c r="J3701" s="415">
        <v>19378</v>
      </c>
      <c r="K3701" s="415">
        <v>17843.23</v>
      </c>
      <c r="L3701" s="415">
        <v>16418.97</v>
      </c>
      <c r="M3701" s="415">
        <v>17824.78</v>
      </c>
      <c r="N3701" s="415">
        <v>10555.71</v>
      </c>
      <c r="O3701" s="415">
        <v>14302.76</v>
      </c>
      <c r="P3701" s="415">
        <v>12094.24</v>
      </c>
      <c r="Q3701" s="481">
        <f t="shared" si="103"/>
        <v>-365.65485279999848</v>
      </c>
    </row>
    <row r="3702" spans="1:17" x14ac:dyDescent="0.3">
      <c r="A3702" s="366" t="str">
        <f>IFERROR(VLOOKUP(RIGHT(E3702,3)+0,[1]SchLocTable!$A$2:$B$47,2,FALSE)," ")</f>
        <v>Batalla</v>
      </c>
      <c r="B3702" s="366" t="str">
        <f>VLOOKUP(VALUE(D3702),$D$3:F$106,3,FALSE)</f>
        <v>Security</v>
      </c>
      <c r="C3702" t="s">
        <v>314</v>
      </c>
      <c r="D3702">
        <v>883</v>
      </c>
      <c r="E3702" t="s">
        <v>1116</v>
      </c>
      <c r="F3702" t="s">
        <v>452</v>
      </c>
      <c r="G3702" t="s">
        <v>319</v>
      </c>
      <c r="H3702" s="502">
        <v>51108</v>
      </c>
      <c r="I3702" s="415">
        <v>0</v>
      </c>
      <c r="J3702" s="415">
        <v>0</v>
      </c>
      <c r="K3702" s="415">
        <v>0</v>
      </c>
      <c r="L3702" s="415">
        <v>178.08</v>
      </c>
      <c r="M3702" s="415">
        <v>61.23</v>
      </c>
      <c r="N3702" s="415">
        <v>236.16</v>
      </c>
      <c r="O3702" s="415">
        <v>0</v>
      </c>
      <c r="P3702" s="415">
        <v>0</v>
      </c>
      <c r="Q3702" s="481">
        <f t="shared" si="103"/>
        <v>0</v>
      </c>
    </row>
    <row r="3703" spans="1:17" x14ac:dyDescent="0.3">
      <c r="A3703" s="366" t="str">
        <f>IFERROR(VLOOKUP(RIGHT(E3703,3)+0,[1]SchLocTable!$A$2:$B$47,2,FALSE)," ")</f>
        <v>Batalla</v>
      </c>
      <c r="B3703" s="366" t="str">
        <f>VLOOKUP(VALUE(D3703),$D$3:F$106,3,FALSE)</f>
        <v>Security</v>
      </c>
      <c r="C3703" t="s">
        <v>314</v>
      </c>
      <c r="D3703">
        <v>883</v>
      </c>
      <c r="E3703" t="s">
        <v>1116</v>
      </c>
      <c r="F3703" t="s">
        <v>483</v>
      </c>
      <c r="G3703" t="s">
        <v>319</v>
      </c>
      <c r="H3703" s="502">
        <v>51122</v>
      </c>
      <c r="I3703" s="415">
        <v>91.062400000000011</v>
      </c>
      <c r="J3703" s="415">
        <v>0</v>
      </c>
      <c r="K3703" s="415">
        <v>0</v>
      </c>
      <c r="L3703" s="415">
        <v>4379.8599999999997</v>
      </c>
      <c r="M3703" s="415">
        <v>3698.87</v>
      </c>
      <c r="N3703" s="415">
        <v>0</v>
      </c>
      <c r="O3703" s="415">
        <v>1286.17</v>
      </c>
      <c r="P3703" s="415">
        <v>0</v>
      </c>
      <c r="Q3703" s="481">
        <f t="shared" si="103"/>
        <v>-91.062400000000011</v>
      </c>
    </row>
    <row r="3704" spans="1:17" x14ac:dyDescent="0.3">
      <c r="A3704" s="366" t="str">
        <f>IFERROR(VLOOKUP(RIGHT(E3704,3)+0,[1]SchLocTable!$A$2:$B$47,2,FALSE)," ")</f>
        <v>Batalla</v>
      </c>
      <c r="B3704" s="366" t="str">
        <f>VLOOKUP(VALUE(D3704),$D$3:F$106,3,FALSE)</f>
        <v>Security</v>
      </c>
      <c r="C3704" t="s">
        <v>314</v>
      </c>
      <c r="D3704">
        <v>883</v>
      </c>
      <c r="E3704" t="s">
        <v>1116</v>
      </c>
      <c r="F3704" t="s">
        <v>324</v>
      </c>
      <c r="G3704" t="s">
        <v>319</v>
      </c>
      <c r="H3704" s="502">
        <v>52385</v>
      </c>
      <c r="I3704" s="415">
        <v>0</v>
      </c>
      <c r="J3704" s="415">
        <v>0</v>
      </c>
      <c r="K3704" s="415">
        <v>0</v>
      </c>
      <c r="L3704" s="415">
        <v>0</v>
      </c>
      <c r="M3704" s="415">
        <v>0</v>
      </c>
      <c r="N3704" s="415">
        <v>0</v>
      </c>
      <c r="O3704" s="415">
        <v>0</v>
      </c>
      <c r="P3704" s="415">
        <v>0</v>
      </c>
      <c r="Q3704" s="481">
        <f t="shared" si="103"/>
        <v>0</v>
      </c>
    </row>
    <row r="3705" spans="1:17" x14ac:dyDescent="0.3">
      <c r="A3705" s="366" t="str">
        <f>IFERROR(VLOOKUP(RIGHT(E3705,3)+0,[1]SchLocTable!$A$2:$B$47,2,FALSE)," ")</f>
        <v>Batalla</v>
      </c>
      <c r="B3705" s="366" t="str">
        <f>VLOOKUP(VALUE(D3705),$D$3:F$106,3,FALSE)</f>
        <v>Security</v>
      </c>
      <c r="C3705" t="s">
        <v>314</v>
      </c>
      <c r="D3705">
        <v>883</v>
      </c>
      <c r="E3705" t="s">
        <v>1116</v>
      </c>
      <c r="F3705" t="s">
        <v>356</v>
      </c>
      <c r="G3705" t="s">
        <v>319</v>
      </c>
      <c r="H3705" s="502">
        <v>51156</v>
      </c>
      <c r="I3705" s="415">
        <v>0</v>
      </c>
      <c r="J3705" s="415">
        <v>0</v>
      </c>
      <c r="K3705" s="415">
        <v>877.2</v>
      </c>
      <c r="L3705" s="415">
        <v>851.6</v>
      </c>
      <c r="M3705" s="415">
        <v>0</v>
      </c>
      <c r="N3705" s="415">
        <v>0</v>
      </c>
      <c r="O3705" s="415">
        <v>0</v>
      </c>
      <c r="P3705" s="415">
        <v>0</v>
      </c>
      <c r="Q3705" s="481">
        <f t="shared" si="103"/>
        <v>0</v>
      </c>
    </row>
    <row r="3706" spans="1:17" x14ac:dyDescent="0.3">
      <c r="A3706" s="366" t="str">
        <f>IFERROR(VLOOKUP(RIGHT(E3706,3)+0,[1]SchLocTable!$A$2:$B$47,2,FALSE)," ")</f>
        <v>Info Tech HS</v>
      </c>
      <c r="B3706" s="366" t="str">
        <f>VLOOKUP(VALUE(D3706),$D$3:F$106,3,FALSE)</f>
        <v>Security</v>
      </c>
      <c r="C3706" t="s">
        <v>314</v>
      </c>
      <c r="D3706">
        <v>883</v>
      </c>
      <c r="E3706" t="s">
        <v>1117</v>
      </c>
      <c r="F3706" t="s">
        <v>316</v>
      </c>
      <c r="G3706">
        <v>1</v>
      </c>
      <c r="H3706" s="502">
        <v>51000</v>
      </c>
      <c r="I3706" s="415">
        <v>46995.623999999996</v>
      </c>
      <c r="J3706" s="415">
        <v>43604.82</v>
      </c>
      <c r="K3706" s="415">
        <v>42247.360000000001</v>
      </c>
      <c r="L3706" s="415">
        <v>17616.48</v>
      </c>
      <c r="M3706" s="415">
        <v>0</v>
      </c>
      <c r="N3706" s="415">
        <v>0</v>
      </c>
      <c r="O3706" s="415">
        <v>0</v>
      </c>
      <c r="P3706" s="415">
        <v>0</v>
      </c>
      <c r="Q3706" s="481">
        <f t="shared" si="103"/>
        <v>-3390.8039999999964</v>
      </c>
    </row>
    <row r="3707" spans="1:17" x14ac:dyDescent="0.3">
      <c r="A3707" s="366" t="str">
        <f>IFERROR(VLOOKUP(RIGHT(E3707,3)+0,[1]SchLocTable!$A$2:$B$47,2,FALSE)," ")</f>
        <v>Info Tech HS</v>
      </c>
      <c r="B3707" s="366" t="str">
        <f>VLOOKUP(VALUE(D3707),$D$3:F$106,3,FALSE)</f>
        <v>Security</v>
      </c>
      <c r="C3707" t="s">
        <v>314</v>
      </c>
      <c r="D3707">
        <v>883</v>
      </c>
      <c r="E3707" t="s">
        <v>1117</v>
      </c>
      <c r="F3707" t="s">
        <v>360</v>
      </c>
      <c r="G3707" t="s">
        <v>319</v>
      </c>
      <c r="H3707" s="502">
        <v>52920</v>
      </c>
      <c r="I3707" s="415">
        <v>2000</v>
      </c>
      <c r="J3707" s="415">
        <v>0</v>
      </c>
      <c r="K3707" s="415">
        <v>1833.35</v>
      </c>
      <c r="L3707" s="415">
        <v>833.35</v>
      </c>
      <c r="M3707" s="415">
        <v>0</v>
      </c>
      <c r="N3707" s="415">
        <v>0</v>
      </c>
      <c r="O3707" s="415">
        <v>0</v>
      </c>
      <c r="P3707" s="415">
        <v>0</v>
      </c>
      <c r="Q3707" s="481">
        <f t="shared" si="103"/>
        <v>-2000</v>
      </c>
    </row>
    <row r="3708" spans="1:17" x14ac:dyDescent="0.3">
      <c r="A3708" s="366" t="str">
        <f>IFERROR(VLOOKUP(RIGHT(E3708,3)+0,[1]SchLocTable!$A$2:$B$47,2,FALSE)," ")</f>
        <v>Info Tech HS</v>
      </c>
      <c r="B3708" s="366" t="str">
        <f>VLOOKUP(VALUE(D3708),$D$3:F$106,3,FALSE)</f>
        <v>Security</v>
      </c>
      <c r="C3708" t="s">
        <v>314</v>
      </c>
      <c r="D3708">
        <v>883</v>
      </c>
      <c r="E3708" t="s">
        <v>1117</v>
      </c>
      <c r="F3708" t="s">
        <v>320</v>
      </c>
      <c r="G3708" t="s">
        <v>319</v>
      </c>
      <c r="H3708" s="502">
        <v>52360</v>
      </c>
      <c r="I3708" s="415">
        <v>710.43654800000002</v>
      </c>
      <c r="J3708" s="415">
        <v>632.27</v>
      </c>
      <c r="K3708" s="415">
        <v>641.17999999999995</v>
      </c>
      <c r="L3708" s="415">
        <v>267.51</v>
      </c>
      <c r="M3708" s="415">
        <v>0</v>
      </c>
      <c r="N3708" s="415">
        <v>0</v>
      </c>
      <c r="O3708" s="415">
        <v>0</v>
      </c>
      <c r="P3708" s="415">
        <v>0</v>
      </c>
      <c r="Q3708" s="481">
        <f t="shared" si="103"/>
        <v>-78.166548000000034</v>
      </c>
    </row>
    <row r="3709" spans="1:17" x14ac:dyDescent="0.3">
      <c r="A3709" s="366" t="str">
        <f>IFERROR(VLOOKUP(RIGHT(E3709,3)+0,[1]SchLocTable!$A$2:$B$47,2,FALSE)," ")</f>
        <v>Info Tech HS</v>
      </c>
      <c r="B3709" s="366" t="str">
        <f>VLOOKUP(VALUE(D3709),$D$3:F$106,3,FALSE)</f>
        <v>Security</v>
      </c>
      <c r="C3709" t="s">
        <v>314</v>
      </c>
      <c r="D3709">
        <v>883</v>
      </c>
      <c r="E3709" t="s">
        <v>1117</v>
      </c>
      <c r="F3709" t="s">
        <v>392</v>
      </c>
      <c r="G3709" t="s">
        <v>319</v>
      </c>
      <c r="H3709" s="502">
        <v>52504</v>
      </c>
      <c r="I3709" s="415">
        <v>10181.290667200001</v>
      </c>
      <c r="J3709" s="415">
        <v>9061.08</v>
      </c>
      <c r="K3709" s="415">
        <v>8029.98</v>
      </c>
      <c r="L3709" s="415">
        <v>0</v>
      </c>
      <c r="M3709" s="415">
        <v>0</v>
      </c>
      <c r="N3709" s="415">
        <v>0</v>
      </c>
      <c r="O3709" s="415">
        <v>0</v>
      </c>
      <c r="P3709" s="415">
        <v>0</v>
      </c>
      <c r="Q3709" s="481">
        <f t="shared" si="103"/>
        <v>-1120.2106672000009</v>
      </c>
    </row>
    <row r="3710" spans="1:17" x14ac:dyDescent="0.3">
      <c r="A3710" s="366" t="str">
        <f>IFERROR(VLOOKUP(RIGHT(E3710,3)+0,[1]SchLocTable!$A$2:$B$47,2,FALSE)," ")</f>
        <v>Info Tech HS</v>
      </c>
      <c r="B3710" s="366" t="str">
        <f>VLOOKUP(VALUE(D3710),$D$3:F$106,3,FALSE)</f>
        <v>Security</v>
      </c>
      <c r="C3710" t="s">
        <v>314</v>
      </c>
      <c r="D3710">
        <v>883</v>
      </c>
      <c r="E3710" t="s">
        <v>1117</v>
      </c>
      <c r="F3710" t="s">
        <v>452</v>
      </c>
      <c r="G3710" t="s">
        <v>319</v>
      </c>
      <c r="H3710" s="502">
        <v>51108</v>
      </c>
      <c r="I3710" s="415">
        <v>0</v>
      </c>
      <c r="J3710" s="415">
        <v>0</v>
      </c>
      <c r="K3710" s="415">
        <v>135.15</v>
      </c>
      <c r="L3710" s="415">
        <v>0</v>
      </c>
      <c r="M3710" s="415">
        <v>0</v>
      </c>
      <c r="N3710" s="415">
        <v>0</v>
      </c>
      <c r="O3710" s="415">
        <v>0</v>
      </c>
      <c r="P3710" s="415">
        <v>0</v>
      </c>
      <c r="Q3710" s="481">
        <f t="shared" si="103"/>
        <v>0</v>
      </c>
    </row>
    <row r="3711" spans="1:17" x14ac:dyDescent="0.3">
      <c r="A3711" s="366" t="str">
        <f>IFERROR(VLOOKUP(RIGHT(E3711,3)+0,[1]SchLocTable!$A$2:$B$47,2,FALSE)," ")</f>
        <v>Info Tech HS</v>
      </c>
      <c r="B3711" s="366" t="str">
        <f>VLOOKUP(VALUE(D3711),$D$3:F$106,3,FALSE)</f>
        <v>Security</v>
      </c>
      <c r="C3711" t="s">
        <v>314</v>
      </c>
      <c r="D3711">
        <v>883</v>
      </c>
      <c r="E3711" t="s">
        <v>1117</v>
      </c>
      <c r="F3711" t="s">
        <v>324</v>
      </c>
      <c r="G3711" t="s">
        <v>319</v>
      </c>
      <c r="H3711" s="502">
        <v>52385</v>
      </c>
      <c r="I3711" s="415">
        <v>0</v>
      </c>
      <c r="J3711" s="415">
        <v>0</v>
      </c>
      <c r="K3711" s="415">
        <v>210.3</v>
      </c>
      <c r="L3711" s="415">
        <v>1143.8900000000001</v>
      </c>
      <c r="M3711" s="415">
        <v>0</v>
      </c>
      <c r="N3711" s="415">
        <v>0</v>
      </c>
      <c r="O3711" s="415">
        <v>0</v>
      </c>
      <c r="P3711" s="415">
        <v>0</v>
      </c>
      <c r="Q3711" s="481">
        <f t="shared" ref="Q3711:Q3774" si="104">J3711-I3711</f>
        <v>0</v>
      </c>
    </row>
    <row r="3712" spans="1:17" x14ac:dyDescent="0.3">
      <c r="A3712" s="366" t="str">
        <f>IFERROR(VLOOKUP(RIGHT(E3712,3)+0,[1]SchLocTable!$A$2:$B$47,2,FALSE)," ")</f>
        <v>BMA HS</v>
      </c>
      <c r="B3712" s="366" t="str">
        <f>VLOOKUP(VALUE(D3712),$D$3:F$106,3,FALSE)</f>
        <v>Security</v>
      </c>
      <c r="C3712" t="s">
        <v>314</v>
      </c>
      <c r="D3712">
        <v>883</v>
      </c>
      <c r="E3712" t="s">
        <v>1118</v>
      </c>
      <c r="F3712" t="s">
        <v>316</v>
      </c>
      <c r="G3712">
        <v>2</v>
      </c>
      <c r="H3712" s="502">
        <v>51000</v>
      </c>
      <c r="I3712" s="415">
        <v>47792.159999999996</v>
      </c>
      <c r="J3712" s="415">
        <v>47126.82</v>
      </c>
      <c r="K3712" s="415">
        <v>84210.38</v>
      </c>
      <c r="L3712" s="415">
        <v>70244.149999999994</v>
      </c>
      <c r="M3712" s="415">
        <v>85448.9</v>
      </c>
      <c r="N3712" s="415">
        <v>73800.63</v>
      </c>
      <c r="O3712" s="415">
        <v>81266.960000000006</v>
      </c>
      <c r="P3712" s="415">
        <v>84186.96</v>
      </c>
      <c r="Q3712" s="481">
        <f t="shared" si="104"/>
        <v>-665.33999999999651</v>
      </c>
    </row>
    <row r="3713" spans="1:17" x14ac:dyDescent="0.3">
      <c r="A3713" s="366" t="str">
        <f>IFERROR(VLOOKUP(RIGHT(E3713,3)+0,[1]SchLocTable!$A$2:$B$47,2,FALSE)," ")</f>
        <v>BMA HS</v>
      </c>
      <c r="B3713" s="366" t="str">
        <f>VLOOKUP(VALUE(D3713),$D$3:F$106,3,FALSE)</f>
        <v>Security</v>
      </c>
      <c r="C3713" t="s">
        <v>314</v>
      </c>
      <c r="D3713">
        <v>883</v>
      </c>
      <c r="E3713" t="s">
        <v>1118</v>
      </c>
      <c r="F3713" t="s">
        <v>360</v>
      </c>
      <c r="G3713" t="s">
        <v>319</v>
      </c>
      <c r="H3713" s="502">
        <v>52920</v>
      </c>
      <c r="I3713" s="415">
        <v>4000</v>
      </c>
      <c r="J3713" s="415">
        <v>4000</v>
      </c>
      <c r="K3713" s="415">
        <v>4000</v>
      </c>
      <c r="L3713" s="415">
        <v>2000</v>
      </c>
      <c r="M3713" s="415">
        <v>3000</v>
      </c>
      <c r="N3713" s="415">
        <v>0</v>
      </c>
      <c r="O3713" s="415">
        <v>0</v>
      </c>
      <c r="P3713" s="415">
        <v>0</v>
      </c>
      <c r="Q3713" s="481">
        <f t="shared" si="104"/>
        <v>0</v>
      </c>
    </row>
    <row r="3714" spans="1:17" x14ac:dyDescent="0.3">
      <c r="A3714" s="366" t="str">
        <f>IFERROR(VLOOKUP(RIGHT(E3714,3)+0,[1]SchLocTable!$A$2:$B$47,2,FALSE)," ")</f>
        <v>BMA HS</v>
      </c>
      <c r="B3714" s="366" t="str">
        <f>VLOOKUP(VALUE(D3714),$D$3:F$106,3,FALSE)</f>
        <v>Security</v>
      </c>
      <c r="C3714" t="s">
        <v>314</v>
      </c>
      <c r="D3714">
        <v>883</v>
      </c>
      <c r="E3714" t="s">
        <v>1118</v>
      </c>
      <c r="F3714" t="s">
        <v>321</v>
      </c>
      <c r="G3714" t="s">
        <v>319</v>
      </c>
      <c r="H3714" s="502">
        <v>52917</v>
      </c>
      <c r="I3714" s="415">
        <v>0</v>
      </c>
      <c r="J3714" s="415">
        <v>6.32</v>
      </c>
      <c r="K3714" s="415">
        <v>420.7</v>
      </c>
      <c r="L3714" s="415">
        <v>17478.580000000002</v>
      </c>
      <c r="M3714" s="415">
        <v>33085.18</v>
      </c>
      <c r="N3714" s="415">
        <v>38376.36</v>
      </c>
      <c r="O3714" s="415">
        <v>37392.800000000003</v>
      </c>
      <c r="P3714" s="415">
        <v>35565.620000000003</v>
      </c>
      <c r="Q3714" s="481">
        <f t="shared" si="104"/>
        <v>6.32</v>
      </c>
    </row>
    <row r="3715" spans="1:17" x14ac:dyDescent="0.3">
      <c r="A3715" s="366" t="str">
        <f>IFERROR(VLOOKUP(RIGHT(E3715,3)+0,[1]SchLocTable!$A$2:$B$47,2,FALSE)," ")</f>
        <v>BMA HS</v>
      </c>
      <c r="B3715" s="366" t="str">
        <f>VLOOKUP(VALUE(D3715),$D$3:F$106,3,FALSE)</f>
        <v>Security</v>
      </c>
      <c r="C3715" t="s">
        <v>314</v>
      </c>
      <c r="D3715">
        <v>883</v>
      </c>
      <c r="E3715" t="s">
        <v>1118</v>
      </c>
      <c r="F3715" t="s">
        <v>318</v>
      </c>
      <c r="G3715" t="s">
        <v>319</v>
      </c>
      <c r="H3715" s="502">
        <v>51140</v>
      </c>
      <c r="I3715" s="415">
        <v>0</v>
      </c>
      <c r="J3715" s="415">
        <v>0</v>
      </c>
      <c r="K3715" s="415">
        <v>0</v>
      </c>
      <c r="L3715" s="415">
        <v>1125</v>
      </c>
      <c r="M3715" s="415">
        <v>2100</v>
      </c>
      <c r="N3715" s="415">
        <v>1950</v>
      </c>
      <c r="O3715" s="415">
        <v>1800</v>
      </c>
      <c r="P3715" s="415">
        <v>1650</v>
      </c>
      <c r="Q3715" s="481">
        <f t="shared" si="104"/>
        <v>0</v>
      </c>
    </row>
    <row r="3716" spans="1:17" x14ac:dyDescent="0.3">
      <c r="A3716" s="366" t="str">
        <f>IFERROR(VLOOKUP(RIGHT(E3716,3)+0,[1]SchLocTable!$A$2:$B$47,2,FALSE)," ")</f>
        <v>BMA HS</v>
      </c>
      <c r="B3716" s="366" t="str">
        <f>VLOOKUP(VALUE(D3716),$D$3:F$106,3,FALSE)</f>
        <v>Security</v>
      </c>
      <c r="C3716" t="s">
        <v>314</v>
      </c>
      <c r="D3716">
        <v>883</v>
      </c>
      <c r="E3716" t="s">
        <v>1118</v>
      </c>
      <c r="F3716" t="s">
        <v>320</v>
      </c>
      <c r="G3716" t="s">
        <v>319</v>
      </c>
      <c r="H3716" s="502">
        <v>52360</v>
      </c>
      <c r="I3716" s="415">
        <v>912.29293299999995</v>
      </c>
      <c r="J3716" s="415">
        <v>684.84</v>
      </c>
      <c r="K3716" s="415">
        <v>1377.29</v>
      </c>
      <c r="L3716" s="415">
        <v>1016.2</v>
      </c>
      <c r="M3716" s="415">
        <v>1444.28</v>
      </c>
      <c r="N3716" s="415">
        <v>1126.58</v>
      </c>
      <c r="O3716" s="415">
        <v>1204.47</v>
      </c>
      <c r="P3716" s="415">
        <v>1245.5</v>
      </c>
      <c r="Q3716" s="481">
        <f t="shared" si="104"/>
        <v>-227.45293299999992</v>
      </c>
    </row>
    <row r="3717" spans="1:17" x14ac:dyDescent="0.3">
      <c r="A3717" s="366" t="str">
        <f>IFERROR(VLOOKUP(RIGHT(E3717,3)+0,[1]SchLocTable!$A$2:$B$47,2,FALSE)," ")</f>
        <v>BMA HS</v>
      </c>
      <c r="B3717" s="366" t="str">
        <f>VLOOKUP(VALUE(D3717),$D$3:F$106,3,FALSE)</f>
        <v>Security</v>
      </c>
      <c r="C3717" t="s">
        <v>314</v>
      </c>
      <c r="D3717">
        <v>883</v>
      </c>
      <c r="E3717" t="s">
        <v>1118</v>
      </c>
      <c r="F3717" t="s">
        <v>392</v>
      </c>
      <c r="G3717" t="s">
        <v>319</v>
      </c>
      <c r="H3717" s="502">
        <v>52504</v>
      </c>
      <c r="I3717" s="415">
        <v>13074.101481200001</v>
      </c>
      <c r="J3717" s="415">
        <v>9743.08</v>
      </c>
      <c r="K3717" s="415">
        <v>18701.48</v>
      </c>
      <c r="L3717" s="415">
        <v>15596.05</v>
      </c>
      <c r="M3717" s="415">
        <v>20077.84</v>
      </c>
      <c r="N3717" s="415">
        <v>15192.18</v>
      </c>
      <c r="O3717" s="415">
        <v>13681.09</v>
      </c>
      <c r="P3717" s="415">
        <v>12269.72</v>
      </c>
      <c r="Q3717" s="481">
        <f t="shared" si="104"/>
        <v>-3331.0214812000013</v>
      </c>
    </row>
    <row r="3718" spans="1:17" x14ac:dyDescent="0.3">
      <c r="A3718" s="366" t="str">
        <f>IFERROR(VLOOKUP(RIGHT(E3718,3)+0,[1]SchLocTable!$A$2:$B$47,2,FALSE)," ")</f>
        <v>BMA HS</v>
      </c>
      <c r="B3718" s="366" t="str">
        <f>VLOOKUP(VALUE(D3718),$D$3:F$106,3,FALSE)</f>
        <v>Security</v>
      </c>
      <c r="C3718" t="s">
        <v>314</v>
      </c>
      <c r="D3718">
        <v>883</v>
      </c>
      <c r="E3718" t="s">
        <v>1118</v>
      </c>
      <c r="F3718" t="s">
        <v>419</v>
      </c>
      <c r="G3718" t="s">
        <v>319</v>
      </c>
      <c r="H3718" s="502">
        <v>51318</v>
      </c>
      <c r="I3718" s="415">
        <v>0</v>
      </c>
      <c r="J3718" s="415">
        <v>0</v>
      </c>
      <c r="K3718" s="415">
        <v>0</v>
      </c>
      <c r="L3718" s="415">
        <v>0</v>
      </c>
      <c r="M3718" s="415">
        <v>481.68</v>
      </c>
      <c r="N3718" s="415">
        <v>0</v>
      </c>
      <c r="O3718" s="415">
        <v>0</v>
      </c>
      <c r="P3718" s="415">
        <v>0</v>
      </c>
      <c r="Q3718" s="481">
        <f t="shared" si="104"/>
        <v>0</v>
      </c>
    </row>
    <row r="3719" spans="1:17" x14ac:dyDescent="0.3">
      <c r="A3719" s="366" t="str">
        <f>IFERROR(VLOOKUP(RIGHT(E3719,3)+0,[1]SchLocTable!$A$2:$B$47,2,FALSE)," ")</f>
        <v>BMA HS</v>
      </c>
      <c r="B3719" s="366" t="str">
        <f>VLOOKUP(VALUE(D3719),$D$3:F$106,3,FALSE)</f>
        <v>Security</v>
      </c>
      <c r="C3719" t="s">
        <v>314</v>
      </c>
      <c r="D3719">
        <v>883</v>
      </c>
      <c r="E3719" t="s">
        <v>1118</v>
      </c>
      <c r="F3719" t="s">
        <v>452</v>
      </c>
      <c r="G3719" t="s">
        <v>319</v>
      </c>
      <c r="H3719" s="502">
        <v>51108</v>
      </c>
      <c r="I3719" s="415">
        <v>3584.4119999999994</v>
      </c>
      <c r="J3719" s="415">
        <v>33.299999999999997</v>
      </c>
      <c r="K3719" s="415">
        <v>2586.94</v>
      </c>
      <c r="L3719" s="415">
        <v>1271.9100000000001</v>
      </c>
      <c r="M3719" s="415">
        <v>1294.98</v>
      </c>
      <c r="N3719" s="415">
        <v>1240.1099999999999</v>
      </c>
      <c r="O3719" s="415">
        <v>0</v>
      </c>
      <c r="P3719" s="415">
        <v>0</v>
      </c>
      <c r="Q3719" s="481">
        <f t="shared" si="104"/>
        <v>-3551.1119999999992</v>
      </c>
    </row>
    <row r="3720" spans="1:17" x14ac:dyDescent="0.3">
      <c r="A3720" s="366" t="str">
        <f>IFERROR(VLOOKUP(RIGHT(E3720,3)+0,[1]SchLocTable!$A$2:$B$47,2,FALSE)," ")</f>
        <v>BMA HS</v>
      </c>
      <c r="B3720" s="366" t="str">
        <f>VLOOKUP(VALUE(D3720),$D$3:F$106,3,FALSE)</f>
        <v>Security</v>
      </c>
      <c r="C3720" t="s">
        <v>314</v>
      </c>
      <c r="D3720">
        <v>883</v>
      </c>
      <c r="E3720" t="s">
        <v>1118</v>
      </c>
      <c r="F3720" t="s">
        <v>483</v>
      </c>
      <c r="G3720" t="s">
        <v>319</v>
      </c>
      <c r="H3720" s="502">
        <v>51122</v>
      </c>
      <c r="I3720" s="415">
        <v>5934.832800000001</v>
      </c>
      <c r="J3720" s="415">
        <v>70.05</v>
      </c>
      <c r="K3720" s="415">
        <v>4011.24</v>
      </c>
      <c r="L3720" s="415">
        <v>2393.58</v>
      </c>
      <c r="M3720" s="415">
        <v>2908.61</v>
      </c>
      <c r="N3720" s="415">
        <v>2494.23</v>
      </c>
      <c r="O3720" s="415">
        <v>0</v>
      </c>
      <c r="P3720" s="415">
        <v>58.92</v>
      </c>
      <c r="Q3720" s="481">
        <f t="shared" si="104"/>
        <v>-5864.7828000000009</v>
      </c>
    </row>
    <row r="3721" spans="1:17" x14ac:dyDescent="0.3">
      <c r="A3721" s="366" t="str">
        <f>IFERROR(VLOOKUP(RIGHT(E3721,3)+0,[1]SchLocTable!$A$2:$B$47,2,FALSE)," ")</f>
        <v>BMA HS</v>
      </c>
      <c r="B3721" s="366" t="str">
        <f>VLOOKUP(VALUE(D3721),$D$3:F$106,3,FALSE)</f>
        <v>Security</v>
      </c>
      <c r="C3721" t="s">
        <v>314</v>
      </c>
      <c r="D3721">
        <v>883</v>
      </c>
      <c r="E3721" t="s">
        <v>1118</v>
      </c>
      <c r="F3721" t="s">
        <v>324</v>
      </c>
      <c r="G3721" t="s">
        <v>319</v>
      </c>
      <c r="H3721" s="502">
        <v>52385</v>
      </c>
      <c r="I3721" s="415">
        <v>0</v>
      </c>
      <c r="J3721" s="415">
        <v>0</v>
      </c>
      <c r="K3721" s="415">
        <v>0</v>
      </c>
      <c r="L3721" s="415">
        <v>2.98</v>
      </c>
      <c r="M3721" s="415">
        <v>0</v>
      </c>
      <c r="N3721" s="415">
        <v>0</v>
      </c>
      <c r="O3721" s="415">
        <v>0</v>
      </c>
      <c r="P3721" s="415">
        <v>0</v>
      </c>
      <c r="Q3721" s="481">
        <f t="shared" si="104"/>
        <v>0</v>
      </c>
    </row>
    <row r="3722" spans="1:17" x14ac:dyDescent="0.3">
      <c r="A3722" s="366" t="str">
        <f>IFERROR(VLOOKUP(RIGHT(E3722,3)+0,[1]SchLocTable!$A$2:$B$47,2,FALSE)," ")</f>
        <v>BMA HS</v>
      </c>
      <c r="B3722" s="366" t="str">
        <f>VLOOKUP(VALUE(D3722),$D$3:F$106,3,FALSE)</f>
        <v>Security</v>
      </c>
      <c r="C3722" t="s">
        <v>314</v>
      </c>
      <c r="D3722">
        <v>883</v>
      </c>
      <c r="E3722" t="s">
        <v>1118</v>
      </c>
      <c r="F3722" t="s">
        <v>329</v>
      </c>
      <c r="G3722" t="s">
        <v>319</v>
      </c>
      <c r="H3722" s="502">
        <v>51154</v>
      </c>
      <c r="I3722" s="415">
        <v>0</v>
      </c>
      <c r="J3722" s="415">
        <v>0</v>
      </c>
      <c r="K3722" s="415">
        <v>180.97</v>
      </c>
      <c r="L3722" s="415">
        <v>0</v>
      </c>
      <c r="M3722" s="415">
        <v>401.4</v>
      </c>
      <c r="N3722" s="415">
        <v>0</v>
      </c>
      <c r="O3722" s="415">
        <v>0</v>
      </c>
      <c r="P3722" s="415">
        <v>0</v>
      </c>
      <c r="Q3722" s="481">
        <f t="shared" si="104"/>
        <v>0</v>
      </c>
    </row>
    <row r="3723" spans="1:17" x14ac:dyDescent="0.3">
      <c r="A3723" s="366" t="str">
        <f>IFERROR(VLOOKUP(RIGHT(E3723,3)+0,[1]SchLocTable!$A$2:$B$47,2,FALSE)," ")</f>
        <v>BMA HS</v>
      </c>
      <c r="B3723" s="366" t="str">
        <f>VLOOKUP(VALUE(D3723),$D$3:F$106,3,FALSE)</f>
        <v>Security</v>
      </c>
      <c r="C3723" t="s">
        <v>314</v>
      </c>
      <c r="D3723">
        <v>883</v>
      </c>
      <c r="E3723" t="s">
        <v>1118</v>
      </c>
      <c r="F3723" t="s">
        <v>418</v>
      </c>
      <c r="G3723" t="s">
        <v>319</v>
      </c>
      <c r="H3723" s="502">
        <v>51314</v>
      </c>
      <c r="I3723" s="415">
        <v>0</v>
      </c>
      <c r="J3723" s="415">
        <v>0</v>
      </c>
      <c r="K3723" s="415">
        <v>0</v>
      </c>
      <c r="L3723" s="415">
        <v>0</v>
      </c>
      <c r="M3723" s="415">
        <v>3211.2</v>
      </c>
      <c r="N3723" s="415">
        <v>0</v>
      </c>
      <c r="O3723" s="415">
        <v>0</v>
      </c>
      <c r="P3723" s="415">
        <v>0</v>
      </c>
      <c r="Q3723" s="481">
        <f t="shared" si="104"/>
        <v>0</v>
      </c>
    </row>
    <row r="3724" spans="1:17" x14ac:dyDescent="0.3">
      <c r="A3724" s="366" t="str">
        <f>IFERROR(VLOOKUP(RIGHT(E3724,3)+0,[1]SchLocTable!$A$2:$B$47,2,FALSE)," ")</f>
        <v>Park City Magnet</v>
      </c>
      <c r="B3724" s="366" t="str">
        <f>VLOOKUP(VALUE(D3724),$D$3:F$106,3,FALSE)</f>
        <v>Security</v>
      </c>
      <c r="C3724" t="s">
        <v>314</v>
      </c>
      <c r="D3724">
        <v>883</v>
      </c>
      <c r="E3724" t="s">
        <v>1119</v>
      </c>
      <c r="F3724" t="s">
        <v>316</v>
      </c>
      <c r="G3724" t="s">
        <v>319</v>
      </c>
      <c r="H3724" s="502">
        <v>51000</v>
      </c>
      <c r="I3724" s="415">
        <v>0</v>
      </c>
      <c r="J3724" s="415">
        <v>0</v>
      </c>
      <c r="K3724" s="415">
        <v>0</v>
      </c>
      <c r="L3724" s="415">
        <v>0</v>
      </c>
      <c r="M3724" s="415">
        <v>37071.919999999998</v>
      </c>
      <c r="N3724" s="415">
        <v>41966.64</v>
      </c>
      <c r="O3724" s="415">
        <v>47355.360000000001</v>
      </c>
      <c r="P3724" s="415">
        <v>47916.22</v>
      </c>
      <c r="Q3724" s="481">
        <f t="shared" si="104"/>
        <v>0</v>
      </c>
    </row>
    <row r="3725" spans="1:17" x14ac:dyDescent="0.3">
      <c r="A3725" s="366" t="str">
        <f>IFERROR(VLOOKUP(RIGHT(E3725,3)+0,[1]SchLocTable!$A$2:$B$47,2,FALSE)," ")</f>
        <v>Park City Magnet</v>
      </c>
      <c r="B3725" s="366" t="str">
        <f>VLOOKUP(VALUE(D3725),$D$3:F$106,3,FALSE)</f>
        <v>Security</v>
      </c>
      <c r="C3725" t="s">
        <v>314</v>
      </c>
      <c r="D3725">
        <v>883</v>
      </c>
      <c r="E3725" t="s">
        <v>1119</v>
      </c>
      <c r="F3725" t="s">
        <v>321</v>
      </c>
      <c r="G3725" t="s">
        <v>319</v>
      </c>
      <c r="H3725" s="502">
        <v>52917</v>
      </c>
      <c r="I3725" s="415">
        <v>0</v>
      </c>
      <c r="J3725" s="415">
        <v>0</v>
      </c>
      <c r="K3725" s="415">
        <v>0</v>
      </c>
      <c r="L3725" s="415">
        <v>0</v>
      </c>
      <c r="M3725" s="415">
        <v>7159.77</v>
      </c>
      <c r="N3725" s="415">
        <v>5731.87</v>
      </c>
      <c r="O3725" s="415">
        <v>31555.49</v>
      </c>
      <c r="P3725" s="415">
        <v>20977.360000000001</v>
      </c>
      <c r="Q3725" s="481">
        <f t="shared" si="104"/>
        <v>0</v>
      </c>
    </row>
    <row r="3726" spans="1:17" x14ac:dyDescent="0.3">
      <c r="A3726" s="366" t="str">
        <f>IFERROR(VLOOKUP(RIGHT(E3726,3)+0,[1]SchLocTable!$A$2:$B$47,2,FALSE)," ")</f>
        <v>Park City Magnet</v>
      </c>
      <c r="B3726" s="366" t="str">
        <f>VLOOKUP(VALUE(D3726),$D$3:F$106,3,FALSE)</f>
        <v>Security</v>
      </c>
      <c r="C3726" t="s">
        <v>314</v>
      </c>
      <c r="D3726">
        <v>883</v>
      </c>
      <c r="E3726" t="s">
        <v>1119</v>
      </c>
      <c r="F3726" t="s">
        <v>318</v>
      </c>
      <c r="G3726" t="s">
        <v>319</v>
      </c>
      <c r="H3726" s="502">
        <v>51140</v>
      </c>
      <c r="I3726" s="415">
        <v>0</v>
      </c>
      <c r="J3726" s="415">
        <v>0</v>
      </c>
      <c r="K3726" s="415">
        <v>0</v>
      </c>
      <c r="L3726" s="415">
        <v>0</v>
      </c>
      <c r="M3726" s="415">
        <v>1125</v>
      </c>
      <c r="N3726" s="415">
        <v>1050</v>
      </c>
      <c r="O3726" s="415">
        <v>1125</v>
      </c>
      <c r="P3726" s="415">
        <v>1050</v>
      </c>
      <c r="Q3726" s="481">
        <f t="shared" si="104"/>
        <v>0</v>
      </c>
    </row>
    <row r="3727" spans="1:17" x14ac:dyDescent="0.3">
      <c r="A3727" s="366" t="str">
        <f>IFERROR(VLOOKUP(RIGHT(E3727,3)+0,[1]SchLocTable!$A$2:$B$47,2,FALSE)," ")</f>
        <v>Park City Magnet</v>
      </c>
      <c r="B3727" s="366" t="str">
        <f>VLOOKUP(VALUE(D3727),$D$3:F$106,3,FALSE)</f>
        <v>Security</v>
      </c>
      <c r="C3727" t="s">
        <v>314</v>
      </c>
      <c r="D3727">
        <v>883</v>
      </c>
      <c r="E3727" t="s">
        <v>1119</v>
      </c>
      <c r="F3727" t="s">
        <v>320</v>
      </c>
      <c r="G3727" t="s">
        <v>319</v>
      </c>
      <c r="H3727" s="502">
        <v>52360</v>
      </c>
      <c r="I3727" s="415">
        <v>0</v>
      </c>
      <c r="J3727" s="415">
        <v>0</v>
      </c>
      <c r="K3727" s="415">
        <v>0</v>
      </c>
      <c r="L3727" s="415">
        <v>0</v>
      </c>
      <c r="M3727" s="415">
        <v>152.44</v>
      </c>
      <c r="N3727" s="415">
        <v>617.73</v>
      </c>
      <c r="O3727" s="415">
        <v>561.53</v>
      </c>
      <c r="P3727" s="415">
        <v>632.16999999999996</v>
      </c>
      <c r="Q3727" s="481">
        <f t="shared" si="104"/>
        <v>0</v>
      </c>
    </row>
    <row r="3728" spans="1:17" x14ac:dyDescent="0.3">
      <c r="A3728" s="366" t="str">
        <f>IFERROR(VLOOKUP(RIGHT(E3728,3)+0,[1]SchLocTable!$A$2:$B$47,2,FALSE)," ")</f>
        <v>Park City Magnet</v>
      </c>
      <c r="B3728" s="366" t="str">
        <f>VLOOKUP(VALUE(D3728),$D$3:F$106,3,FALSE)</f>
        <v>Security</v>
      </c>
      <c r="C3728" t="s">
        <v>314</v>
      </c>
      <c r="D3728">
        <v>883</v>
      </c>
      <c r="E3728" t="s">
        <v>1119</v>
      </c>
      <c r="F3728" t="s">
        <v>392</v>
      </c>
      <c r="G3728" t="s">
        <v>319</v>
      </c>
      <c r="H3728" s="502">
        <v>52504</v>
      </c>
      <c r="I3728" s="415">
        <v>0</v>
      </c>
      <c r="J3728" s="415">
        <v>0</v>
      </c>
      <c r="K3728" s="415">
        <v>0</v>
      </c>
      <c r="L3728" s="415">
        <v>0</v>
      </c>
      <c r="M3728" s="415">
        <v>7484.36</v>
      </c>
      <c r="N3728" s="415">
        <v>8218.81</v>
      </c>
      <c r="O3728" s="415">
        <v>8020.04</v>
      </c>
      <c r="P3728" s="415">
        <v>6991.29</v>
      </c>
      <c r="Q3728" s="481">
        <f t="shared" si="104"/>
        <v>0</v>
      </c>
    </row>
    <row r="3729" spans="1:17" x14ac:dyDescent="0.3">
      <c r="A3729" s="366" t="str">
        <f>IFERROR(VLOOKUP(RIGHT(E3729,3)+0,[1]SchLocTable!$A$2:$B$47,2,FALSE)," ")</f>
        <v>Madison</v>
      </c>
      <c r="B3729" s="366" t="str">
        <f>VLOOKUP(VALUE(D3729),$D$3:F$106,3,FALSE)</f>
        <v>Security</v>
      </c>
      <c r="C3729" t="s">
        <v>314</v>
      </c>
      <c r="D3729">
        <v>883</v>
      </c>
      <c r="E3729" t="s">
        <v>1120</v>
      </c>
      <c r="F3729" t="s">
        <v>316</v>
      </c>
      <c r="G3729">
        <v>1</v>
      </c>
      <c r="H3729" s="502">
        <v>51000</v>
      </c>
      <c r="I3729" s="415">
        <v>46220.615999999995</v>
      </c>
      <c r="J3729" s="415">
        <v>38130.720000000001</v>
      </c>
      <c r="K3729" s="415">
        <v>45082.96</v>
      </c>
      <c r="L3729" s="415">
        <v>44417.84</v>
      </c>
      <c r="M3729" s="415">
        <v>43398.3</v>
      </c>
      <c r="N3729" s="415">
        <v>41494.32</v>
      </c>
      <c r="O3729" s="415">
        <v>47375.040000000001</v>
      </c>
      <c r="P3729" s="415">
        <v>42323.27</v>
      </c>
      <c r="Q3729" s="481">
        <f t="shared" si="104"/>
        <v>-8089.8959999999934</v>
      </c>
    </row>
    <row r="3730" spans="1:17" x14ac:dyDescent="0.3">
      <c r="A3730" s="366" t="str">
        <f>IFERROR(VLOOKUP(RIGHT(E3730,3)+0,[1]SchLocTable!$A$2:$B$47,2,FALSE)," ")</f>
        <v>Madison</v>
      </c>
      <c r="B3730" s="366" t="str">
        <f>VLOOKUP(VALUE(D3730),$D$3:F$106,3,FALSE)</f>
        <v>Security</v>
      </c>
      <c r="C3730" t="s">
        <v>314</v>
      </c>
      <c r="D3730">
        <v>883</v>
      </c>
      <c r="E3730" t="s">
        <v>1120</v>
      </c>
      <c r="F3730" t="s">
        <v>360</v>
      </c>
      <c r="G3730" t="s">
        <v>319</v>
      </c>
      <c r="H3730" s="502">
        <v>52920</v>
      </c>
      <c r="I3730" s="415">
        <v>0</v>
      </c>
      <c r="J3730" s="415">
        <v>2000</v>
      </c>
      <c r="K3730" s="415">
        <v>2000</v>
      </c>
      <c r="L3730" s="415">
        <v>2000</v>
      </c>
      <c r="M3730" s="415">
        <v>2000</v>
      </c>
      <c r="N3730" s="415">
        <v>2000</v>
      </c>
      <c r="O3730" s="415">
        <v>2000</v>
      </c>
      <c r="P3730" s="415">
        <v>2000</v>
      </c>
      <c r="Q3730" s="481">
        <f t="shared" si="104"/>
        <v>2000</v>
      </c>
    </row>
    <row r="3731" spans="1:17" x14ac:dyDescent="0.3">
      <c r="A3731" s="366" t="str">
        <f>IFERROR(VLOOKUP(RIGHT(E3731,3)+0,[1]SchLocTable!$A$2:$B$47,2,FALSE)," ")</f>
        <v>Madison</v>
      </c>
      <c r="B3731" s="366" t="str">
        <f>VLOOKUP(VALUE(D3731),$D$3:F$106,3,FALSE)</f>
        <v>Security</v>
      </c>
      <c r="C3731" t="s">
        <v>314</v>
      </c>
      <c r="D3731">
        <v>883</v>
      </c>
      <c r="E3731" t="s">
        <v>1120</v>
      </c>
      <c r="F3731" t="s">
        <v>321</v>
      </c>
      <c r="G3731" t="s">
        <v>319</v>
      </c>
      <c r="H3731" s="502">
        <v>52917</v>
      </c>
      <c r="I3731" s="415">
        <v>0</v>
      </c>
      <c r="J3731" s="415">
        <v>0</v>
      </c>
      <c r="K3731" s="415">
        <v>892.32</v>
      </c>
      <c r="L3731" s="415">
        <v>967.98</v>
      </c>
      <c r="M3731" s="415">
        <v>976.14</v>
      </c>
      <c r="N3731" s="415">
        <v>976.14</v>
      </c>
      <c r="O3731" s="415">
        <v>2657.54</v>
      </c>
      <c r="P3731" s="415">
        <v>891.7</v>
      </c>
      <c r="Q3731" s="481">
        <f t="shared" si="104"/>
        <v>0</v>
      </c>
    </row>
    <row r="3732" spans="1:17" x14ac:dyDescent="0.3">
      <c r="A3732" s="366" t="str">
        <f>IFERROR(VLOOKUP(RIGHT(E3732,3)+0,[1]SchLocTable!$A$2:$B$47,2,FALSE)," ")</f>
        <v>Madison</v>
      </c>
      <c r="B3732" s="366" t="str">
        <f>VLOOKUP(VALUE(D3732),$D$3:F$106,3,FALSE)</f>
        <v>Security</v>
      </c>
      <c r="C3732" t="s">
        <v>314</v>
      </c>
      <c r="D3732">
        <v>883</v>
      </c>
      <c r="E3732" t="s">
        <v>1120</v>
      </c>
      <c r="F3732" t="s">
        <v>320</v>
      </c>
      <c r="G3732" t="s">
        <v>319</v>
      </c>
      <c r="H3732" s="502">
        <v>52360</v>
      </c>
      <c r="I3732" s="415">
        <v>670.1989319999999</v>
      </c>
      <c r="J3732" s="415">
        <v>638.88</v>
      </c>
      <c r="K3732" s="415">
        <v>706.17</v>
      </c>
      <c r="L3732" s="415">
        <v>680.48</v>
      </c>
      <c r="M3732" s="415">
        <v>661.99</v>
      </c>
      <c r="N3732" s="415">
        <v>630.65</v>
      </c>
      <c r="O3732" s="415">
        <v>714.7</v>
      </c>
      <c r="P3732" s="415">
        <v>642.72</v>
      </c>
      <c r="Q3732" s="481">
        <f t="shared" si="104"/>
        <v>-31.318931999999904</v>
      </c>
    </row>
    <row r="3733" spans="1:17" x14ac:dyDescent="0.3">
      <c r="A3733" s="366" t="str">
        <f>IFERROR(VLOOKUP(RIGHT(E3733,3)+0,[1]SchLocTable!$A$2:$B$47,2,FALSE)," ")</f>
        <v>Madison</v>
      </c>
      <c r="B3733" s="366" t="str">
        <f>VLOOKUP(VALUE(D3733),$D$3:F$106,3,FALSE)</f>
        <v>Security</v>
      </c>
      <c r="C3733" t="s">
        <v>314</v>
      </c>
      <c r="D3733">
        <v>883</v>
      </c>
      <c r="E3733" t="s">
        <v>1120</v>
      </c>
      <c r="F3733" t="s">
        <v>392</v>
      </c>
      <c r="G3733" t="s">
        <v>319</v>
      </c>
      <c r="H3733" s="502">
        <v>52504</v>
      </c>
      <c r="I3733" s="415">
        <v>9604.6440047999986</v>
      </c>
      <c r="J3733" s="415">
        <v>7923.57</v>
      </c>
      <c r="K3733" s="415">
        <v>9312.92</v>
      </c>
      <c r="L3733" s="415">
        <v>9161.43</v>
      </c>
      <c r="M3733" s="415">
        <v>9410.2800000000007</v>
      </c>
      <c r="N3733" s="415">
        <v>7929.31</v>
      </c>
      <c r="O3733" s="415">
        <v>7869.55</v>
      </c>
      <c r="P3733" s="415">
        <v>6045.94</v>
      </c>
      <c r="Q3733" s="481">
        <f t="shared" si="104"/>
        <v>-1681.0740047999989</v>
      </c>
    </row>
    <row r="3734" spans="1:17" x14ac:dyDescent="0.3">
      <c r="A3734" s="366" t="str">
        <f>IFERROR(VLOOKUP(RIGHT(E3734,3)+0,[1]SchLocTable!$A$2:$B$47,2,FALSE)," ")</f>
        <v>Madison</v>
      </c>
      <c r="B3734" s="366" t="str">
        <f>VLOOKUP(VALUE(D3734),$D$3:F$106,3,FALSE)</f>
        <v>Security</v>
      </c>
      <c r="C3734" t="s">
        <v>314</v>
      </c>
      <c r="D3734">
        <v>883</v>
      </c>
      <c r="E3734" t="s">
        <v>1120</v>
      </c>
      <c r="F3734" t="s">
        <v>483</v>
      </c>
      <c r="G3734" t="s">
        <v>319</v>
      </c>
      <c r="H3734" s="502">
        <v>51122</v>
      </c>
      <c r="I3734" s="415">
        <v>0</v>
      </c>
      <c r="J3734" s="415">
        <v>0</v>
      </c>
      <c r="K3734" s="415">
        <v>138.47999999999999</v>
      </c>
      <c r="L3734" s="415">
        <v>639.54</v>
      </c>
      <c r="M3734" s="415">
        <v>208.01</v>
      </c>
      <c r="N3734" s="415">
        <v>0</v>
      </c>
      <c r="O3734" s="415">
        <v>436.38</v>
      </c>
      <c r="P3734" s="415">
        <v>0</v>
      </c>
      <c r="Q3734" s="481">
        <f t="shared" si="104"/>
        <v>0</v>
      </c>
    </row>
    <row r="3735" spans="1:17" x14ac:dyDescent="0.3">
      <c r="A3735" s="366" t="str">
        <f>IFERROR(VLOOKUP(RIGHT(E3735,3)+0,[1]SchLocTable!$A$2:$B$47,2,FALSE)," ")</f>
        <v>Madison</v>
      </c>
      <c r="B3735" s="366" t="str">
        <f>VLOOKUP(VALUE(D3735),$D$3:F$106,3,FALSE)</f>
        <v>Security</v>
      </c>
      <c r="C3735" t="s">
        <v>314</v>
      </c>
      <c r="D3735">
        <v>883</v>
      </c>
      <c r="E3735" t="s">
        <v>1120</v>
      </c>
      <c r="F3735" t="s">
        <v>329</v>
      </c>
      <c r="G3735" t="s">
        <v>319</v>
      </c>
      <c r="H3735" s="502">
        <v>51154</v>
      </c>
      <c r="I3735" s="415">
        <v>3216.5149000000001</v>
      </c>
      <c r="J3735" s="415">
        <v>0</v>
      </c>
      <c r="K3735" s="415">
        <v>780.71</v>
      </c>
      <c r="L3735" s="415">
        <v>0</v>
      </c>
      <c r="M3735" s="415">
        <v>0</v>
      </c>
      <c r="N3735" s="415">
        <v>0</v>
      </c>
      <c r="O3735" s="415">
        <v>0</v>
      </c>
      <c r="P3735" s="415">
        <v>0</v>
      </c>
      <c r="Q3735" s="481">
        <f t="shared" si="104"/>
        <v>-3216.5149000000001</v>
      </c>
    </row>
    <row r="3736" spans="1:17" x14ac:dyDescent="0.3">
      <c r="A3736" s="366" t="str">
        <f>IFERROR(VLOOKUP(RIGHT(E3736,3)+0,[1]SchLocTable!$A$2:$B$47,2,FALSE)," ")</f>
        <v>Madison</v>
      </c>
      <c r="B3736" s="366" t="str">
        <f>VLOOKUP(VALUE(D3736),$D$3:F$106,3,FALSE)</f>
        <v>Security</v>
      </c>
      <c r="C3736" t="s">
        <v>314</v>
      </c>
      <c r="D3736">
        <v>883</v>
      </c>
      <c r="E3736" t="s">
        <v>1120</v>
      </c>
      <c r="F3736" t="s">
        <v>418</v>
      </c>
      <c r="G3736" t="s">
        <v>319</v>
      </c>
      <c r="H3736" s="502">
        <v>51314</v>
      </c>
      <c r="I3736" s="415">
        <v>2891.2512000000002</v>
      </c>
      <c r="J3736" s="415">
        <v>0</v>
      </c>
      <c r="K3736" s="415">
        <v>701.76</v>
      </c>
      <c r="L3736" s="415">
        <v>0</v>
      </c>
      <c r="M3736" s="415">
        <v>0</v>
      </c>
      <c r="N3736" s="415">
        <v>0</v>
      </c>
      <c r="O3736" s="415">
        <v>0</v>
      </c>
      <c r="P3736" s="415">
        <v>0</v>
      </c>
      <c r="Q3736" s="481">
        <f t="shared" si="104"/>
        <v>-2891.2512000000002</v>
      </c>
    </row>
    <row r="3737" spans="1:17" x14ac:dyDescent="0.3">
      <c r="A3737" s="366" t="str">
        <f>IFERROR(VLOOKUP(RIGHT(E3737,3)+0,[1]SchLocTable!$A$2:$B$47,2,FALSE)," ")</f>
        <v>Classical Studies Academy</v>
      </c>
      <c r="B3737" s="366" t="str">
        <f>VLOOKUP(VALUE(D3737),$D$3:F$106,3,FALSE)</f>
        <v>Security</v>
      </c>
      <c r="C3737" t="s">
        <v>314</v>
      </c>
      <c r="D3737">
        <v>883</v>
      </c>
      <c r="E3737" t="s">
        <v>1121</v>
      </c>
      <c r="F3737" t="s">
        <v>316</v>
      </c>
      <c r="G3737">
        <v>1</v>
      </c>
      <c r="H3737" s="502">
        <v>51000</v>
      </c>
      <c r="I3737" s="415">
        <v>47792.159999999996</v>
      </c>
      <c r="J3737" s="415">
        <v>46176</v>
      </c>
      <c r="K3737" s="415">
        <v>45789.84</v>
      </c>
      <c r="L3737" s="415">
        <v>88332.21</v>
      </c>
      <c r="M3737" s="415">
        <v>86340.03</v>
      </c>
      <c r="N3737" s="415">
        <v>82908.36</v>
      </c>
      <c r="O3737" s="415">
        <v>81508.08</v>
      </c>
      <c r="P3737" s="415">
        <v>82641.62</v>
      </c>
      <c r="Q3737" s="481">
        <f t="shared" si="104"/>
        <v>-1616.1599999999962</v>
      </c>
    </row>
    <row r="3738" spans="1:17" x14ac:dyDescent="0.3">
      <c r="A3738" s="366" t="str">
        <f>IFERROR(VLOOKUP(RIGHT(E3738,3)+0,[1]SchLocTable!$A$2:$B$47,2,FALSE)," ")</f>
        <v>Classical Studies Academy</v>
      </c>
      <c r="B3738" s="366" t="str">
        <f>VLOOKUP(VALUE(D3738),$D$3:F$106,3,FALSE)</f>
        <v>Security</v>
      </c>
      <c r="C3738" t="s">
        <v>314</v>
      </c>
      <c r="D3738">
        <v>883</v>
      </c>
      <c r="E3738" t="s">
        <v>1121</v>
      </c>
      <c r="F3738" t="s">
        <v>321</v>
      </c>
      <c r="G3738" t="s">
        <v>319</v>
      </c>
      <c r="H3738" s="502">
        <v>52917</v>
      </c>
      <c r="I3738" s="415">
        <v>14767.583999999999</v>
      </c>
      <c r="J3738" s="415">
        <v>12245</v>
      </c>
      <c r="K3738" s="415">
        <v>11305.85</v>
      </c>
      <c r="L3738" s="415">
        <v>38393.68</v>
      </c>
      <c r="M3738" s="415">
        <v>35530.980000000003</v>
      </c>
      <c r="N3738" s="415">
        <v>30117.8</v>
      </c>
      <c r="O3738" s="415">
        <v>17703.71</v>
      </c>
      <c r="P3738" s="415">
        <v>20115.580000000002</v>
      </c>
      <c r="Q3738" s="481">
        <f t="shared" si="104"/>
        <v>-2522.5839999999989</v>
      </c>
    </row>
    <row r="3739" spans="1:17" x14ac:dyDescent="0.3">
      <c r="A3739" s="366" t="str">
        <f>IFERROR(VLOOKUP(RIGHT(E3739,3)+0,[1]SchLocTable!$A$2:$B$47,2,FALSE)," ")</f>
        <v>Classical Studies Academy</v>
      </c>
      <c r="B3739" s="366" t="str">
        <f>VLOOKUP(VALUE(D3739),$D$3:F$106,3,FALSE)</f>
        <v>Security</v>
      </c>
      <c r="C3739" t="s">
        <v>314</v>
      </c>
      <c r="D3739">
        <v>883</v>
      </c>
      <c r="E3739" t="s">
        <v>1121</v>
      </c>
      <c r="F3739" t="s">
        <v>318</v>
      </c>
      <c r="G3739" t="s">
        <v>319</v>
      </c>
      <c r="H3739" s="502">
        <v>51140</v>
      </c>
      <c r="I3739" s="415">
        <v>900</v>
      </c>
      <c r="J3739" s="415">
        <v>900</v>
      </c>
      <c r="K3739" s="415">
        <v>2568.75</v>
      </c>
      <c r="L3739" s="415">
        <v>3000</v>
      </c>
      <c r="M3739" s="415">
        <v>2250</v>
      </c>
      <c r="N3739" s="415">
        <v>2250</v>
      </c>
      <c r="O3739" s="415">
        <v>2250</v>
      </c>
      <c r="P3739" s="415">
        <v>1950</v>
      </c>
      <c r="Q3739" s="481">
        <f t="shared" si="104"/>
        <v>0</v>
      </c>
    </row>
    <row r="3740" spans="1:17" x14ac:dyDescent="0.3">
      <c r="A3740" s="366" t="str">
        <f>IFERROR(VLOOKUP(RIGHT(E3740,3)+0,[1]SchLocTable!$A$2:$B$47,2,FALSE)," ")</f>
        <v>Classical Studies Academy</v>
      </c>
      <c r="B3740" s="366" t="str">
        <f>VLOOKUP(VALUE(D3740),$D$3:F$106,3,FALSE)</f>
        <v>Security</v>
      </c>
      <c r="C3740" t="s">
        <v>314</v>
      </c>
      <c r="D3740">
        <v>883</v>
      </c>
      <c r="E3740" t="s">
        <v>1121</v>
      </c>
      <c r="F3740" t="s">
        <v>320</v>
      </c>
      <c r="G3740" t="s">
        <v>319</v>
      </c>
      <c r="H3740" s="502">
        <v>52360</v>
      </c>
      <c r="I3740" s="415">
        <v>692.98631999999998</v>
      </c>
      <c r="J3740" s="415">
        <v>616</v>
      </c>
      <c r="K3740" s="415">
        <v>844.87</v>
      </c>
      <c r="L3740" s="415">
        <v>1150.43</v>
      </c>
      <c r="M3740" s="415">
        <v>1078.77</v>
      </c>
      <c r="N3740" s="415">
        <v>990.85</v>
      </c>
      <c r="O3740" s="415">
        <v>533.07000000000005</v>
      </c>
      <c r="P3740" s="415">
        <v>836.9</v>
      </c>
      <c r="Q3740" s="481">
        <f t="shared" si="104"/>
        <v>-76.986319999999978</v>
      </c>
    </row>
    <row r="3741" spans="1:17" x14ac:dyDescent="0.3">
      <c r="A3741" s="366" t="str">
        <f>IFERROR(VLOOKUP(RIGHT(E3741,3)+0,[1]SchLocTable!$A$2:$B$47,2,FALSE)," ")</f>
        <v>Classical Studies Academy</v>
      </c>
      <c r="B3741" s="366" t="str">
        <f>VLOOKUP(VALUE(D3741),$D$3:F$106,3,FALSE)</f>
        <v>Security</v>
      </c>
      <c r="C3741" t="s">
        <v>314</v>
      </c>
      <c r="D3741">
        <v>883</v>
      </c>
      <c r="E3741" t="s">
        <v>1121</v>
      </c>
      <c r="F3741" t="s">
        <v>392</v>
      </c>
      <c r="G3741" t="s">
        <v>319</v>
      </c>
      <c r="H3741" s="502">
        <v>52504</v>
      </c>
      <c r="I3741" s="415">
        <v>9931.2108480000006</v>
      </c>
      <c r="J3741" s="415">
        <v>9782</v>
      </c>
      <c r="K3741" s="415">
        <v>10487.46</v>
      </c>
      <c r="L3741" s="415">
        <v>18740.830000000002</v>
      </c>
      <c r="M3741" s="415">
        <v>19152.52</v>
      </c>
      <c r="N3741" s="415">
        <v>16343.04</v>
      </c>
      <c r="O3741" s="415">
        <v>13804.57</v>
      </c>
      <c r="P3741" s="415">
        <v>12084.16</v>
      </c>
      <c r="Q3741" s="481">
        <f t="shared" si="104"/>
        <v>-149.21084800000062</v>
      </c>
    </row>
    <row r="3742" spans="1:17" x14ac:dyDescent="0.3">
      <c r="A3742" s="366" t="str">
        <f>IFERROR(VLOOKUP(RIGHT(E3742,3)+0,[1]SchLocTable!$A$2:$B$47,2,FALSE)," ")</f>
        <v>Classical Studies Academy</v>
      </c>
      <c r="B3742" s="366" t="str">
        <f>VLOOKUP(VALUE(D3742),$D$3:F$106,3,FALSE)</f>
        <v>Security</v>
      </c>
      <c r="C3742" t="s">
        <v>314</v>
      </c>
      <c r="D3742">
        <v>883</v>
      </c>
      <c r="E3742" t="s">
        <v>1121</v>
      </c>
      <c r="F3742" t="s">
        <v>452</v>
      </c>
      <c r="G3742" t="s">
        <v>319</v>
      </c>
      <c r="H3742" s="502">
        <v>51108</v>
      </c>
      <c r="I3742" s="415">
        <v>0</v>
      </c>
      <c r="J3742" s="415">
        <v>0</v>
      </c>
      <c r="K3742" s="415">
        <v>98.69</v>
      </c>
      <c r="L3742" s="415">
        <v>31.94</v>
      </c>
      <c r="M3742" s="415">
        <v>0</v>
      </c>
      <c r="N3742" s="415">
        <v>0</v>
      </c>
      <c r="O3742" s="415">
        <v>0</v>
      </c>
      <c r="P3742" s="415">
        <v>0</v>
      </c>
      <c r="Q3742" s="481">
        <f t="shared" si="104"/>
        <v>0</v>
      </c>
    </row>
    <row r="3743" spans="1:17" x14ac:dyDescent="0.3">
      <c r="A3743" s="366" t="str">
        <f>IFERROR(VLOOKUP(RIGHT(E3743,3)+0,[1]SchLocTable!$A$2:$B$47,2,FALSE)," ")</f>
        <v>Classical Studies Academy</v>
      </c>
      <c r="B3743" s="366" t="str">
        <f>VLOOKUP(VALUE(D3743),$D$3:F$106,3,FALSE)</f>
        <v>Security</v>
      </c>
      <c r="C3743" t="s">
        <v>314</v>
      </c>
      <c r="D3743">
        <v>883</v>
      </c>
      <c r="E3743" t="s">
        <v>1121</v>
      </c>
      <c r="F3743" t="s">
        <v>483</v>
      </c>
      <c r="G3743" t="s">
        <v>319</v>
      </c>
      <c r="H3743" s="502">
        <v>51122</v>
      </c>
      <c r="I3743" s="415">
        <v>127.49360000000001</v>
      </c>
      <c r="J3743" s="415">
        <v>0</v>
      </c>
      <c r="K3743" s="415">
        <v>2466.6799999999998</v>
      </c>
      <c r="L3743" s="415">
        <v>531.66</v>
      </c>
      <c r="M3743" s="415">
        <v>254.04</v>
      </c>
      <c r="N3743" s="415">
        <v>360.8</v>
      </c>
      <c r="O3743" s="415">
        <v>62.34</v>
      </c>
      <c r="P3743" s="415">
        <v>0</v>
      </c>
      <c r="Q3743" s="481">
        <f t="shared" si="104"/>
        <v>-127.49360000000001</v>
      </c>
    </row>
    <row r="3744" spans="1:17" ht="19.2" customHeight="1" x14ac:dyDescent="0.3">
      <c r="A3744" s="366" t="str">
        <f>IFERROR(VLOOKUP(RIGHT(E3744,3)+0,[1]SchLocTable!$A$2:$B$47,2,FALSE)," ")</f>
        <v>Classical Studies Academy</v>
      </c>
      <c r="B3744" s="366" t="str">
        <f>VLOOKUP(VALUE(D3744),$D$3:F$106,3,FALSE)</f>
        <v>Security</v>
      </c>
      <c r="C3744" t="s">
        <v>314</v>
      </c>
      <c r="D3744">
        <v>883</v>
      </c>
      <c r="E3744" t="s">
        <v>1121</v>
      </c>
      <c r="F3744" t="s">
        <v>329</v>
      </c>
      <c r="G3744" t="s">
        <v>319</v>
      </c>
      <c r="H3744" s="502">
        <v>51154</v>
      </c>
      <c r="I3744" s="415">
        <v>0</v>
      </c>
      <c r="J3744" s="415">
        <v>0</v>
      </c>
      <c r="K3744" s="415">
        <v>7188.47</v>
      </c>
      <c r="L3744" s="415">
        <v>0</v>
      </c>
      <c r="M3744" s="415">
        <v>0</v>
      </c>
      <c r="N3744" s="415">
        <v>0</v>
      </c>
      <c r="O3744" s="415">
        <v>0</v>
      </c>
      <c r="P3744" s="415">
        <v>1561.07</v>
      </c>
      <c r="Q3744" s="481">
        <f t="shared" si="104"/>
        <v>0</v>
      </c>
    </row>
    <row r="3745" spans="1:17" x14ac:dyDescent="0.3">
      <c r="A3745" s="366" t="str">
        <f>IFERROR(VLOOKUP(RIGHT(E3745,3)+0,[1]SchLocTable!$A$2:$B$47,2,FALSE)," ")</f>
        <v>Classical Studies Academy</v>
      </c>
      <c r="B3745" s="366" t="str">
        <f>VLOOKUP(VALUE(D3745),$D$3:F$106,3,FALSE)</f>
        <v>Security</v>
      </c>
      <c r="C3745" t="s">
        <v>314</v>
      </c>
      <c r="D3745">
        <v>883</v>
      </c>
      <c r="E3745" t="s">
        <v>1121</v>
      </c>
      <c r="F3745" t="s">
        <v>418</v>
      </c>
      <c r="G3745" t="s">
        <v>319</v>
      </c>
      <c r="H3745" s="502">
        <v>51314</v>
      </c>
      <c r="I3745" s="415">
        <v>4298.0252</v>
      </c>
      <c r="J3745" s="415">
        <v>0</v>
      </c>
      <c r="K3745" s="415">
        <v>4172.84</v>
      </c>
      <c r="L3745" s="415">
        <v>0</v>
      </c>
      <c r="M3745" s="415">
        <v>0</v>
      </c>
      <c r="N3745" s="415">
        <v>0</v>
      </c>
      <c r="O3745" s="415">
        <v>0</v>
      </c>
      <c r="P3745" s="415">
        <v>4449.6000000000004</v>
      </c>
      <c r="Q3745" s="481">
        <f t="shared" si="104"/>
        <v>-4298.0252</v>
      </c>
    </row>
    <row r="3746" spans="1:17" x14ac:dyDescent="0.3">
      <c r="A3746" s="366" t="str">
        <f>IFERROR(VLOOKUP(RIGHT(E3746,3)+0,[1]SchLocTable!$A$2:$B$47,2,FALSE)," ")</f>
        <v>Classical Studies Academy</v>
      </c>
      <c r="B3746" s="366" t="str">
        <f>VLOOKUP(VALUE(D3746),$D$3:F$106,3,FALSE)</f>
        <v>Security</v>
      </c>
      <c r="C3746" t="s">
        <v>314</v>
      </c>
      <c r="D3746">
        <v>883</v>
      </c>
      <c r="E3746" t="s">
        <v>1121</v>
      </c>
      <c r="F3746" t="s">
        <v>356</v>
      </c>
      <c r="G3746" t="s">
        <v>319</v>
      </c>
      <c r="H3746" s="502">
        <v>51156</v>
      </c>
      <c r="I3746" s="415">
        <v>0</v>
      </c>
      <c r="J3746" s="415">
        <v>0</v>
      </c>
      <c r="K3746" s="415">
        <v>0</v>
      </c>
      <c r="L3746" s="415">
        <v>836.96</v>
      </c>
      <c r="M3746" s="415">
        <v>0</v>
      </c>
      <c r="N3746" s="415">
        <v>0</v>
      </c>
      <c r="O3746" s="415">
        <v>0</v>
      </c>
      <c r="P3746" s="415">
        <v>0</v>
      </c>
      <c r="Q3746" s="481">
        <f t="shared" si="104"/>
        <v>0</v>
      </c>
    </row>
    <row r="3747" spans="1:17" x14ac:dyDescent="0.3">
      <c r="A3747" s="366" t="str">
        <f>IFERROR(VLOOKUP(RIGHT(E3747,3)+0,[1]SchLocTable!$A$2:$B$47,2,FALSE)," ")</f>
        <v>Tisdale</v>
      </c>
      <c r="B3747" s="366" t="str">
        <f>VLOOKUP(VALUE(D3747),$D$3:F$106,3,FALSE)</f>
        <v>Security</v>
      </c>
      <c r="C3747" t="s">
        <v>314</v>
      </c>
      <c r="D3747">
        <v>883</v>
      </c>
      <c r="E3747" t="s">
        <v>1122</v>
      </c>
      <c r="F3747" t="s">
        <v>316</v>
      </c>
      <c r="G3747">
        <v>1</v>
      </c>
      <c r="H3747" s="502">
        <v>51000</v>
      </c>
      <c r="I3747" s="415">
        <v>46220.615999999995</v>
      </c>
      <c r="J3747" s="415">
        <v>0</v>
      </c>
      <c r="K3747" s="415">
        <v>21954.080000000002</v>
      </c>
      <c r="L3747" s="415">
        <v>44283.199999999997</v>
      </c>
      <c r="M3747" s="415">
        <v>17766.66</v>
      </c>
      <c r="N3747" s="415">
        <v>48251.76</v>
      </c>
      <c r="O3747" s="415">
        <v>82299.56</v>
      </c>
      <c r="P3747" s="415">
        <v>76754.13</v>
      </c>
      <c r="Q3747" s="481">
        <f t="shared" si="104"/>
        <v>-46220.615999999995</v>
      </c>
    </row>
    <row r="3748" spans="1:17" x14ac:dyDescent="0.3">
      <c r="A3748" s="366" t="str">
        <f>IFERROR(VLOOKUP(RIGHT(E3748,3)+0,[1]SchLocTable!$A$2:$B$47,2,FALSE)," ")</f>
        <v>Tisdale</v>
      </c>
      <c r="B3748" s="366" t="str">
        <f>VLOOKUP(VALUE(D3748),$D$3:F$106,3,FALSE)</f>
        <v>Security</v>
      </c>
      <c r="C3748" t="s">
        <v>314</v>
      </c>
      <c r="D3748">
        <v>883</v>
      </c>
      <c r="E3748" t="s">
        <v>1122</v>
      </c>
      <c r="F3748" t="s">
        <v>321</v>
      </c>
      <c r="G3748" t="s">
        <v>319</v>
      </c>
      <c r="H3748" s="502">
        <v>52917</v>
      </c>
      <c r="I3748" s="415">
        <v>0</v>
      </c>
      <c r="J3748" s="415">
        <v>0</v>
      </c>
      <c r="K3748" s="415">
        <v>1866.56</v>
      </c>
      <c r="L3748" s="415">
        <v>11327.94</v>
      </c>
      <c r="M3748" s="415">
        <v>2856.7</v>
      </c>
      <c r="N3748" s="415">
        <v>23860.74</v>
      </c>
      <c r="O3748" s="415">
        <v>23108.23</v>
      </c>
      <c r="P3748" s="415">
        <v>18905.080000000002</v>
      </c>
      <c r="Q3748" s="481">
        <f t="shared" si="104"/>
        <v>0</v>
      </c>
    </row>
    <row r="3749" spans="1:17" x14ac:dyDescent="0.3">
      <c r="A3749" s="366" t="str">
        <f>IFERROR(VLOOKUP(RIGHT(E3749,3)+0,[1]SchLocTable!$A$2:$B$47,2,FALSE)," ")</f>
        <v>Tisdale</v>
      </c>
      <c r="B3749" s="366" t="str">
        <f>VLOOKUP(VALUE(D3749),$D$3:F$106,3,FALSE)</f>
        <v>Security</v>
      </c>
      <c r="C3749" t="s">
        <v>314</v>
      </c>
      <c r="D3749">
        <v>883</v>
      </c>
      <c r="E3749" t="s">
        <v>1122</v>
      </c>
      <c r="F3749" t="s">
        <v>318</v>
      </c>
      <c r="G3749" t="s">
        <v>319</v>
      </c>
      <c r="H3749" s="502">
        <v>51140</v>
      </c>
      <c r="I3749" s="415">
        <v>0</v>
      </c>
      <c r="J3749" s="415">
        <v>0</v>
      </c>
      <c r="K3749" s="415">
        <v>0</v>
      </c>
      <c r="L3749" s="415">
        <v>1350</v>
      </c>
      <c r="M3749" s="415">
        <v>0</v>
      </c>
      <c r="N3749" s="415">
        <v>1893.75</v>
      </c>
      <c r="O3749" s="415">
        <v>3150</v>
      </c>
      <c r="P3749" s="415">
        <v>3000</v>
      </c>
      <c r="Q3749" s="481">
        <f t="shared" si="104"/>
        <v>0</v>
      </c>
    </row>
    <row r="3750" spans="1:17" x14ac:dyDescent="0.3">
      <c r="A3750" s="366" t="str">
        <f>IFERROR(VLOOKUP(RIGHT(E3750,3)+0,[1]SchLocTable!$A$2:$B$47,2,FALSE)," ")</f>
        <v>Tisdale</v>
      </c>
      <c r="B3750" s="366" t="str">
        <f>VLOOKUP(VALUE(D3750),$D$3:F$106,3,FALSE)</f>
        <v>Security</v>
      </c>
      <c r="C3750" t="s">
        <v>314</v>
      </c>
      <c r="D3750">
        <v>883</v>
      </c>
      <c r="E3750" t="s">
        <v>1122</v>
      </c>
      <c r="F3750" t="s">
        <v>320</v>
      </c>
      <c r="G3750" t="s">
        <v>319</v>
      </c>
      <c r="H3750" s="502">
        <v>52360</v>
      </c>
      <c r="I3750" s="415">
        <v>670.1989319999999</v>
      </c>
      <c r="J3750" s="415">
        <v>0</v>
      </c>
      <c r="K3750" s="415">
        <v>309.66000000000003</v>
      </c>
      <c r="L3750" s="415">
        <v>624.78</v>
      </c>
      <c r="M3750" s="415">
        <v>343.77</v>
      </c>
      <c r="N3750" s="415">
        <v>652.82000000000005</v>
      </c>
      <c r="O3750" s="415">
        <v>1194.51</v>
      </c>
      <c r="P3750" s="415">
        <v>1112.78</v>
      </c>
      <c r="Q3750" s="481">
        <f t="shared" si="104"/>
        <v>-670.1989319999999</v>
      </c>
    </row>
    <row r="3751" spans="1:17" x14ac:dyDescent="0.3">
      <c r="A3751" s="366" t="str">
        <f>IFERROR(VLOOKUP(RIGHT(E3751,3)+0,[1]SchLocTable!$A$2:$B$47,2,FALSE)," ")</f>
        <v>Tisdale</v>
      </c>
      <c r="B3751" s="366" t="str">
        <f>VLOOKUP(VALUE(D3751),$D$3:F$106,3,FALSE)</f>
        <v>Security</v>
      </c>
      <c r="C3751" t="s">
        <v>314</v>
      </c>
      <c r="D3751">
        <v>883</v>
      </c>
      <c r="E3751" t="s">
        <v>1122</v>
      </c>
      <c r="F3751" t="s">
        <v>392</v>
      </c>
      <c r="G3751" t="s">
        <v>319</v>
      </c>
      <c r="H3751" s="502">
        <v>52504</v>
      </c>
      <c r="I3751" s="415">
        <v>9604.6440047999986</v>
      </c>
      <c r="J3751" s="415">
        <v>0</v>
      </c>
      <c r="K3751" s="415">
        <v>4522.26</v>
      </c>
      <c r="L3751" s="415">
        <v>9360.2800000000007</v>
      </c>
      <c r="M3751" s="415">
        <v>4934.1099999999997</v>
      </c>
      <c r="N3751" s="415">
        <v>9543.48</v>
      </c>
      <c r="O3751" s="415">
        <v>14163.2</v>
      </c>
      <c r="P3751" s="415">
        <v>11395.8</v>
      </c>
      <c r="Q3751" s="481">
        <f t="shared" si="104"/>
        <v>-9604.6440047999986</v>
      </c>
    </row>
    <row r="3752" spans="1:17" x14ac:dyDescent="0.3">
      <c r="A3752" s="366" t="str">
        <f>IFERROR(VLOOKUP(RIGHT(E3752,3)+0,[1]SchLocTable!$A$2:$B$47,2,FALSE)," ")</f>
        <v>Tisdale</v>
      </c>
      <c r="B3752" s="366" t="str">
        <f>VLOOKUP(VALUE(D3752),$D$3:F$106,3,FALSE)</f>
        <v>Security</v>
      </c>
      <c r="C3752" t="s">
        <v>314</v>
      </c>
      <c r="D3752">
        <v>883</v>
      </c>
      <c r="E3752" t="s">
        <v>1122</v>
      </c>
      <c r="F3752" t="s">
        <v>419</v>
      </c>
      <c r="G3752" t="s">
        <v>319</v>
      </c>
      <c r="H3752" s="502">
        <v>51318</v>
      </c>
      <c r="I3752" s="415">
        <v>0</v>
      </c>
      <c r="J3752" s="415">
        <v>0</v>
      </c>
      <c r="K3752" s="415">
        <v>0</v>
      </c>
      <c r="L3752" s="415">
        <v>0</v>
      </c>
      <c r="M3752" s="415">
        <v>78.92</v>
      </c>
      <c r="N3752" s="415">
        <v>160.56</v>
      </c>
      <c r="O3752" s="415">
        <v>0</v>
      </c>
      <c r="P3752" s="415">
        <v>0</v>
      </c>
      <c r="Q3752" s="481">
        <f t="shared" si="104"/>
        <v>0</v>
      </c>
    </row>
    <row r="3753" spans="1:17" x14ac:dyDescent="0.3">
      <c r="A3753" s="366" t="str">
        <f>IFERROR(VLOOKUP(RIGHT(E3753,3)+0,[1]SchLocTable!$A$2:$B$47,2,FALSE)," ")</f>
        <v>Tisdale</v>
      </c>
      <c r="B3753" s="366" t="str">
        <f>VLOOKUP(VALUE(D3753),$D$3:F$106,3,FALSE)</f>
        <v>Security</v>
      </c>
      <c r="C3753" t="s">
        <v>314</v>
      </c>
      <c r="D3753">
        <v>883</v>
      </c>
      <c r="E3753" t="s">
        <v>1122</v>
      </c>
      <c r="F3753" t="s">
        <v>452</v>
      </c>
      <c r="G3753" t="s">
        <v>319</v>
      </c>
      <c r="H3753" s="502">
        <v>51108</v>
      </c>
      <c r="I3753" s="415">
        <v>0</v>
      </c>
      <c r="J3753" s="415">
        <v>0</v>
      </c>
      <c r="K3753" s="415">
        <v>0</v>
      </c>
      <c r="L3753" s="415">
        <v>26.37</v>
      </c>
      <c r="M3753" s="415">
        <v>0</v>
      </c>
      <c r="N3753" s="415">
        <v>0</v>
      </c>
      <c r="O3753" s="415">
        <v>0</v>
      </c>
      <c r="P3753" s="415">
        <v>0</v>
      </c>
      <c r="Q3753" s="481">
        <f t="shared" si="104"/>
        <v>0</v>
      </c>
    </row>
    <row r="3754" spans="1:17" x14ac:dyDescent="0.3">
      <c r="A3754" s="366" t="str">
        <f>IFERROR(VLOOKUP(RIGHT(E3754,3)+0,[1]SchLocTable!$A$2:$B$47,2,FALSE)," ")</f>
        <v>Tisdale</v>
      </c>
      <c r="B3754" s="366" t="str">
        <f>VLOOKUP(VALUE(D3754),$D$3:F$106,3,FALSE)</f>
        <v>Security</v>
      </c>
      <c r="C3754" t="s">
        <v>314</v>
      </c>
      <c r="D3754">
        <v>883</v>
      </c>
      <c r="E3754" t="s">
        <v>1122</v>
      </c>
      <c r="F3754" t="s">
        <v>483</v>
      </c>
      <c r="G3754" t="s">
        <v>319</v>
      </c>
      <c r="H3754" s="502">
        <v>51122</v>
      </c>
      <c r="I3754" s="415">
        <v>0</v>
      </c>
      <c r="J3754" s="415">
        <v>0</v>
      </c>
      <c r="K3754" s="415">
        <v>0</v>
      </c>
      <c r="L3754" s="415">
        <v>61.15</v>
      </c>
      <c r="M3754" s="415">
        <v>3803.87</v>
      </c>
      <c r="N3754" s="415">
        <v>0</v>
      </c>
      <c r="O3754" s="415">
        <v>1558.5</v>
      </c>
      <c r="P3754" s="415">
        <v>0</v>
      </c>
      <c r="Q3754" s="481">
        <f t="shared" si="104"/>
        <v>0</v>
      </c>
    </row>
    <row r="3755" spans="1:17" x14ac:dyDescent="0.3">
      <c r="A3755" s="366" t="str">
        <f>IFERROR(VLOOKUP(RIGHT(E3755,3)+0,[1]SchLocTable!$A$2:$B$47,2,FALSE)," ")</f>
        <v>Tisdale</v>
      </c>
      <c r="B3755" s="366" t="str">
        <f>VLOOKUP(VALUE(D3755),$D$3:F$106,3,FALSE)</f>
        <v>Security</v>
      </c>
      <c r="C3755" t="s">
        <v>314</v>
      </c>
      <c r="D3755">
        <v>883</v>
      </c>
      <c r="E3755" t="s">
        <v>1122</v>
      </c>
      <c r="F3755" t="s">
        <v>418</v>
      </c>
      <c r="G3755" t="s">
        <v>319</v>
      </c>
      <c r="H3755" s="502">
        <v>51314</v>
      </c>
      <c r="I3755" s="415">
        <v>0</v>
      </c>
      <c r="J3755" s="415">
        <v>0</v>
      </c>
      <c r="K3755" s="415">
        <v>0</v>
      </c>
      <c r="L3755" s="415">
        <v>0</v>
      </c>
      <c r="M3755" s="415">
        <v>157.84</v>
      </c>
      <c r="N3755" s="415">
        <v>2247.84</v>
      </c>
      <c r="O3755" s="415">
        <v>0</v>
      </c>
      <c r="P3755" s="415">
        <v>0</v>
      </c>
      <c r="Q3755" s="481">
        <f t="shared" si="104"/>
        <v>0</v>
      </c>
    </row>
    <row r="3756" spans="1:17" x14ac:dyDescent="0.3">
      <c r="A3756" s="366" t="str">
        <f>IFERROR(VLOOKUP(RIGHT(E3756,3)+0,[1]SchLocTable!$A$2:$B$47,2,FALSE)," ")</f>
        <v>Tisdale</v>
      </c>
      <c r="B3756" s="366" t="str">
        <f>VLOOKUP(VALUE(D3756),$D$3:F$106,3,FALSE)</f>
        <v>Security</v>
      </c>
      <c r="C3756" t="s">
        <v>314</v>
      </c>
      <c r="D3756">
        <v>883</v>
      </c>
      <c r="E3756" t="s">
        <v>1122</v>
      </c>
      <c r="F3756" t="s">
        <v>356</v>
      </c>
      <c r="G3756" t="s">
        <v>319</v>
      </c>
      <c r="H3756" s="502">
        <v>51156</v>
      </c>
      <c r="I3756" s="415">
        <v>0</v>
      </c>
      <c r="J3756" s="415">
        <v>0</v>
      </c>
      <c r="K3756" s="415">
        <v>0</v>
      </c>
      <c r="L3756" s="415">
        <v>802.8</v>
      </c>
      <c r="M3756" s="415">
        <v>802.8</v>
      </c>
      <c r="N3756" s="415">
        <v>0</v>
      </c>
      <c r="O3756" s="415">
        <v>1543.2</v>
      </c>
      <c r="P3756" s="415">
        <v>741.6</v>
      </c>
      <c r="Q3756" s="481">
        <f t="shared" si="104"/>
        <v>0</v>
      </c>
    </row>
    <row r="3757" spans="1:17" x14ac:dyDescent="0.3">
      <c r="A3757" s="366" t="str">
        <f>IFERROR(VLOOKUP(RIGHT(E3757,3)+0,[1]SchLocTable!$A$2:$B$47,2,FALSE)," ")</f>
        <v>Read</v>
      </c>
      <c r="B3757" s="366" t="str">
        <f>VLOOKUP(VALUE(D3757),$D$3:F$106,3,FALSE)</f>
        <v>Security</v>
      </c>
      <c r="C3757" t="s">
        <v>314</v>
      </c>
      <c r="D3757">
        <v>883</v>
      </c>
      <c r="E3757" t="s">
        <v>1123</v>
      </c>
      <c r="F3757" t="s">
        <v>316</v>
      </c>
      <c r="G3757">
        <v>1</v>
      </c>
      <c r="H3757" s="502">
        <v>51000</v>
      </c>
      <c r="I3757" s="415">
        <v>47792.159999999996</v>
      </c>
      <c r="J3757" s="415">
        <v>46176</v>
      </c>
      <c r="K3757" s="415">
        <v>45784.72</v>
      </c>
      <c r="L3757" s="415">
        <v>44283.199999999997</v>
      </c>
      <c r="M3757" s="415">
        <v>40346.28</v>
      </c>
      <c r="N3757" s="415">
        <v>46217.52</v>
      </c>
      <c r="O3757" s="415">
        <v>76807.06</v>
      </c>
      <c r="P3757" s="415">
        <v>79153.72</v>
      </c>
      <c r="Q3757" s="481">
        <f t="shared" si="104"/>
        <v>-1616.1599999999962</v>
      </c>
    </row>
    <row r="3758" spans="1:17" x14ac:dyDescent="0.3">
      <c r="A3758" s="366" t="str">
        <f>IFERROR(VLOOKUP(RIGHT(E3758,3)+0,[1]SchLocTable!$A$2:$B$47,2,FALSE)," ")</f>
        <v>Read</v>
      </c>
      <c r="B3758" s="366" t="str">
        <f>VLOOKUP(VALUE(D3758),$D$3:F$106,3,FALSE)</f>
        <v>Security</v>
      </c>
      <c r="C3758" t="s">
        <v>314</v>
      </c>
      <c r="D3758">
        <v>883</v>
      </c>
      <c r="E3758" t="s">
        <v>1123</v>
      </c>
      <c r="F3758" t="s">
        <v>360</v>
      </c>
      <c r="G3758" t="s">
        <v>319</v>
      </c>
      <c r="H3758" s="502">
        <v>52920</v>
      </c>
      <c r="I3758" s="415">
        <v>2000</v>
      </c>
      <c r="J3758" s="415">
        <v>2000</v>
      </c>
      <c r="K3758" s="415">
        <v>2000</v>
      </c>
      <c r="L3758" s="415">
        <v>2000</v>
      </c>
      <c r="M3758" s="415">
        <v>2000</v>
      </c>
      <c r="N3758" s="415">
        <v>2000</v>
      </c>
      <c r="O3758" s="415">
        <v>3000</v>
      </c>
      <c r="P3758" s="415">
        <v>4833.34</v>
      </c>
      <c r="Q3758" s="481">
        <f t="shared" si="104"/>
        <v>0</v>
      </c>
    </row>
    <row r="3759" spans="1:17" x14ac:dyDescent="0.3">
      <c r="A3759" s="366" t="str">
        <f>IFERROR(VLOOKUP(RIGHT(E3759,3)+0,[1]SchLocTable!$A$2:$B$47,2,FALSE)," ")</f>
        <v>Read</v>
      </c>
      <c r="B3759" s="366" t="str">
        <f>VLOOKUP(VALUE(D3759),$D$3:F$106,3,FALSE)</f>
        <v>Security</v>
      </c>
      <c r="C3759" t="s">
        <v>314</v>
      </c>
      <c r="D3759">
        <v>883</v>
      </c>
      <c r="E3759" t="s">
        <v>1123</v>
      </c>
      <c r="F3759" t="s">
        <v>321</v>
      </c>
      <c r="G3759" t="s">
        <v>319</v>
      </c>
      <c r="H3759" s="502">
        <v>52917</v>
      </c>
      <c r="I3759" s="415">
        <v>526.65600000000006</v>
      </c>
      <c r="J3759" s="415">
        <v>440.57</v>
      </c>
      <c r="K3759" s="415">
        <v>447.85</v>
      </c>
      <c r="L3759" s="415">
        <v>484.38</v>
      </c>
      <c r="M3759" s="415">
        <v>460.51</v>
      </c>
      <c r="N3759" s="415">
        <v>488.59</v>
      </c>
      <c r="O3759" s="415">
        <v>4360.87</v>
      </c>
      <c r="P3759" s="415">
        <v>445.85</v>
      </c>
      <c r="Q3759" s="481">
        <f t="shared" si="104"/>
        <v>-86.08600000000007</v>
      </c>
    </row>
    <row r="3760" spans="1:17" x14ac:dyDescent="0.3">
      <c r="A3760" s="366" t="str">
        <f>IFERROR(VLOOKUP(RIGHT(E3760,3)+0,[1]SchLocTable!$A$2:$B$47,2,FALSE)," ")</f>
        <v>Read</v>
      </c>
      <c r="B3760" s="366" t="str">
        <f>VLOOKUP(VALUE(D3760),$D$3:F$106,3,FALSE)</f>
        <v>Security</v>
      </c>
      <c r="C3760" t="s">
        <v>314</v>
      </c>
      <c r="D3760">
        <v>883</v>
      </c>
      <c r="E3760" t="s">
        <v>1123</v>
      </c>
      <c r="F3760" t="s">
        <v>320</v>
      </c>
      <c r="G3760" t="s">
        <v>319</v>
      </c>
      <c r="H3760" s="502">
        <v>52360</v>
      </c>
      <c r="I3760" s="415">
        <v>721.98631999999998</v>
      </c>
      <c r="J3760" s="415">
        <v>670</v>
      </c>
      <c r="K3760" s="415">
        <v>717.15</v>
      </c>
      <c r="L3760" s="415">
        <v>677.94</v>
      </c>
      <c r="M3760" s="415">
        <v>614.05999999999995</v>
      </c>
      <c r="N3760" s="415">
        <v>701</v>
      </c>
      <c r="O3760" s="415">
        <v>1138.96</v>
      </c>
      <c r="P3760" s="415">
        <v>1217.8</v>
      </c>
      <c r="Q3760" s="481">
        <f t="shared" si="104"/>
        <v>-51.986319999999978</v>
      </c>
    </row>
    <row r="3761" spans="1:17" x14ac:dyDescent="0.3">
      <c r="A3761" s="366" t="str">
        <f>IFERROR(VLOOKUP(RIGHT(E3761,3)+0,[1]SchLocTable!$A$2:$B$47,2,FALSE)," ")</f>
        <v>Read</v>
      </c>
      <c r="B3761" s="366" t="str">
        <f>VLOOKUP(VALUE(D3761),$D$3:F$106,3,FALSE)</f>
        <v>Security</v>
      </c>
      <c r="C3761" t="s">
        <v>314</v>
      </c>
      <c r="D3761">
        <v>883</v>
      </c>
      <c r="E3761" t="s">
        <v>1123</v>
      </c>
      <c r="F3761" t="s">
        <v>392</v>
      </c>
      <c r="G3761" t="s">
        <v>319</v>
      </c>
      <c r="H3761" s="502">
        <v>52504</v>
      </c>
      <c r="I3761" s="415">
        <v>10346.810848000001</v>
      </c>
      <c r="J3761" s="415">
        <v>9596</v>
      </c>
      <c r="K3761" s="415">
        <v>9774.08</v>
      </c>
      <c r="L3761" s="415">
        <v>9127.14</v>
      </c>
      <c r="M3761" s="415">
        <v>8696.83</v>
      </c>
      <c r="N3761" s="415">
        <v>8854.85</v>
      </c>
      <c r="O3761" s="415">
        <v>12650.87</v>
      </c>
      <c r="P3761" s="415">
        <v>11303.49</v>
      </c>
      <c r="Q3761" s="481">
        <f t="shared" si="104"/>
        <v>-750.81084800000099</v>
      </c>
    </row>
    <row r="3762" spans="1:17" x14ac:dyDescent="0.3">
      <c r="A3762" s="366" t="str">
        <f>IFERROR(VLOOKUP(RIGHT(E3762,3)+0,[1]SchLocTable!$A$2:$B$47,2,FALSE)," ")</f>
        <v>Read</v>
      </c>
      <c r="B3762" s="366" t="str">
        <f>VLOOKUP(VALUE(D3762),$D$3:F$106,3,FALSE)</f>
        <v>Security</v>
      </c>
      <c r="C3762" t="s">
        <v>314</v>
      </c>
      <c r="D3762">
        <v>883</v>
      </c>
      <c r="E3762" t="s">
        <v>1123</v>
      </c>
      <c r="F3762" t="s">
        <v>452</v>
      </c>
      <c r="G3762" t="s">
        <v>319</v>
      </c>
      <c r="H3762" s="502">
        <v>51108</v>
      </c>
      <c r="I3762" s="415">
        <v>0</v>
      </c>
      <c r="J3762" s="415">
        <v>0</v>
      </c>
      <c r="K3762" s="415">
        <v>16.45</v>
      </c>
      <c r="L3762" s="415">
        <v>0</v>
      </c>
      <c r="M3762" s="415">
        <v>0</v>
      </c>
      <c r="N3762" s="415">
        <v>15.05</v>
      </c>
      <c r="O3762" s="415">
        <v>0</v>
      </c>
      <c r="P3762" s="415">
        <v>0</v>
      </c>
      <c r="Q3762" s="481">
        <f t="shared" si="104"/>
        <v>0</v>
      </c>
    </row>
    <row r="3763" spans="1:17" x14ac:dyDescent="0.3">
      <c r="A3763" s="366" t="str">
        <f>IFERROR(VLOOKUP(RIGHT(E3763,3)+0,[1]SchLocTable!$A$2:$B$47,2,FALSE)," ")</f>
        <v>Read</v>
      </c>
      <c r="B3763" s="366" t="str">
        <f>VLOOKUP(VALUE(D3763),$D$3:F$106,3,FALSE)</f>
        <v>Security</v>
      </c>
      <c r="C3763" t="s">
        <v>314</v>
      </c>
      <c r="D3763">
        <v>883</v>
      </c>
      <c r="E3763" t="s">
        <v>1123</v>
      </c>
      <c r="F3763" t="s">
        <v>483</v>
      </c>
      <c r="G3763" t="s">
        <v>319</v>
      </c>
      <c r="H3763" s="502">
        <v>51122</v>
      </c>
      <c r="I3763" s="415">
        <v>0</v>
      </c>
      <c r="J3763" s="415">
        <v>0</v>
      </c>
      <c r="K3763" s="415">
        <v>1658.31</v>
      </c>
      <c r="L3763" s="415">
        <v>471.24</v>
      </c>
      <c r="M3763" s="415">
        <v>0</v>
      </c>
      <c r="N3763" s="415">
        <v>111.14</v>
      </c>
      <c r="O3763" s="415">
        <v>0</v>
      </c>
      <c r="P3763" s="415">
        <v>0</v>
      </c>
      <c r="Q3763" s="481">
        <f t="shared" si="104"/>
        <v>0</v>
      </c>
    </row>
    <row r="3764" spans="1:17" x14ac:dyDescent="0.3">
      <c r="A3764" s="366" t="str">
        <f>IFERROR(VLOOKUP(RIGHT(E3764,3)+0,[1]SchLocTable!$A$2:$B$47,2,FALSE)," ")</f>
        <v>Roosevelt</v>
      </c>
      <c r="B3764" s="366" t="str">
        <f>VLOOKUP(VALUE(D3764),$D$3:F$106,3,FALSE)</f>
        <v>Security</v>
      </c>
      <c r="C3764" t="s">
        <v>314</v>
      </c>
      <c r="D3764">
        <v>883</v>
      </c>
      <c r="E3764" t="s">
        <v>1124</v>
      </c>
      <c r="F3764" t="s">
        <v>316</v>
      </c>
      <c r="G3764">
        <v>2</v>
      </c>
      <c r="H3764" s="502">
        <v>51000</v>
      </c>
      <c r="I3764" s="415">
        <v>94012.775999999983</v>
      </c>
      <c r="J3764" s="415">
        <v>91182.96</v>
      </c>
      <c r="K3764" s="415">
        <v>80812.240000000005</v>
      </c>
      <c r="L3764" s="415">
        <v>56375.92</v>
      </c>
      <c r="M3764" s="415">
        <v>86696.48</v>
      </c>
      <c r="N3764" s="415">
        <v>82988.639999999999</v>
      </c>
      <c r="O3764" s="415">
        <v>74535.520000000004</v>
      </c>
      <c r="P3764" s="415">
        <v>85055.18</v>
      </c>
      <c r="Q3764" s="481">
        <f t="shared" si="104"/>
        <v>-2829.8159999999771</v>
      </c>
    </row>
    <row r="3765" spans="1:17" x14ac:dyDescent="0.3">
      <c r="A3765" s="366" t="str">
        <f>IFERROR(VLOOKUP(RIGHT(E3765,3)+0,[1]SchLocTable!$A$2:$B$47,2,FALSE)," ")</f>
        <v>Roosevelt</v>
      </c>
      <c r="B3765" s="366" t="str">
        <f>VLOOKUP(VALUE(D3765),$D$3:F$106,3,FALSE)</f>
        <v>Security</v>
      </c>
      <c r="C3765" t="s">
        <v>314</v>
      </c>
      <c r="D3765">
        <v>883</v>
      </c>
      <c r="E3765" t="s">
        <v>1124</v>
      </c>
      <c r="F3765" t="s">
        <v>360</v>
      </c>
      <c r="G3765" t="s">
        <v>319</v>
      </c>
      <c r="H3765" s="502">
        <v>52920</v>
      </c>
      <c r="I3765" s="415">
        <v>2000</v>
      </c>
      <c r="J3765" s="415">
        <v>0</v>
      </c>
      <c r="K3765" s="415">
        <v>1000</v>
      </c>
      <c r="L3765" s="415">
        <v>0</v>
      </c>
      <c r="M3765" s="415">
        <v>0</v>
      </c>
      <c r="N3765" s="415">
        <v>0</v>
      </c>
      <c r="O3765" s="415">
        <v>1000</v>
      </c>
      <c r="P3765" s="415">
        <v>0</v>
      </c>
      <c r="Q3765" s="481">
        <f t="shared" si="104"/>
        <v>-2000</v>
      </c>
    </row>
    <row r="3766" spans="1:17" x14ac:dyDescent="0.3">
      <c r="A3766" s="366" t="str">
        <f>IFERROR(VLOOKUP(RIGHT(E3766,3)+0,[1]SchLocTable!$A$2:$B$47,2,FALSE)," ")</f>
        <v>Roosevelt</v>
      </c>
      <c r="B3766" s="366" t="str">
        <f>VLOOKUP(VALUE(D3766),$D$3:F$106,3,FALSE)</f>
        <v>Security</v>
      </c>
      <c r="C3766" t="s">
        <v>314</v>
      </c>
      <c r="D3766">
        <v>883</v>
      </c>
      <c r="E3766" t="s">
        <v>1124</v>
      </c>
      <c r="F3766" t="s">
        <v>321</v>
      </c>
      <c r="G3766" t="s">
        <v>319</v>
      </c>
      <c r="H3766" s="502">
        <v>52917</v>
      </c>
      <c r="I3766" s="415">
        <v>15361.008</v>
      </c>
      <c r="J3766" s="415">
        <v>12737</v>
      </c>
      <c r="K3766" s="415">
        <v>11604.16</v>
      </c>
      <c r="L3766" s="415">
        <v>20491.689999999999</v>
      </c>
      <c r="M3766" s="415">
        <v>42191.96</v>
      </c>
      <c r="N3766" s="415">
        <v>39002.79</v>
      </c>
      <c r="O3766" s="415">
        <v>30705.25</v>
      </c>
      <c r="P3766" s="415">
        <v>35119.769999999997</v>
      </c>
      <c r="Q3766" s="481">
        <f t="shared" si="104"/>
        <v>-2624.0079999999998</v>
      </c>
    </row>
    <row r="3767" spans="1:17" x14ac:dyDescent="0.3">
      <c r="A3767" s="366" t="str">
        <f>IFERROR(VLOOKUP(RIGHT(E3767,3)+0,[1]SchLocTable!$A$2:$B$47,2,FALSE)," ")</f>
        <v>Roosevelt</v>
      </c>
      <c r="B3767" s="366" t="str">
        <f>VLOOKUP(VALUE(D3767),$D$3:F$106,3,FALSE)</f>
        <v>Security</v>
      </c>
      <c r="C3767" t="s">
        <v>314</v>
      </c>
      <c r="D3767">
        <v>883</v>
      </c>
      <c r="E3767" t="s">
        <v>1124</v>
      </c>
      <c r="F3767" t="s">
        <v>318</v>
      </c>
      <c r="G3767" t="s">
        <v>319</v>
      </c>
      <c r="H3767" s="502">
        <v>51140</v>
      </c>
      <c r="I3767" s="415">
        <v>1125</v>
      </c>
      <c r="J3767" s="415">
        <v>1125</v>
      </c>
      <c r="K3767" s="415">
        <v>1050</v>
      </c>
      <c r="L3767" s="415">
        <v>2250</v>
      </c>
      <c r="M3767" s="415">
        <v>2100</v>
      </c>
      <c r="N3767" s="415">
        <v>1950</v>
      </c>
      <c r="O3767" s="415">
        <v>1800</v>
      </c>
      <c r="P3767" s="415">
        <v>975</v>
      </c>
      <c r="Q3767" s="481">
        <f t="shared" si="104"/>
        <v>0</v>
      </c>
    </row>
    <row r="3768" spans="1:17" x14ac:dyDescent="0.3">
      <c r="A3768" s="366" t="str">
        <f>IFERROR(VLOOKUP(RIGHT(E3768,3)+0,[1]SchLocTable!$A$2:$B$47,2,FALSE)," ")</f>
        <v>Roosevelt</v>
      </c>
      <c r="B3768" s="366" t="str">
        <f>VLOOKUP(VALUE(D3768),$D$3:F$106,3,FALSE)</f>
        <v>Security</v>
      </c>
      <c r="C3768" t="s">
        <v>314</v>
      </c>
      <c r="D3768">
        <v>883</v>
      </c>
      <c r="E3768" t="s">
        <v>1124</v>
      </c>
      <c r="F3768" t="s">
        <v>320</v>
      </c>
      <c r="G3768" t="s">
        <v>319</v>
      </c>
      <c r="H3768" s="502">
        <v>52360</v>
      </c>
      <c r="I3768" s="415">
        <v>1392.1852519999998</v>
      </c>
      <c r="J3768" s="415">
        <v>1284</v>
      </c>
      <c r="K3768" s="415">
        <v>1147.57</v>
      </c>
      <c r="L3768" s="415">
        <v>844.89</v>
      </c>
      <c r="M3768" s="415">
        <v>1159.46</v>
      </c>
      <c r="N3768" s="415">
        <v>1075.07</v>
      </c>
      <c r="O3768" s="415">
        <v>1012.17</v>
      </c>
      <c r="P3768" s="415">
        <v>1097.1500000000001</v>
      </c>
      <c r="Q3768" s="481">
        <f t="shared" si="104"/>
        <v>-108.18525199999976</v>
      </c>
    </row>
    <row r="3769" spans="1:17" x14ac:dyDescent="0.3">
      <c r="A3769" s="366" t="str">
        <f>IFERROR(VLOOKUP(RIGHT(E3769,3)+0,[1]SchLocTable!$A$2:$B$47,2,FALSE)," ")</f>
        <v>Roosevelt</v>
      </c>
      <c r="B3769" s="366" t="str">
        <f>VLOOKUP(VALUE(D3769),$D$3:F$106,3,FALSE)</f>
        <v>Security</v>
      </c>
      <c r="C3769" t="s">
        <v>314</v>
      </c>
      <c r="D3769">
        <v>883</v>
      </c>
      <c r="E3769" t="s">
        <v>1124</v>
      </c>
      <c r="F3769" t="s">
        <v>392</v>
      </c>
      <c r="G3769" t="s">
        <v>319</v>
      </c>
      <c r="H3769" s="502">
        <v>52504</v>
      </c>
      <c r="I3769" s="415">
        <v>19951.454852799998</v>
      </c>
      <c r="J3769" s="415">
        <v>19181.63</v>
      </c>
      <c r="K3769" s="415">
        <v>12476.91</v>
      </c>
      <c r="L3769" s="415">
        <v>13050.82</v>
      </c>
      <c r="M3769" s="415">
        <v>20129.400000000001</v>
      </c>
      <c r="N3769" s="415">
        <v>16374.36</v>
      </c>
      <c r="O3769" s="415">
        <v>12803.33</v>
      </c>
      <c r="P3769" s="415">
        <v>12288.83</v>
      </c>
      <c r="Q3769" s="481">
        <f t="shared" si="104"/>
        <v>-769.82485279999673</v>
      </c>
    </row>
    <row r="3770" spans="1:17" x14ac:dyDescent="0.3">
      <c r="A3770" s="366" t="str">
        <f>IFERROR(VLOOKUP(RIGHT(E3770,3)+0,[1]SchLocTable!$A$2:$B$47,2,FALSE)," ")</f>
        <v>Roosevelt</v>
      </c>
      <c r="B3770" s="366" t="str">
        <f>VLOOKUP(VALUE(D3770),$D$3:F$106,3,FALSE)</f>
        <v>Security</v>
      </c>
      <c r="C3770" t="s">
        <v>314</v>
      </c>
      <c r="D3770">
        <v>883</v>
      </c>
      <c r="E3770" t="s">
        <v>1124</v>
      </c>
      <c r="F3770" t="s">
        <v>452</v>
      </c>
      <c r="G3770" t="s">
        <v>319</v>
      </c>
      <c r="H3770" s="502">
        <v>51108</v>
      </c>
      <c r="I3770" s="415">
        <v>0</v>
      </c>
      <c r="J3770" s="415">
        <v>0</v>
      </c>
      <c r="K3770" s="415">
        <v>0</v>
      </c>
      <c r="L3770" s="415">
        <v>255.48</v>
      </c>
      <c r="M3770" s="415">
        <v>0</v>
      </c>
      <c r="N3770" s="415">
        <v>0</v>
      </c>
      <c r="O3770" s="415">
        <v>347.22</v>
      </c>
      <c r="P3770" s="415">
        <v>0</v>
      </c>
      <c r="Q3770" s="481">
        <f t="shared" si="104"/>
        <v>0</v>
      </c>
    </row>
    <row r="3771" spans="1:17" x14ac:dyDescent="0.3">
      <c r="A3771" s="366" t="str">
        <f>IFERROR(VLOOKUP(RIGHT(E3771,3)+0,[1]SchLocTable!$A$2:$B$47,2,FALSE)," ")</f>
        <v>Roosevelt</v>
      </c>
      <c r="B3771" s="366" t="str">
        <f>VLOOKUP(VALUE(D3771),$D$3:F$106,3,FALSE)</f>
        <v>Security</v>
      </c>
      <c r="C3771" t="s">
        <v>314</v>
      </c>
      <c r="D3771">
        <v>883</v>
      </c>
      <c r="E3771" t="s">
        <v>1124</v>
      </c>
      <c r="F3771" t="s">
        <v>483</v>
      </c>
      <c r="G3771" t="s">
        <v>319</v>
      </c>
      <c r="H3771" s="502">
        <v>51122</v>
      </c>
      <c r="I3771" s="415">
        <v>0</v>
      </c>
      <c r="J3771" s="415">
        <v>0</v>
      </c>
      <c r="K3771" s="415">
        <v>0</v>
      </c>
      <c r="L3771" s="415">
        <v>5116.32</v>
      </c>
      <c r="M3771" s="415">
        <v>3590.74</v>
      </c>
      <c r="N3771" s="415">
        <v>762.12</v>
      </c>
      <c r="O3771" s="415">
        <v>1028.6600000000001</v>
      </c>
      <c r="P3771" s="415">
        <v>0</v>
      </c>
      <c r="Q3771" s="481">
        <f t="shared" si="104"/>
        <v>0</v>
      </c>
    </row>
    <row r="3772" spans="1:17" x14ac:dyDescent="0.3">
      <c r="A3772" s="366" t="str">
        <f>IFERROR(VLOOKUP(RIGHT(E3772,3)+0,[1]SchLocTable!$A$2:$B$47,2,FALSE)," ")</f>
        <v>Roosevelt</v>
      </c>
      <c r="B3772" s="366" t="str">
        <f>VLOOKUP(VALUE(D3772),$D$3:F$106,3,FALSE)</f>
        <v>Security</v>
      </c>
      <c r="C3772" t="s">
        <v>314</v>
      </c>
      <c r="D3772">
        <v>883</v>
      </c>
      <c r="E3772" t="s">
        <v>1124</v>
      </c>
      <c r="F3772" t="s">
        <v>324</v>
      </c>
      <c r="G3772" t="s">
        <v>319</v>
      </c>
      <c r="H3772" s="502">
        <v>52385</v>
      </c>
      <c r="I3772" s="415">
        <v>0</v>
      </c>
      <c r="J3772" s="415">
        <v>0</v>
      </c>
      <c r="K3772" s="415">
        <v>1319.65</v>
      </c>
      <c r="L3772" s="415">
        <v>0</v>
      </c>
      <c r="M3772" s="415">
        <v>0</v>
      </c>
      <c r="N3772" s="415">
        <v>0</v>
      </c>
      <c r="O3772" s="415">
        <v>0</v>
      </c>
      <c r="P3772" s="415">
        <v>0</v>
      </c>
      <c r="Q3772" s="481">
        <f t="shared" si="104"/>
        <v>0</v>
      </c>
    </row>
    <row r="3773" spans="1:17" x14ac:dyDescent="0.3">
      <c r="A3773" s="366" t="str">
        <f>IFERROR(VLOOKUP(RIGHT(E3773,3)+0,[1]SchLocTable!$A$2:$B$47,2,FALSE)," ")</f>
        <v>Roosevelt</v>
      </c>
      <c r="B3773" s="366" t="str">
        <f>VLOOKUP(VALUE(D3773),$D$3:F$106,3,FALSE)</f>
        <v>Security</v>
      </c>
      <c r="C3773" t="s">
        <v>314</v>
      </c>
      <c r="D3773">
        <v>883</v>
      </c>
      <c r="E3773" t="s">
        <v>1124</v>
      </c>
      <c r="F3773" t="s">
        <v>356</v>
      </c>
      <c r="G3773" t="s">
        <v>319</v>
      </c>
      <c r="H3773" s="502">
        <v>51156</v>
      </c>
      <c r="I3773" s="415">
        <v>0</v>
      </c>
      <c r="J3773" s="415">
        <v>0</v>
      </c>
      <c r="K3773" s="415">
        <v>0</v>
      </c>
      <c r="L3773" s="415">
        <v>802.8</v>
      </c>
      <c r="M3773" s="415">
        <v>0</v>
      </c>
      <c r="N3773" s="415">
        <v>787.2</v>
      </c>
      <c r="O3773" s="415">
        <v>771.6</v>
      </c>
      <c r="P3773" s="415">
        <v>741.6</v>
      </c>
      <c r="Q3773" s="481">
        <f t="shared" si="104"/>
        <v>0</v>
      </c>
    </row>
    <row r="3774" spans="1:17" x14ac:dyDescent="0.3">
      <c r="A3774" s="366" t="str">
        <f>IFERROR(VLOOKUP(RIGHT(E3774,3)+0,[1]SchLocTable!$A$2:$B$47,2,FALSE)," ")</f>
        <v>Bridgeport Learning Center</v>
      </c>
      <c r="B3774" s="366" t="str">
        <f>VLOOKUP(VALUE(D3774),$D$3:F$106,3,FALSE)</f>
        <v>Security</v>
      </c>
      <c r="C3774" t="s">
        <v>314</v>
      </c>
      <c r="D3774">
        <v>883</v>
      </c>
      <c r="E3774" t="s">
        <v>1125</v>
      </c>
      <c r="F3774" t="s">
        <v>316</v>
      </c>
      <c r="G3774">
        <v>1</v>
      </c>
      <c r="H3774" s="502">
        <v>51000</v>
      </c>
      <c r="I3774" s="415">
        <v>46220.615999999995</v>
      </c>
      <c r="J3774" s="415">
        <v>38130.720000000001</v>
      </c>
      <c r="K3774" s="415">
        <v>44035.44</v>
      </c>
      <c r="L3774" s="415">
        <v>44112.88</v>
      </c>
      <c r="M3774" s="415">
        <v>42344.41</v>
      </c>
      <c r="N3774" s="415">
        <v>38502.959999999999</v>
      </c>
      <c r="O3774" s="415">
        <v>39380.160000000003</v>
      </c>
      <c r="P3774" s="415">
        <v>37519.67</v>
      </c>
      <c r="Q3774" s="481">
        <f t="shared" si="104"/>
        <v>-8089.8959999999934</v>
      </c>
    </row>
    <row r="3775" spans="1:17" x14ac:dyDescent="0.3">
      <c r="A3775" s="366" t="str">
        <f>IFERROR(VLOOKUP(RIGHT(E3775,3)+0,[1]SchLocTable!$A$2:$B$47,2,FALSE)," ")</f>
        <v>Bridgeport Learning Center</v>
      </c>
      <c r="B3775" s="366" t="str">
        <f>VLOOKUP(VALUE(D3775),$D$3:F$106,3,FALSE)</f>
        <v>Security</v>
      </c>
      <c r="C3775" t="s">
        <v>314</v>
      </c>
      <c r="D3775">
        <v>883</v>
      </c>
      <c r="E3775" t="s">
        <v>1125</v>
      </c>
      <c r="F3775" t="s">
        <v>321</v>
      </c>
      <c r="G3775" t="s">
        <v>319</v>
      </c>
      <c r="H3775" s="502">
        <v>52917</v>
      </c>
      <c r="I3775" s="415">
        <v>0</v>
      </c>
      <c r="J3775" s="415">
        <v>0</v>
      </c>
      <c r="K3775" s="415">
        <v>27240.63</v>
      </c>
      <c r="L3775" s="415">
        <v>27210.3</v>
      </c>
      <c r="M3775" s="415">
        <v>25562.15</v>
      </c>
      <c r="N3775" s="415">
        <v>20680.740000000002</v>
      </c>
      <c r="O3775" s="415">
        <v>9326.7800000000007</v>
      </c>
      <c r="P3775" s="415">
        <v>9025.18</v>
      </c>
      <c r="Q3775" s="481">
        <f t="shared" ref="Q3775:Q3838" si="105">J3775-I3775</f>
        <v>0</v>
      </c>
    </row>
    <row r="3776" spans="1:17" x14ac:dyDescent="0.3">
      <c r="A3776" s="366" t="str">
        <f>IFERROR(VLOOKUP(RIGHT(E3776,3)+0,[1]SchLocTable!$A$2:$B$47,2,FALSE)," ")</f>
        <v>Bridgeport Learning Center</v>
      </c>
      <c r="B3776" s="366" t="str">
        <f>VLOOKUP(VALUE(D3776),$D$3:F$106,3,FALSE)</f>
        <v>Security</v>
      </c>
      <c r="C3776" t="s">
        <v>314</v>
      </c>
      <c r="D3776">
        <v>883</v>
      </c>
      <c r="E3776" t="s">
        <v>1125</v>
      </c>
      <c r="F3776" t="s">
        <v>318</v>
      </c>
      <c r="G3776" t="s">
        <v>319</v>
      </c>
      <c r="H3776" s="502">
        <v>51140</v>
      </c>
      <c r="I3776" s="415">
        <v>0</v>
      </c>
      <c r="J3776" s="415">
        <v>0</v>
      </c>
      <c r="K3776" s="415">
        <v>3750</v>
      </c>
      <c r="L3776" s="415">
        <v>2175</v>
      </c>
      <c r="M3776" s="415">
        <v>3712.5</v>
      </c>
      <c r="N3776" s="415">
        <v>3150</v>
      </c>
      <c r="O3776" s="415">
        <v>1125</v>
      </c>
      <c r="P3776" s="415">
        <v>1050</v>
      </c>
      <c r="Q3776" s="481">
        <f t="shared" si="105"/>
        <v>0</v>
      </c>
    </row>
    <row r="3777" spans="1:17" x14ac:dyDescent="0.3">
      <c r="A3777" s="366" t="str">
        <f>IFERROR(VLOOKUP(RIGHT(E3777,3)+0,[1]SchLocTable!$A$2:$B$47,2,FALSE)," ")</f>
        <v>Bridgeport Learning Center</v>
      </c>
      <c r="B3777" s="366" t="str">
        <f>VLOOKUP(VALUE(D3777),$D$3:F$106,3,FALSE)</f>
        <v>Security</v>
      </c>
      <c r="C3777" t="s">
        <v>314</v>
      </c>
      <c r="D3777">
        <v>883</v>
      </c>
      <c r="E3777" t="s">
        <v>1125</v>
      </c>
      <c r="F3777" t="s">
        <v>320</v>
      </c>
      <c r="G3777" t="s">
        <v>319</v>
      </c>
      <c r="H3777" s="502">
        <v>52360</v>
      </c>
      <c r="I3777" s="415">
        <v>670.1989319999999</v>
      </c>
      <c r="J3777" s="415">
        <v>552.89</v>
      </c>
      <c r="K3777" s="415">
        <v>599.84</v>
      </c>
      <c r="L3777" s="415">
        <v>544.33000000000004</v>
      </c>
      <c r="M3777" s="415">
        <v>547.54</v>
      </c>
      <c r="N3777" s="415">
        <v>508.16</v>
      </c>
      <c r="O3777" s="415">
        <v>545.48</v>
      </c>
      <c r="P3777" s="415">
        <v>517.85</v>
      </c>
      <c r="Q3777" s="481">
        <f t="shared" si="105"/>
        <v>-117.30893199999991</v>
      </c>
    </row>
    <row r="3778" spans="1:17" x14ac:dyDescent="0.3">
      <c r="A3778" s="366" t="str">
        <f>IFERROR(VLOOKUP(RIGHT(E3778,3)+0,[1]SchLocTable!$A$2:$B$47,2,FALSE)," ")</f>
        <v>Bridgeport Learning Center</v>
      </c>
      <c r="B3778" s="366" t="str">
        <f>VLOOKUP(VALUE(D3778),$D$3:F$106,3,FALSE)</f>
        <v>Security</v>
      </c>
      <c r="C3778" t="s">
        <v>314</v>
      </c>
      <c r="D3778">
        <v>883</v>
      </c>
      <c r="E3778" t="s">
        <v>1125</v>
      </c>
      <c r="F3778" t="s">
        <v>392</v>
      </c>
      <c r="G3778" t="s">
        <v>319</v>
      </c>
      <c r="H3778" s="502">
        <v>52504</v>
      </c>
      <c r="I3778" s="415">
        <v>9604.6440047999986</v>
      </c>
      <c r="J3778" s="415">
        <v>7566.65</v>
      </c>
      <c r="K3778" s="415">
        <v>9842.09</v>
      </c>
      <c r="L3778" s="415">
        <v>9439.73</v>
      </c>
      <c r="M3778" s="415">
        <v>9929.08</v>
      </c>
      <c r="N3778" s="415">
        <v>7959.42</v>
      </c>
      <c r="O3778" s="415">
        <v>6684.74</v>
      </c>
      <c r="P3778" s="415">
        <v>5511.83</v>
      </c>
      <c r="Q3778" s="481">
        <f t="shared" si="105"/>
        <v>-2037.9940047999989</v>
      </c>
    </row>
    <row r="3779" spans="1:17" x14ac:dyDescent="0.3">
      <c r="A3779" s="366" t="str">
        <f>IFERROR(VLOOKUP(RIGHT(E3779,3)+0,[1]SchLocTable!$A$2:$B$47,2,FALSE)," ")</f>
        <v>Bridgeport Learning Center</v>
      </c>
      <c r="B3779" s="366" t="str">
        <f>VLOOKUP(VALUE(D3779),$D$3:F$106,3,FALSE)</f>
        <v>Security</v>
      </c>
      <c r="C3779" t="s">
        <v>314</v>
      </c>
      <c r="D3779">
        <v>883</v>
      </c>
      <c r="E3779" t="s">
        <v>1125</v>
      </c>
      <c r="F3779" t="s">
        <v>324</v>
      </c>
      <c r="G3779" t="s">
        <v>319</v>
      </c>
      <c r="H3779" s="502">
        <v>52385</v>
      </c>
      <c r="I3779" s="415">
        <v>0</v>
      </c>
      <c r="J3779" s="415">
        <v>0</v>
      </c>
      <c r="K3779" s="415">
        <v>0</v>
      </c>
      <c r="L3779" s="415">
        <v>0</v>
      </c>
      <c r="M3779" s="415">
        <v>0</v>
      </c>
      <c r="N3779" s="415">
        <v>0</v>
      </c>
      <c r="O3779" s="415">
        <v>0</v>
      </c>
      <c r="P3779" s="415">
        <v>0</v>
      </c>
      <c r="Q3779" s="481">
        <f t="shared" si="105"/>
        <v>0</v>
      </c>
    </row>
    <row r="3780" spans="1:17" x14ac:dyDescent="0.3">
      <c r="A3780" s="366" t="str">
        <f>IFERROR(VLOOKUP(RIGHT(E3780,3)+0,[1]SchLocTable!$A$2:$B$47,2,FALSE)," ")</f>
        <v>Bridgeport Learning Center</v>
      </c>
      <c r="B3780" s="366" t="str">
        <f>VLOOKUP(VALUE(D3780),$D$3:F$106,3,FALSE)</f>
        <v>Security</v>
      </c>
      <c r="C3780" t="s">
        <v>314</v>
      </c>
      <c r="D3780">
        <v>883</v>
      </c>
      <c r="E3780" t="s">
        <v>1125</v>
      </c>
      <c r="F3780" t="s">
        <v>329</v>
      </c>
      <c r="G3780" t="s">
        <v>319</v>
      </c>
      <c r="H3780" s="502">
        <v>51154</v>
      </c>
      <c r="I3780" s="415">
        <v>0</v>
      </c>
      <c r="J3780" s="415">
        <v>0</v>
      </c>
      <c r="K3780" s="415">
        <v>1842.12</v>
      </c>
      <c r="L3780" s="415">
        <v>0</v>
      </c>
      <c r="M3780" s="415">
        <v>0</v>
      </c>
      <c r="N3780" s="415">
        <v>0</v>
      </c>
      <c r="O3780" s="415">
        <v>0</v>
      </c>
      <c r="P3780" s="415">
        <v>0</v>
      </c>
      <c r="Q3780" s="481">
        <f t="shared" si="105"/>
        <v>0</v>
      </c>
    </row>
    <row r="3781" spans="1:17" x14ac:dyDescent="0.3">
      <c r="A3781" s="366" t="str">
        <f>IFERROR(VLOOKUP(RIGHT(E3781,3)+0,[1]SchLocTable!$A$2:$B$47,2,FALSE)," ")</f>
        <v>Bridgeport Learning Center</v>
      </c>
      <c r="B3781" s="366" t="str">
        <f>VLOOKUP(VALUE(D3781),$D$3:F$106,3,FALSE)</f>
        <v>Security</v>
      </c>
      <c r="C3781" t="s">
        <v>314</v>
      </c>
      <c r="D3781">
        <v>883</v>
      </c>
      <c r="E3781" t="s">
        <v>1125</v>
      </c>
      <c r="F3781" t="s">
        <v>418</v>
      </c>
      <c r="G3781" t="s">
        <v>319</v>
      </c>
      <c r="H3781" s="502">
        <v>51314</v>
      </c>
      <c r="I3781" s="415">
        <v>722.81280000000004</v>
      </c>
      <c r="J3781" s="415">
        <v>0</v>
      </c>
      <c r="K3781" s="415">
        <v>701.76</v>
      </c>
      <c r="L3781" s="415">
        <v>0</v>
      </c>
      <c r="M3781" s="415">
        <v>0</v>
      </c>
      <c r="N3781" s="415">
        <v>0</v>
      </c>
      <c r="O3781" s="415">
        <v>0</v>
      </c>
      <c r="P3781" s="415">
        <v>0</v>
      </c>
      <c r="Q3781" s="481">
        <f t="shared" si="105"/>
        <v>-722.81280000000004</v>
      </c>
    </row>
    <row r="3782" spans="1:17" x14ac:dyDescent="0.3">
      <c r="A3782" s="366" t="str">
        <f>IFERROR(VLOOKUP(RIGHT(E3782,3)+0,[1]SchLocTable!$A$2:$B$47,2,FALSE)," ")</f>
        <v>Waltersville</v>
      </c>
      <c r="B3782" s="366" t="str">
        <f>VLOOKUP(VALUE(D3782),$D$3:F$106,3,FALSE)</f>
        <v>Security</v>
      </c>
      <c r="C3782" t="s">
        <v>314</v>
      </c>
      <c r="D3782">
        <v>883</v>
      </c>
      <c r="E3782" t="s">
        <v>1126</v>
      </c>
      <c r="F3782" t="s">
        <v>316</v>
      </c>
      <c r="G3782">
        <v>1</v>
      </c>
      <c r="H3782" s="502">
        <v>51000</v>
      </c>
      <c r="I3782" s="415">
        <v>47792.159999999996</v>
      </c>
      <c r="J3782" s="415">
        <v>46176</v>
      </c>
      <c r="K3782" s="415">
        <v>45789.84</v>
      </c>
      <c r="L3782" s="415">
        <v>44283.199999999997</v>
      </c>
      <c r="M3782" s="415">
        <v>43223.88</v>
      </c>
      <c r="N3782" s="415">
        <v>41336.879999999997</v>
      </c>
      <c r="O3782" s="415">
        <v>47644.32</v>
      </c>
      <c r="P3782" s="415">
        <v>46244.22</v>
      </c>
      <c r="Q3782" s="481">
        <f t="shared" si="105"/>
        <v>-1616.1599999999962</v>
      </c>
    </row>
    <row r="3783" spans="1:17" x14ac:dyDescent="0.3">
      <c r="A3783" s="366" t="str">
        <f>IFERROR(VLOOKUP(RIGHT(E3783,3)+0,[1]SchLocTable!$A$2:$B$47,2,FALSE)," ")</f>
        <v>Waltersville</v>
      </c>
      <c r="B3783" s="366" t="str">
        <f>VLOOKUP(VALUE(D3783),$D$3:F$106,3,FALSE)</f>
        <v>Security</v>
      </c>
      <c r="C3783" t="s">
        <v>314</v>
      </c>
      <c r="D3783">
        <v>883</v>
      </c>
      <c r="E3783" t="s">
        <v>1126</v>
      </c>
      <c r="F3783" t="s">
        <v>321</v>
      </c>
      <c r="G3783" t="s">
        <v>319</v>
      </c>
      <c r="H3783" s="502">
        <v>52917</v>
      </c>
      <c r="I3783" s="415">
        <v>37484.928</v>
      </c>
      <c r="J3783" s="415">
        <v>31085</v>
      </c>
      <c r="K3783" s="415">
        <v>28346.78</v>
      </c>
      <c r="L3783" s="415">
        <v>27700.92</v>
      </c>
      <c r="M3783" s="415">
        <v>26057.53</v>
      </c>
      <c r="N3783" s="415">
        <v>24108.57</v>
      </c>
      <c r="O3783" s="415">
        <v>24373.09</v>
      </c>
      <c r="P3783" s="415">
        <v>21848.42</v>
      </c>
      <c r="Q3783" s="481">
        <f t="shared" si="105"/>
        <v>-6399.9279999999999</v>
      </c>
    </row>
    <row r="3784" spans="1:17" x14ac:dyDescent="0.3">
      <c r="A3784" s="366" t="str">
        <f>IFERROR(VLOOKUP(RIGHT(E3784,3)+0,[1]SchLocTable!$A$2:$B$47,2,FALSE)," ")</f>
        <v>Waltersville</v>
      </c>
      <c r="B3784" s="366" t="str">
        <f>VLOOKUP(VALUE(D3784),$D$3:F$106,3,FALSE)</f>
        <v>Security</v>
      </c>
      <c r="C3784" t="s">
        <v>314</v>
      </c>
      <c r="D3784">
        <v>883</v>
      </c>
      <c r="E3784" t="s">
        <v>1126</v>
      </c>
      <c r="F3784" t="s">
        <v>318</v>
      </c>
      <c r="G3784" t="s">
        <v>319</v>
      </c>
      <c r="H3784" s="502">
        <v>51140</v>
      </c>
      <c r="I3784" s="415">
        <v>1350</v>
      </c>
      <c r="J3784" s="415">
        <v>1350</v>
      </c>
      <c r="K3784" s="415">
        <v>1275</v>
      </c>
      <c r="L3784" s="415">
        <v>1200</v>
      </c>
      <c r="M3784" s="415">
        <v>1125</v>
      </c>
      <c r="N3784" s="415">
        <v>1050</v>
      </c>
      <c r="O3784" s="415">
        <v>975</v>
      </c>
      <c r="P3784" s="415">
        <v>900</v>
      </c>
      <c r="Q3784" s="481">
        <f t="shared" si="105"/>
        <v>0</v>
      </c>
    </row>
    <row r="3785" spans="1:17" x14ac:dyDescent="0.3">
      <c r="A3785" s="366" t="str">
        <f>IFERROR(VLOOKUP(RIGHT(E3785,3)+0,[1]SchLocTable!$A$2:$B$47,2,FALSE)," ")</f>
        <v>Waltersville</v>
      </c>
      <c r="B3785" s="366" t="str">
        <f>VLOOKUP(VALUE(D3785),$D$3:F$106,3,FALSE)</f>
        <v>Security</v>
      </c>
      <c r="C3785" t="s">
        <v>314</v>
      </c>
      <c r="D3785">
        <v>883</v>
      </c>
      <c r="E3785" t="s">
        <v>1126</v>
      </c>
      <c r="F3785" t="s">
        <v>320</v>
      </c>
      <c r="G3785" t="s">
        <v>319</v>
      </c>
      <c r="H3785" s="502">
        <v>52360</v>
      </c>
      <c r="I3785" s="415">
        <v>692.98631999999998</v>
      </c>
      <c r="J3785" s="415">
        <v>545</v>
      </c>
      <c r="K3785" s="415">
        <v>558.32000000000005</v>
      </c>
      <c r="L3785" s="415">
        <v>537.04999999999995</v>
      </c>
      <c r="M3785" s="415">
        <v>532.08000000000004</v>
      </c>
      <c r="N3785" s="415">
        <v>508.89</v>
      </c>
      <c r="O3785" s="415">
        <v>592.85</v>
      </c>
      <c r="P3785" s="415">
        <v>585.14</v>
      </c>
      <c r="Q3785" s="481">
        <f t="shared" si="105"/>
        <v>-147.98631999999998</v>
      </c>
    </row>
    <row r="3786" spans="1:17" x14ac:dyDescent="0.3">
      <c r="A3786" s="366" t="str">
        <f>IFERROR(VLOOKUP(RIGHT(E3786,3)+0,[1]SchLocTable!$A$2:$B$47,2,FALSE)," ")</f>
        <v>Waltersville</v>
      </c>
      <c r="B3786" s="366" t="str">
        <f>VLOOKUP(VALUE(D3786),$D$3:F$106,3,FALSE)</f>
        <v>Security</v>
      </c>
      <c r="C3786" t="s">
        <v>314</v>
      </c>
      <c r="D3786">
        <v>883</v>
      </c>
      <c r="E3786" t="s">
        <v>1126</v>
      </c>
      <c r="F3786" t="s">
        <v>392</v>
      </c>
      <c r="G3786" t="s">
        <v>319</v>
      </c>
      <c r="H3786" s="502">
        <v>52504</v>
      </c>
      <c r="I3786" s="415">
        <v>9931.2108480000006</v>
      </c>
      <c r="J3786" s="415">
        <v>9876</v>
      </c>
      <c r="K3786" s="415">
        <v>9783.7099999999991</v>
      </c>
      <c r="L3786" s="415">
        <v>9337.26</v>
      </c>
      <c r="M3786" s="415">
        <v>9683.2800000000007</v>
      </c>
      <c r="N3786" s="415">
        <v>8147.34</v>
      </c>
      <c r="O3786" s="415">
        <v>8022.36</v>
      </c>
      <c r="P3786" s="415">
        <v>6732</v>
      </c>
      <c r="Q3786" s="481">
        <f t="shared" si="105"/>
        <v>-55.210848000000624</v>
      </c>
    </row>
    <row r="3787" spans="1:17" x14ac:dyDescent="0.3">
      <c r="A3787" s="366" t="str">
        <f>IFERROR(VLOOKUP(RIGHT(E3787,3)+0,[1]SchLocTable!$A$2:$B$47,2,FALSE)," ")</f>
        <v>Waltersville</v>
      </c>
      <c r="B3787" s="366" t="str">
        <f>VLOOKUP(VALUE(D3787),$D$3:F$106,3,FALSE)</f>
        <v>Security</v>
      </c>
      <c r="C3787" t="s">
        <v>314</v>
      </c>
      <c r="D3787">
        <v>883</v>
      </c>
      <c r="E3787" t="s">
        <v>1126</v>
      </c>
      <c r="F3787" t="s">
        <v>452</v>
      </c>
      <c r="G3787" t="s">
        <v>319</v>
      </c>
      <c r="H3787" s="502">
        <v>51108</v>
      </c>
      <c r="I3787" s="415">
        <v>0</v>
      </c>
      <c r="J3787" s="415">
        <v>0</v>
      </c>
      <c r="K3787" s="415">
        <v>0</v>
      </c>
      <c r="L3787" s="415">
        <v>15.97</v>
      </c>
      <c r="M3787" s="415">
        <v>0</v>
      </c>
      <c r="N3787" s="415">
        <v>0</v>
      </c>
      <c r="O3787" s="415">
        <v>0</v>
      </c>
      <c r="P3787" s="415">
        <v>0</v>
      </c>
      <c r="Q3787" s="481">
        <f t="shared" si="105"/>
        <v>0</v>
      </c>
    </row>
    <row r="3788" spans="1:17" x14ac:dyDescent="0.3">
      <c r="A3788" s="366" t="str">
        <f>IFERROR(VLOOKUP(RIGHT(E3788,3)+0,[1]SchLocTable!$A$2:$B$47,2,FALSE)," ")</f>
        <v>Waltersville</v>
      </c>
      <c r="B3788" s="366" t="str">
        <f>VLOOKUP(VALUE(D3788),$D$3:F$106,3,FALSE)</f>
        <v>Security</v>
      </c>
      <c r="C3788" t="s">
        <v>314</v>
      </c>
      <c r="D3788">
        <v>883</v>
      </c>
      <c r="E3788" t="s">
        <v>1126</v>
      </c>
      <c r="F3788" t="s">
        <v>483</v>
      </c>
      <c r="G3788" t="s">
        <v>319</v>
      </c>
      <c r="H3788" s="502">
        <v>51122</v>
      </c>
      <c r="I3788" s="415">
        <v>0</v>
      </c>
      <c r="J3788" s="415">
        <v>0</v>
      </c>
      <c r="K3788" s="415">
        <v>441.41</v>
      </c>
      <c r="L3788" s="415">
        <v>286.11</v>
      </c>
      <c r="M3788" s="415">
        <v>488.88</v>
      </c>
      <c r="N3788" s="415">
        <v>254.04</v>
      </c>
      <c r="O3788" s="415">
        <v>124.68</v>
      </c>
      <c r="P3788" s="415">
        <v>0</v>
      </c>
      <c r="Q3788" s="481">
        <f t="shared" si="105"/>
        <v>0</v>
      </c>
    </row>
    <row r="3789" spans="1:17" x14ac:dyDescent="0.3">
      <c r="A3789" s="366" t="str">
        <f>IFERROR(VLOOKUP(RIGHT(E3789,3)+0,[1]SchLocTable!$A$2:$B$47,2,FALSE)," ")</f>
        <v>Claytor</v>
      </c>
      <c r="B3789" s="366" t="str">
        <f>VLOOKUP(VALUE(D3789),$D$3:F$106,3,FALSE)</f>
        <v>Security</v>
      </c>
      <c r="C3789" t="s">
        <v>314</v>
      </c>
      <c r="D3789">
        <v>883</v>
      </c>
      <c r="E3789" t="s">
        <v>1127</v>
      </c>
      <c r="F3789" t="s">
        <v>316</v>
      </c>
      <c r="G3789" t="s">
        <v>319</v>
      </c>
      <c r="H3789" s="502">
        <v>51000</v>
      </c>
      <c r="I3789" s="415">
        <v>0</v>
      </c>
      <c r="J3789" s="415">
        <v>140.36000000000001</v>
      </c>
      <c r="K3789" s="415">
        <v>45649.48</v>
      </c>
      <c r="L3789" s="415">
        <v>44283.199999999997</v>
      </c>
      <c r="M3789" s="415">
        <v>43655.1</v>
      </c>
      <c r="N3789" s="415">
        <v>41494.32</v>
      </c>
      <c r="O3789" s="415">
        <v>77327.62</v>
      </c>
      <c r="P3789" s="415">
        <v>61149.99</v>
      </c>
      <c r="Q3789" s="481">
        <f t="shared" si="105"/>
        <v>140.36000000000001</v>
      </c>
    </row>
    <row r="3790" spans="1:17" x14ac:dyDescent="0.3">
      <c r="A3790" s="366" t="str">
        <f>IFERROR(VLOOKUP(RIGHT(E3790,3)+0,[1]SchLocTable!$A$2:$B$47,2,FALSE)," ")</f>
        <v>Claytor</v>
      </c>
      <c r="B3790" s="366" t="str">
        <f>VLOOKUP(VALUE(D3790),$D$3:F$106,3,FALSE)</f>
        <v>Security</v>
      </c>
      <c r="C3790" t="s">
        <v>314</v>
      </c>
      <c r="D3790">
        <v>883</v>
      </c>
      <c r="E3790" t="s">
        <v>1127</v>
      </c>
      <c r="F3790" t="s">
        <v>360</v>
      </c>
      <c r="G3790" t="s">
        <v>319</v>
      </c>
      <c r="H3790" s="502">
        <v>52920</v>
      </c>
      <c r="I3790" s="415">
        <v>0</v>
      </c>
      <c r="J3790" s="415">
        <v>0</v>
      </c>
      <c r="K3790" s="415">
        <v>0</v>
      </c>
      <c r="L3790" s="415">
        <v>333.34</v>
      </c>
      <c r="M3790" s="415">
        <v>2000</v>
      </c>
      <c r="N3790" s="415">
        <v>2000</v>
      </c>
      <c r="O3790" s="415">
        <v>2000</v>
      </c>
      <c r="P3790" s="415">
        <v>1000</v>
      </c>
      <c r="Q3790" s="481">
        <f t="shared" si="105"/>
        <v>0</v>
      </c>
    </row>
    <row r="3791" spans="1:17" x14ac:dyDescent="0.3">
      <c r="A3791" s="366" t="str">
        <f>IFERROR(VLOOKUP(RIGHT(E3791,3)+0,[1]SchLocTable!$A$2:$B$47,2,FALSE)," ")</f>
        <v>Claytor</v>
      </c>
      <c r="B3791" s="366" t="str">
        <f>VLOOKUP(VALUE(D3791),$D$3:F$106,3,FALSE)</f>
        <v>Security</v>
      </c>
      <c r="C3791" t="s">
        <v>314</v>
      </c>
      <c r="D3791">
        <v>883</v>
      </c>
      <c r="E3791" t="s">
        <v>1127</v>
      </c>
      <c r="F3791" t="s">
        <v>321</v>
      </c>
      <c r="G3791" t="s">
        <v>319</v>
      </c>
      <c r="H3791" s="502">
        <v>52917</v>
      </c>
      <c r="I3791" s="415">
        <v>0</v>
      </c>
      <c r="J3791" s="415">
        <v>196.93</v>
      </c>
      <c r="K3791" s="415">
        <v>11604.16</v>
      </c>
      <c r="L3791" s="415">
        <v>11327.94</v>
      </c>
      <c r="M3791" s="415">
        <v>10648.31</v>
      </c>
      <c r="N3791" s="415">
        <v>11794.95</v>
      </c>
      <c r="O3791" s="415">
        <v>24062.82</v>
      </c>
      <c r="P3791" s="415">
        <v>25741.78</v>
      </c>
      <c r="Q3791" s="481">
        <f t="shared" si="105"/>
        <v>196.93</v>
      </c>
    </row>
    <row r="3792" spans="1:17" x14ac:dyDescent="0.3">
      <c r="A3792" s="366" t="str">
        <f>IFERROR(VLOOKUP(RIGHT(E3792,3)+0,[1]SchLocTable!$A$2:$B$47,2,FALSE)," ")</f>
        <v>Claytor</v>
      </c>
      <c r="B3792" s="366" t="str">
        <f>VLOOKUP(VALUE(D3792),$D$3:F$106,3,FALSE)</f>
        <v>Security</v>
      </c>
      <c r="C3792" t="s">
        <v>314</v>
      </c>
      <c r="D3792">
        <v>883</v>
      </c>
      <c r="E3792" t="s">
        <v>1127</v>
      </c>
      <c r="F3792" t="s">
        <v>318</v>
      </c>
      <c r="G3792" t="s">
        <v>319</v>
      </c>
      <c r="H3792" s="502">
        <v>51140</v>
      </c>
      <c r="I3792" s="415">
        <v>1406.25</v>
      </c>
      <c r="J3792" s="415">
        <v>1406.25</v>
      </c>
      <c r="K3792" s="415">
        <v>1800</v>
      </c>
      <c r="L3792" s="415">
        <v>1725</v>
      </c>
      <c r="M3792" s="415">
        <v>1650</v>
      </c>
      <c r="N3792" s="415">
        <v>1575</v>
      </c>
      <c r="O3792" s="415">
        <v>0</v>
      </c>
      <c r="P3792" s="415">
        <v>0</v>
      </c>
      <c r="Q3792" s="481">
        <f t="shared" si="105"/>
        <v>0</v>
      </c>
    </row>
    <row r="3793" spans="1:17" x14ac:dyDescent="0.3">
      <c r="A3793" s="366" t="str">
        <f>IFERROR(VLOOKUP(RIGHT(E3793,3)+0,[1]SchLocTable!$A$2:$B$47,2,FALSE)," ")</f>
        <v>Claytor</v>
      </c>
      <c r="B3793" s="366" t="str">
        <f>VLOOKUP(VALUE(D3793),$D$3:F$106,3,FALSE)</f>
        <v>Security</v>
      </c>
      <c r="C3793" t="s">
        <v>314</v>
      </c>
      <c r="D3793">
        <v>883</v>
      </c>
      <c r="E3793" t="s">
        <v>1127</v>
      </c>
      <c r="F3793" t="s">
        <v>320</v>
      </c>
      <c r="G3793" t="s">
        <v>319</v>
      </c>
      <c r="H3793" s="502">
        <v>52360</v>
      </c>
      <c r="I3793" s="415">
        <v>0</v>
      </c>
      <c r="J3793" s="415">
        <v>151.52000000000001</v>
      </c>
      <c r="K3793" s="415">
        <v>688.01</v>
      </c>
      <c r="L3793" s="415">
        <v>800.28</v>
      </c>
      <c r="M3793" s="415">
        <v>691.56</v>
      </c>
      <c r="N3793" s="415">
        <v>650.91999999999996</v>
      </c>
      <c r="O3793" s="415">
        <v>1045.29</v>
      </c>
      <c r="P3793" s="415">
        <v>740.35</v>
      </c>
      <c r="Q3793" s="481">
        <f t="shared" si="105"/>
        <v>151.52000000000001</v>
      </c>
    </row>
    <row r="3794" spans="1:17" x14ac:dyDescent="0.3">
      <c r="A3794" s="366" t="str">
        <f>IFERROR(VLOOKUP(RIGHT(E3794,3)+0,[1]SchLocTable!$A$2:$B$47,2,FALSE)," ")</f>
        <v>Claytor</v>
      </c>
      <c r="B3794" s="366" t="str">
        <f>VLOOKUP(VALUE(D3794),$D$3:F$106,3,FALSE)</f>
        <v>Security</v>
      </c>
      <c r="C3794" t="s">
        <v>314</v>
      </c>
      <c r="D3794">
        <v>883</v>
      </c>
      <c r="E3794" t="s">
        <v>1127</v>
      </c>
      <c r="F3794" t="s">
        <v>392</v>
      </c>
      <c r="G3794" t="s">
        <v>319</v>
      </c>
      <c r="H3794" s="502">
        <v>52504</v>
      </c>
      <c r="I3794" s="415">
        <v>0</v>
      </c>
      <c r="J3794" s="415">
        <v>321.39</v>
      </c>
      <c r="K3794" s="415">
        <v>9771.6200000000008</v>
      </c>
      <c r="L3794" s="415">
        <v>11187.77</v>
      </c>
      <c r="M3794" s="415">
        <v>9850.1200000000008</v>
      </c>
      <c r="N3794" s="415">
        <v>8399.98</v>
      </c>
      <c r="O3794" s="415">
        <v>12778.81</v>
      </c>
      <c r="P3794" s="415">
        <v>8748.39</v>
      </c>
      <c r="Q3794" s="481">
        <f t="shared" si="105"/>
        <v>321.39</v>
      </c>
    </row>
    <row r="3795" spans="1:17" x14ac:dyDescent="0.3">
      <c r="A3795" s="366" t="str">
        <f>IFERROR(VLOOKUP(RIGHT(E3795,3)+0,[1]SchLocTable!$A$2:$B$47,2,FALSE)," ")</f>
        <v>Claytor</v>
      </c>
      <c r="B3795" s="366" t="str">
        <f>VLOOKUP(VALUE(D3795),$D$3:F$106,3,FALSE)</f>
        <v>Security</v>
      </c>
      <c r="C3795" t="s">
        <v>314</v>
      </c>
      <c r="D3795">
        <v>883</v>
      </c>
      <c r="E3795" t="s">
        <v>1127</v>
      </c>
      <c r="F3795" t="s">
        <v>483</v>
      </c>
      <c r="G3795" t="s">
        <v>319</v>
      </c>
      <c r="H3795" s="502">
        <v>51122</v>
      </c>
      <c r="I3795" s="415">
        <v>0</v>
      </c>
      <c r="J3795" s="415">
        <v>0</v>
      </c>
      <c r="K3795" s="415">
        <v>0</v>
      </c>
      <c r="L3795" s="415">
        <v>4727.29</v>
      </c>
      <c r="M3795" s="415">
        <v>343.74</v>
      </c>
      <c r="N3795" s="415">
        <v>889.81</v>
      </c>
      <c r="O3795" s="415">
        <v>436.38</v>
      </c>
      <c r="P3795" s="415">
        <v>0</v>
      </c>
      <c r="Q3795" s="481">
        <f t="shared" si="105"/>
        <v>0</v>
      </c>
    </row>
    <row r="3796" spans="1:17" x14ac:dyDescent="0.3">
      <c r="A3796" s="366" t="str">
        <f>IFERROR(VLOOKUP(RIGHT(E3796,3)+0,[1]SchLocTable!$A$2:$B$47,2,FALSE)," ")</f>
        <v>Claytor</v>
      </c>
      <c r="B3796" s="366" t="str">
        <f>VLOOKUP(VALUE(D3796),$D$3:F$106,3,FALSE)</f>
        <v>Security</v>
      </c>
      <c r="C3796" t="s">
        <v>314</v>
      </c>
      <c r="D3796">
        <v>883</v>
      </c>
      <c r="E3796" t="s">
        <v>1127</v>
      </c>
      <c r="F3796" t="s">
        <v>329</v>
      </c>
      <c r="G3796" t="s">
        <v>319</v>
      </c>
      <c r="H3796" s="502">
        <v>51154</v>
      </c>
      <c r="I3796" s="415">
        <v>5556.3968000000004</v>
      </c>
      <c r="J3796" s="415">
        <v>0</v>
      </c>
      <c r="K3796" s="415">
        <v>0</v>
      </c>
      <c r="L3796" s="415">
        <v>0</v>
      </c>
      <c r="M3796" s="415">
        <v>0</v>
      </c>
      <c r="N3796" s="415">
        <v>0</v>
      </c>
      <c r="O3796" s="415">
        <v>0</v>
      </c>
      <c r="P3796" s="415">
        <v>0</v>
      </c>
      <c r="Q3796" s="481">
        <f t="shared" si="105"/>
        <v>-5556.3968000000004</v>
      </c>
    </row>
    <row r="3797" spans="1:17" x14ac:dyDescent="0.3">
      <c r="A3797" s="366" t="str">
        <f>IFERROR(VLOOKUP(RIGHT(E3797,3)+0,[1]SchLocTable!$A$2:$B$47,2,FALSE)," ")</f>
        <v>Claytor</v>
      </c>
      <c r="B3797" s="366" t="str">
        <f>VLOOKUP(VALUE(D3797),$D$3:F$106,3,FALSE)</f>
        <v>Security</v>
      </c>
      <c r="C3797" t="s">
        <v>314</v>
      </c>
      <c r="D3797">
        <v>883</v>
      </c>
      <c r="E3797" t="s">
        <v>1127</v>
      </c>
      <c r="F3797" t="s">
        <v>418</v>
      </c>
      <c r="G3797" t="s">
        <v>319</v>
      </c>
      <c r="H3797" s="502">
        <v>51314</v>
      </c>
      <c r="I3797" s="415">
        <v>3614.0640000000003</v>
      </c>
      <c r="J3797" s="415">
        <v>0</v>
      </c>
      <c r="K3797" s="415">
        <v>0</v>
      </c>
      <c r="L3797" s="415">
        <v>0</v>
      </c>
      <c r="M3797" s="415">
        <v>0</v>
      </c>
      <c r="N3797" s="415">
        <v>0</v>
      </c>
      <c r="O3797" s="415">
        <v>314.88</v>
      </c>
      <c r="P3797" s="415">
        <v>0</v>
      </c>
      <c r="Q3797" s="481">
        <f t="shared" si="105"/>
        <v>-3614.0640000000003</v>
      </c>
    </row>
    <row r="3798" spans="1:17" x14ac:dyDescent="0.3">
      <c r="A3798" s="366" t="str">
        <f>IFERROR(VLOOKUP(RIGHT(E3798,3)+0,[1]SchLocTable!$A$2:$B$47,2,FALSE)," ")</f>
        <v>Johnson</v>
      </c>
      <c r="B3798" s="366" t="str">
        <f>VLOOKUP(VALUE(D3798),$D$3:F$106,3,FALSE)</f>
        <v>Security</v>
      </c>
      <c r="C3798" t="s">
        <v>314</v>
      </c>
      <c r="D3798">
        <v>883</v>
      </c>
      <c r="E3798" t="s">
        <v>1128</v>
      </c>
      <c r="F3798" t="s">
        <v>316</v>
      </c>
      <c r="G3798">
        <v>1</v>
      </c>
      <c r="H3798" s="502">
        <v>51000</v>
      </c>
      <c r="I3798" s="415">
        <v>47792.159999999996</v>
      </c>
      <c r="J3798" s="415">
        <v>46176</v>
      </c>
      <c r="K3798" s="415">
        <v>45702.12</v>
      </c>
      <c r="L3798" s="415">
        <v>44261.91</v>
      </c>
      <c r="M3798" s="415">
        <v>38672.269999999997</v>
      </c>
      <c r="N3798" s="415">
        <v>40910.18</v>
      </c>
      <c r="O3798" s="415">
        <v>77508.25</v>
      </c>
      <c r="P3798" s="415">
        <v>69343.03</v>
      </c>
      <c r="Q3798" s="481">
        <f t="shared" si="105"/>
        <v>-1616.1599999999962</v>
      </c>
    </row>
    <row r="3799" spans="1:17" x14ac:dyDescent="0.3">
      <c r="A3799" s="366" t="str">
        <f>IFERROR(VLOOKUP(RIGHT(E3799,3)+0,[1]SchLocTable!$A$2:$B$47,2,FALSE)," ")</f>
        <v>Johnson</v>
      </c>
      <c r="B3799" s="366" t="str">
        <f>VLOOKUP(VALUE(D3799),$D$3:F$106,3,FALSE)</f>
        <v>Security</v>
      </c>
      <c r="C3799" t="s">
        <v>314</v>
      </c>
      <c r="D3799">
        <v>883</v>
      </c>
      <c r="E3799" t="s">
        <v>1128</v>
      </c>
      <c r="F3799" t="s">
        <v>360</v>
      </c>
      <c r="G3799" t="s">
        <v>319</v>
      </c>
      <c r="H3799" s="502">
        <v>52920</v>
      </c>
      <c r="I3799" s="415">
        <v>0</v>
      </c>
      <c r="J3799" s="415">
        <v>0</v>
      </c>
      <c r="K3799" s="415">
        <v>0</v>
      </c>
      <c r="L3799" s="415">
        <v>2000</v>
      </c>
      <c r="M3799" s="415">
        <v>2000</v>
      </c>
      <c r="N3799" s="415">
        <v>0</v>
      </c>
      <c r="O3799" s="415">
        <v>1000</v>
      </c>
      <c r="P3799" s="415">
        <v>1000</v>
      </c>
      <c r="Q3799" s="481">
        <f t="shared" si="105"/>
        <v>0</v>
      </c>
    </row>
    <row r="3800" spans="1:17" x14ac:dyDescent="0.3">
      <c r="A3800" s="366" t="str">
        <f>IFERROR(VLOOKUP(RIGHT(E3800,3)+0,[1]SchLocTable!$A$2:$B$47,2,FALSE)," ")</f>
        <v>Johnson</v>
      </c>
      <c r="B3800" s="366" t="str">
        <f>VLOOKUP(VALUE(D3800),$D$3:F$106,3,FALSE)</f>
        <v>Security</v>
      </c>
      <c r="C3800" t="s">
        <v>314</v>
      </c>
      <c r="D3800">
        <v>883</v>
      </c>
      <c r="E3800" t="s">
        <v>1128</v>
      </c>
      <c r="F3800" t="s">
        <v>321</v>
      </c>
      <c r="G3800" t="s">
        <v>319</v>
      </c>
      <c r="H3800" s="502">
        <v>52917</v>
      </c>
      <c r="I3800" s="415">
        <v>15260.544</v>
      </c>
      <c r="J3800" s="415">
        <v>12656</v>
      </c>
      <c r="K3800" s="415">
        <v>11726.55</v>
      </c>
      <c r="L3800" s="415">
        <v>11637.86</v>
      </c>
      <c r="M3800" s="415">
        <v>1787.94</v>
      </c>
      <c r="N3800" s="415">
        <v>23182.1</v>
      </c>
      <c r="O3800" s="415">
        <v>15697.77</v>
      </c>
      <c r="P3800" s="415">
        <v>8592.52</v>
      </c>
      <c r="Q3800" s="481">
        <f t="shared" si="105"/>
        <v>-2604.5439999999999</v>
      </c>
    </row>
    <row r="3801" spans="1:17" x14ac:dyDescent="0.3">
      <c r="A3801" s="366" t="str">
        <f>IFERROR(VLOOKUP(RIGHT(E3801,3)+0,[1]SchLocTable!$A$2:$B$47,2,FALSE)," ")</f>
        <v>Johnson</v>
      </c>
      <c r="B3801" s="366" t="str">
        <f>VLOOKUP(VALUE(D3801),$D$3:F$106,3,FALSE)</f>
        <v>Security</v>
      </c>
      <c r="C3801" t="s">
        <v>314</v>
      </c>
      <c r="D3801">
        <v>883</v>
      </c>
      <c r="E3801" t="s">
        <v>1128</v>
      </c>
      <c r="F3801" t="s">
        <v>320</v>
      </c>
      <c r="G3801" t="s">
        <v>319</v>
      </c>
      <c r="H3801" s="502">
        <v>52360</v>
      </c>
      <c r="I3801" s="415">
        <v>692.98631999999998</v>
      </c>
      <c r="J3801" s="415">
        <v>603</v>
      </c>
      <c r="K3801" s="415">
        <v>610.37</v>
      </c>
      <c r="L3801" s="415">
        <v>621.55999999999995</v>
      </c>
      <c r="M3801" s="415">
        <v>573.88</v>
      </c>
      <c r="N3801" s="415">
        <v>510.21</v>
      </c>
      <c r="O3801" s="415">
        <v>1075.19</v>
      </c>
      <c r="P3801" s="415">
        <v>969.55</v>
      </c>
      <c r="Q3801" s="481">
        <f t="shared" si="105"/>
        <v>-89.986319999999978</v>
      </c>
    </row>
    <row r="3802" spans="1:17" x14ac:dyDescent="0.3">
      <c r="A3802" s="366" t="str">
        <f>IFERROR(VLOOKUP(RIGHT(E3802,3)+0,[1]SchLocTable!$A$2:$B$47,2,FALSE)," ")</f>
        <v>Johnson</v>
      </c>
      <c r="B3802" s="366" t="str">
        <f>VLOOKUP(VALUE(D3802),$D$3:F$106,3,FALSE)</f>
        <v>Security</v>
      </c>
      <c r="C3802" t="s">
        <v>314</v>
      </c>
      <c r="D3802">
        <v>883</v>
      </c>
      <c r="E3802" t="s">
        <v>1128</v>
      </c>
      <c r="F3802" t="s">
        <v>392</v>
      </c>
      <c r="G3802" t="s">
        <v>319</v>
      </c>
      <c r="H3802" s="502">
        <v>52504</v>
      </c>
      <c r="I3802" s="415">
        <v>9931.2108480000006</v>
      </c>
      <c r="J3802" s="415">
        <v>9596</v>
      </c>
      <c r="K3802" s="415">
        <v>9497.75</v>
      </c>
      <c r="L3802" s="415">
        <v>9099.8700000000008</v>
      </c>
      <c r="M3802" s="415">
        <v>8169.35</v>
      </c>
      <c r="N3802" s="415">
        <v>8126.54</v>
      </c>
      <c r="O3802" s="415">
        <v>13055.83</v>
      </c>
      <c r="P3802" s="415">
        <v>9931.07</v>
      </c>
      <c r="Q3802" s="481">
        <f t="shared" si="105"/>
        <v>-335.21084800000062</v>
      </c>
    </row>
    <row r="3803" spans="1:17" x14ac:dyDescent="0.3">
      <c r="A3803" s="366" t="str">
        <f>IFERROR(VLOOKUP(RIGHT(E3803,3)+0,[1]SchLocTable!$A$2:$B$47,2,FALSE)," ")</f>
        <v>Johnson</v>
      </c>
      <c r="B3803" s="366" t="str">
        <f>VLOOKUP(VALUE(D3803),$D$3:F$106,3,FALSE)</f>
        <v>Security</v>
      </c>
      <c r="C3803" t="s">
        <v>314</v>
      </c>
      <c r="D3803">
        <v>883</v>
      </c>
      <c r="E3803" t="s">
        <v>1128</v>
      </c>
      <c r="F3803" t="s">
        <v>452</v>
      </c>
      <c r="G3803" t="s">
        <v>319</v>
      </c>
      <c r="H3803" s="502">
        <v>51108</v>
      </c>
      <c r="I3803" s="415">
        <v>0</v>
      </c>
      <c r="J3803" s="415">
        <v>0</v>
      </c>
      <c r="K3803" s="415">
        <v>0</v>
      </c>
      <c r="L3803" s="415">
        <v>215.56</v>
      </c>
      <c r="M3803" s="415">
        <v>180.63</v>
      </c>
      <c r="N3803" s="415">
        <v>0</v>
      </c>
      <c r="O3803" s="415">
        <v>347.22</v>
      </c>
      <c r="P3803" s="415">
        <v>0</v>
      </c>
      <c r="Q3803" s="481">
        <f t="shared" si="105"/>
        <v>0</v>
      </c>
    </row>
    <row r="3804" spans="1:17" x14ac:dyDescent="0.3">
      <c r="A3804" s="366" t="str">
        <f>IFERROR(VLOOKUP(RIGHT(E3804,3)+0,[1]SchLocTable!$A$2:$B$47,2,FALSE)," ")</f>
        <v>Johnson</v>
      </c>
      <c r="B3804" s="366" t="str">
        <f>VLOOKUP(VALUE(D3804),$D$3:F$106,3,FALSE)</f>
        <v>Security</v>
      </c>
      <c r="C3804" t="s">
        <v>314</v>
      </c>
      <c r="D3804">
        <v>883</v>
      </c>
      <c r="E3804" t="s">
        <v>1128</v>
      </c>
      <c r="F3804" t="s">
        <v>483</v>
      </c>
      <c r="G3804" t="s">
        <v>319</v>
      </c>
      <c r="H3804" s="502">
        <v>51122</v>
      </c>
      <c r="I3804" s="415">
        <v>0</v>
      </c>
      <c r="J3804" s="415">
        <v>0</v>
      </c>
      <c r="K3804" s="415">
        <v>415.44</v>
      </c>
      <c r="L3804" s="415">
        <v>120.52</v>
      </c>
      <c r="M3804" s="415">
        <v>149.61000000000001</v>
      </c>
      <c r="N3804" s="415">
        <v>0</v>
      </c>
      <c r="O3804" s="415">
        <v>62.34</v>
      </c>
      <c r="P3804" s="415">
        <v>117.84</v>
      </c>
      <c r="Q3804" s="481">
        <f t="shared" si="105"/>
        <v>0</v>
      </c>
    </row>
    <row r="3805" spans="1:17" x14ac:dyDescent="0.3">
      <c r="A3805" s="366" t="str">
        <f>IFERROR(VLOOKUP(RIGHT(E3805,3)+0,[1]SchLocTable!$A$2:$B$47,2,FALSE)," ")</f>
        <v>Winthrop</v>
      </c>
      <c r="B3805" s="366" t="str">
        <f>VLOOKUP(VALUE(D3805),$D$3:F$106,3,FALSE)</f>
        <v>Security</v>
      </c>
      <c r="C3805" t="s">
        <v>314</v>
      </c>
      <c r="D3805">
        <v>883</v>
      </c>
      <c r="E3805" t="s">
        <v>1129</v>
      </c>
      <c r="F3805" t="s">
        <v>316</v>
      </c>
      <c r="G3805">
        <v>1</v>
      </c>
      <c r="H3805" s="502">
        <v>51000</v>
      </c>
      <c r="I3805" s="415">
        <v>47792.159999999996</v>
      </c>
      <c r="J3805" s="415">
        <v>46176</v>
      </c>
      <c r="K3805" s="415">
        <v>45702.12</v>
      </c>
      <c r="L3805" s="415">
        <v>44283.199999999997</v>
      </c>
      <c r="M3805" s="415">
        <v>16986.830000000002</v>
      </c>
      <c r="N3805" s="415">
        <v>25277.759999999998</v>
      </c>
      <c r="O3805" s="415">
        <v>63027.12</v>
      </c>
      <c r="P3805" s="415">
        <v>39677.660000000003</v>
      </c>
      <c r="Q3805" s="481">
        <f t="shared" si="105"/>
        <v>-1616.1599999999962</v>
      </c>
    </row>
    <row r="3806" spans="1:17" x14ac:dyDescent="0.3">
      <c r="A3806" s="366" t="str">
        <f>IFERROR(VLOOKUP(RIGHT(E3806,3)+0,[1]SchLocTable!$A$2:$B$47,2,FALSE)," ")</f>
        <v>Winthrop</v>
      </c>
      <c r="B3806" s="366" t="str">
        <f>VLOOKUP(VALUE(D3806),$D$3:F$106,3,FALSE)</f>
        <v>Security</v>
      </c>
      <c r="C3806" t="s">
        <v>314</v>
      </c>
      <c r="D3806">
        <v>883</v>
      </c>
      <c r="E3806" t="s">
        <v>1129</v>
      </c>
      <c r="F3806" t="s">
        <v>321</v>
      </c>
      <c r="G3806" t="s">
        <v>319</v>
      </c>
      <c r="H3806" s="502">
        <v>52917</v>
      </c>
      <c r="I3806" s="415">
        <v>45495.840000000004</v>
      </c>
      <c r="J3806" s="415">
        <v>37724</v>
      </c>
      <c r="K3806" s="415">
        <v>34371.18</v>
      </c>
      <c r="L3806" s="415">
        <v>33556.639999999999</v>
      </c>
      <c r="M3806" s="415">
        <v>9441.94</v>
      </c>
      <c r="N3806" s="415">
        <v>13966.25</v>
      </c>
      <c r="O3806" s="415">
        <v>32873.33</v>
      </c>
      <c r="P3806" s="415">
        <v>25756.33</v>
      </c>
      <c r="Q3806" s="481">
        <f t="shared" si="105"/>
        <v>-7771.8400000000038</v>
      </c>
    </row>
    <row r="3807" spans="1:17" x14ac:dyDescent="0.3">
      <c r="A3807" s="366" t="str">
        <f>IFERROR(VLOOKUP(RIGHT(E3807,3)+0,[1]SchLocTable!$A$2:$B$47,2,FALSE)," ")</f>
        <v>Winthrop</v>
      </c>
      <c r="B3807" s="366" t="str">
        <f>VLOOKUP(VALUE(D3807),$D$3:F$106,3,FALSE)</f>
        <v>Security</v>
      </c>
      <c r="C3807" t="s">
        <v>314</v>
      </c>
      <c r="D3807">
        <v>883</v>
      </c>
      <c r="E3807" t="s">
        <v>1129</v>
      </c>
      <c r="F3807" t="s">
        <v>318</v>
      </c>
      <c r="G3807" t="s">
        <v>319</v>
      </c>
      <c r="H3807" s="502">
        <v>51140</v>
      </c>
      <c r="I3807" s="415">
        <v>1425</v>
      </c>
      <c r="J3807" s="415">
        <v>1425</v>
      </c>
      <c r="K3807" s="415">
        <v>1350</v>
      </c>
      <c r="L3807" s="415">
        <v>1275</v>
      </c>
      <c r="M3807" s="415">
        <v>1275</v>
      </c>
      <c r="N3807" s="415">
        <v>1200</v>
      </c>
      <c r="O3807" s="415">
        <v>2400</v>
      </c>
      <c r="P3807" s="415">
        <v>975</v>
      </c>
      <c r="Q3807" s="481">
        <f t="shared" si="105"/>
        <v>0</v>
      </c>
    </row>
    <row r="3808" spans="1:17" x14ac:dyDescent="0.3">
      <c r="A3808" s="366" t="str">
        <f>IFERROR(VLOOKUP(RIGHT(E3808,3)+0,[1]SchLocTable!$A$2:$B$47,2,FALSE)," ")</f>
        <v>Winthrop</v>
      </c>
      <c r="B3808" s="366" t="str">
        <f>VLOOKUP(VALUE(D3808),$D$3:F$106,3,FALSE)</f>
        <v>Security</v>
      </c>
      <c r="C3808" t="s">
        <v>314</v>
      </c>
      <c r="D3808">
        <v>883</v>
      </c>
      <c r="E3808" t="s">
        <v>1129</v>
      </c>
      <c r="F3808" t="s">
        <v>320</v>
      </c>
      <c r="G3808" t="s">
        <v>319</v>
      </c>
      <c r="H3808" s="502">
        <v>52360</v>
      </c>
      <c r="I3808" s="415">
        <v>692.98631999999998</v>
      </c>
      <c r="J3808" s="415">
        <v>514</v>
      </c>
      <c r="K3808" s="415">
        <v>528.25</v>
      </c>
      <c r="L3808" s="415">
        <v>505.46</v>
      </c>
      <c r="M3808" s="415">
        <v>265.95</v>
      </c>
      <c r="N3808" s="415">
        <v>259.49</v>
      </c>
      <c r="O3808" s="415">
        <v>797.33</v>
      </c>
      <c r="P3808" s="415">
        <v>471.35</v>
      </c>
      <c r="Q3808" s="481">
        <f t="shared" si="105"/>
        <v>-178.98631999999998</v>
      </c>
    </row>
    <row r="3809" spans="1:17" x14ac:dyDescent="0.3">
      <c r="A3809" s="366" t="str">
        <f>IFERROR(VLOOKUP(RIGHT(E3809,3)+0,[1]SchLocTable!$A$2:$B$47,2,FALSE)," ")</f>
        <v>Winthrop</v>
      </c>
      <c r="B3809" s="366" t="str">
        <f>VLOOKUP(VALUE(D3809),$D$3:F$106,3,FALSE)</f>
        <v>Security</v>
      </c>
      <c r="C3809" t="s">
        <v>314</v>
      </c>
      <c r="D3809">
        <v>883</v>
      </c>
      <c r="E3809" t="s">
        <v>1129</v>
      </c>
      <c r="F3809" t="s">
        <v>392</v>
      </c>
      <c r="G3809" t="s">
        <v>319</v>
      </c>
      <c r="H3809" s="502">
        <v>52504</v>
      </c>
      <c r="I3809" s="415">
        <v>9931.2108480000006</v>
      </c>
      <c r="J3809" s="415">
        <v>9891</v>
      </c>
      <c r="K3809" s="415">
        <v>9770.7800000000007</v>
      </c>
      <c r="L3809" s="415">
        <v>9290.9500000000007</v>
      </c>
      <c r="M3809" s="415">
        <v>3931</v>
      </c>
      <c r="N3809" s="415">
        <v>5160.6499999999996</v>
      </c>
      <c r="O3809" s="415">
        <v>10756.79</v>
      </c>
      <c r="P3809" s="415">
        <v>5808.25</v>
      </c>
      <c r="Q3809" s="481">
        <f t="shared" si="105"/>
        <v>-40.210848000000624</v>
      </c>
    </row>
    <row r="3810" spans="1:17" x14ac:dyDescent="0.3">
      <c r="A3810" s="366" t="str">
        <f>IFERROR(VLOOKUP(RIGHT(E3810,3)+0,[1]SchLocTable!$A$2:$B$47,2,FALSE)," ")</f>
        <v>Winthrop</v>
      </c>
      <c r="B3810" s="366" t="str">
        <f>VLOOKUP(VALUE(D3810),$D$3:F$106,3,FALSE)</f>
        <v>Security</v>
      </c>
      <c r="C3810" t="s">
        <v>314</v>
      </c>
      <c r="D3810">
        <v>883</v>
      </c>
      <c r="E3810" t="s">
        <v>1129</v>
      </c>
      <c r="F3810" t="s">
        <v>452</v>
      </c>
      <c r="G3810" t="s">
        <v>319</v>
      </c>
      <c r="H3810" s="502">
        <v>51108</v>
      </c>
      <c r="I3810" s="415">
        <v>0</v>
      </c>
      <c r="J3810" s="415">
        <v>0</v>
      </c>
      <c r="K3810" s="415">
        <v>131.58000000000001</v>
      </c>
      <c r="L3810" s="415">
        <v>0</v>
      </c>
      <c r="M3810" s="415">
        <v>0</v>
      </c>
      <c r="N3810" s="415">
        <v>0</v>
      </c>
      <c r="O3810" s="415">
        <v>0</v>
      </c>
      <c r="P3810" s="415">
        <v>0</v>
      </c>
      <c r="Q3810" s="481">
        <f t="shared" si="105"/>
        <v>0</v>
      </c>
    </row>
    <row r="3811" spans="1:17" x14ac:dyDescent="0.3">
      <c r="A3811" s="366" t="str">
        <f>IFERROR(VLOOKUP(RIGHT(E3811,3)+0,[1]SchLocTable!$A$2:$B$47,2,FALSE)," ")</f>
        <v>Winthrop</v>
      </c>
      <c r="B3811" s="366" t="str">
        <f>VLOOKUP(VALUE(D3811),$D$3:F$106,3,FALSE)</f>
        <v>Security</v>
      </c>
      <c r="C3811" t="s">
        <v>314</v>
      </c>
      <c r="D3811">
        <v>883</v>
      </c>
      <c r="E3811" t="s">
        <v>1129</v>
      </c>
      <c r="F3811" t="s">
        <v>483</v>
      </c>
      <c r="G3811" t="s">
        <v>319</v>
      </c>
      <c r="H3811" s="502">
        <v>51122</v>
      </c>
      <c r="I3811" s="415">
        <v>0</v>
      </c>
      <c r="J3811" s="415">
        <v>0</v>
      </c>
      <c r="K3811" s="415">
        <v>259.64999999999998</v>
      </c>
      <c r="L3811" s="415">
        <v>0</v>
      </c>
      <c r="M3811" s="415">
        <v>0</v>
      </c>
      <c r="N3811" s="415">
        <v>654.44000000000005</v>
      </c>
      <c r="O3811" s="415">
        <v>0</v>
      </c>
      <c r="P3811" s="415">
        <v>0</v>
      </c>
      <c r="Q3811" s="481">
        <f t="shared" si="105"/>
        <v>0</v>
      </c>
    </row>
    <row r="3812" spans="1:17" x14ac:dyDescent="0.3">
      <c r="A3812" s="366" t="str">
        <f>IFERROR(VLOOKUP(RIGHT(E3812,3)+0,[1]SchLocTable!$A$2:$B$47,2,FALSE)," ")</f>
        <v>Winthrop</v>
      </c>
      <c r="B3812" s="366" t="str">
        <f>VLOOKUP(VALUE(D3812),$D$3:F$106,3,FALSE)</f>
        <v>Security</v>
      </c>
      <c r="C3812" t="s">
        <v>314</v>
      </c>
      <c r="D3812">
        <v>883</v>
      </c>
      <c r="E3812" t="s">
        <v>1129</v>
      </c>
      <c r="F3812" t="s">
        <v>329</v>
      </c>
      <c r="G3812" t="s">
        <v>319</v>
      </c>
      <c r="H3812" s="502">
        <v>51154</v>
      </c>
      <c r="I3812" s="415">
        <v>0</v>
      </c>
      <c r="J3812" s="415">
        <v>0</v>
      </c>
      <c r="K3812" s="415">
        <v>0</v>
      </c>
      <c r="L3812" s="415">
        <v>0</v>
      </c>
      <c r="M3812" s="415">
        <v>240.84</v>
      </c>
      <c r="N3812" s="415">
        <v>0</v>
      </c>
      <c r="O3812" s="415">
        <v>0</v>
      </c>
      <c r="P3812" s="415">
        <v>0</v>
      </c>
      <c r="Q3812" s="481">
        <f t="shared" si="105"/>
        <v>0</v>
      </c>
    </row>
    <row r="3813" spans="1:17" x14ac:dyDescent="0.3">
      <c r="A3813" s="366" t="str">
        <f>IFERROR(VLOOKUP(RIGHT(E3813,3)+0,[1]SchLocTable!$A$2:$B$47,2,FALSE)," ")</f>
        <v>Winthrop</v>
      </c>
      <c r="B3813" s="366" t="str">
        <f>VLOOKUP(VALUE(D3813),$D$3:F$106,3,FALSE)</f>
        <v>Security</v>
      </c>
      <c r="C3813" t="s">
        <v>314</v>
      </c>
      <c r="D3813">
        <v>883</v>
      </c>
      <c r="E3813" t="s">
        <v>1129</v>
      </c>
      <c r="F3813" t="s">
        <v>418</v>
      </c>
      <c r="G3813" t="s">
        <v>319</v>
      </c>
      <c r="H3813" s="502">
        <v>51314</v>
      </c>
      <c r="I3813" s="415">
        <v>0</v>
      </c>
      <c r="J3813" s="415">
        <v>0</v>
      </c>
      <c r="K3813" s="415">
        <v>0</v>
      </c>
      <c r="L3813" s="415">
        <v>0</v>
      </c>
      <c r="M3813" s="415">
        <v>2890.08</v>
      </c>
      <c r="N3813" s="415">
        <v>0</v>
      </c>
      <c r="O3813" s="415">
        <v>0</v>
      </c>
      <c r="P3813" s="415">
        <v>0</v>
      </c>
      <c r="Q3813" s="481">
        <f t="shared" si="105"/>
        <v>0</v>
      </c>
    </row>
    <row r="3814" spans="1:17" x14ac:dyDescent="0.3">
      <c r="A3814" s="366" t="str">
        <f>IFERROR(VLOOKUP(RIGHT(E3814,3)+0,[1]SchLocTable!$A$2:$B$47,2,FALSE)," ")</f>
        <v>Discovery</v>
      </c>
      <c r="B3814" s="366" t="str">
        <f>VLOOKUP(VALUE(D3814),$D$3:F$106,3,FALSE)</f>
        <v>Security</v>
      </c>
      <c r="C3814" t="s">
        <v>314</v>
      </c>
      <c r="D3814">
        <v>883</v>
      </c>
      <c r="E3814" t="s">
        <v>1130</v>
      </c>
      <c r="F3814" t="s">
        <v>316</v>
      </c>
      <c r="G3814">
        <v>1</v>
      </c>
      <c r="H3814" s="502">
        <v>51000</v>
      </c>
      <c r="I3814" s="415">
        <v>47792.159999999996</v>
      </c>
      <c r="J3814" s="415">
        <v>46176</v>
      </c>
      <c r="K3814" s="415">
        <v>45784.72</v>
      </c>
      <c r="L3814" s="415">
        <v>61624.959999999999</v>
      </c>
      <c r="M3814" s="415">
        <v>36496.43</v>
      </c>
      <c r="N3814" s="415">
        <v>18735.36</v>
      </c>
      <c r="O3814" s="415">
        <v>45504.52</v>
      </c>
      <c r="P3814" s="415">
        <v>40491.69</v>
      </c>
      <c r="Q3814" s="481">
        <f t="shared" si="105"/>
        <v>-1616.1599999999962</v>
      </c>
    </row>
    <row r="3815" spans="1:17" x14ac:dyDescent="0.3">
      <c r="A3815" s="366" t="str">
        <f>IFERROR(VLOOKUP(RIGHT(E3815,3)+0,[1]SchLocTable!$A$2:$B$47,2,FALSE)," ")</f>
        <v>Discovery</v>
      </c>
      <c r="B3815" s="366" t="str">
        <f>VLOOKUP(VALUE(D3815),$D$3:F$106,3,FALSE)</f>
        <v>Security</v>
      </c>
      <c r="C3815" t="s">
        <v>314</v>
      </c>
      <c r="D3815">
        <v>883</v>
      </c>
      <c r="E3815" t="s">
        <v>1130</v>
      </c>
      <c r="F3815" t="s">
        <v>360</v>
      </c>
      <c r="G3815" t="s">
        <v>319</v>
      </c>
      <c r="H3815" s="502">
        <v>52920</v>
      </c>
      <c r="I3815" s="415">
        <v>0</v>
      </c>
      <c r="J3815" s="415">
        <v>0</v>
      </c>
      <c r="K3815" s="415">
        <v>0</v>
      </c>
      <c r="L3815" s="415">
        <v>1000</v>
      </c>
      <c r="M3815" s="415">
        <v>2000</v>
      </c>
      <c r="N3815" s="415">
        <v>0</v>
      </c>
      <c r="O3815" s="415">
        <v>1000</v>
      </c>
      <c r="P3815" s="415">
        <v>0</v>
      </c>
      <c r="Q3815" s="481">
        <f t="shared" si="105"/>
        <v>0</v>
      </c>
    </row>
    <row r="3816" spans="1:17" x14ac:dyDescent="0.3">
      <c r="A3816" s="366" t="str">
        <f>IFERROR(VLOOKUP(RIGHT(E3816,3)+0,[1]SchLocTable!$A$2:$B$47,2,FALSE)," ")</f>
        <v>Discovery</v>
      </c>
      <c r="B3816" s="366" t="str">
        <f>VLOOKUP(VALUE(D3816),$D$3:F$106,3,FALSE)</f>
        <v>Security</v>
      </c>
      <c r="C3816" t="s">
        <v>314</v>
      </c>
      <c r="D3816">
        <v>883</v>
      </c>
      <c r="E3816" t="s">
        <v>1130</v>
      </c>
      <c r="F3816" t="s">
        <v>321</v>
      </c>
      <c r="G3816" t="s">
        <v>319</v>
      </c>
      <c r="H3816" s="502">
        <v>52917</v>
      </c>
      <c r="I3816" s="415">
        <v>14767.583999999999</v>
      </c>
      <c r="J3816" s="415">
        <v>12245</v>
      </c>
      <c r="K3816" s="415">
        <v>11305.85</v>
      </c>
      <c r="L3816" s="415">
        <v>9247.39</v>
      </c>
      <c r="M3816" s="415">
        <v>0</v>
      </c>
      <c r="N3816" s="415">
        <v>6873.09</v>
      </c>
      <c r="O3816" s="415">
        <v>22386.86</v>
      </c>
      <c r="P3816" s="415">
        <v>21259.06</v>
      </c>
      <c r="Q3816" s="481">
        <f t="shared" si="105"/>
        <v>-2522.5839999999989</v>
      </c>
    </row>
    <row r="3817" spans="1:17" x14ac:dyDescent="0.3">
      <c r="A3817" s="366" t="str">
        <f>IFERROR(VLOOKUP(RIGHT(E3817,3)+0,[1]SchLocTable!$A$2:$B$47,2,FALSE)," ")</f>
        <v>Discovery</v>
      </c>
      <c r="B3817" s="366" t="str">
        <f>VLOOKUP(VALUE(D3817),$D$3:F$106,3,FALSE)</f>
        <v>Security</v>
      </c>
      <c r="C3817" t="s">
        <v>314</v>
      </c>
      <c r="D3817">
        <v>883</v>
      </c>
      <c r="E3817" t="s">
        <v>1130</v>
      </c>
      <c r="F3817" t="s">
        <v>318</v>
      </c>
      <c r="G3817" t="s">
        <v>319</v>
      </c>
      <c r="H3817" s="502">
        <v>51140</v>
      </c>
      <c r="I3817" s="415">
        <v>0</v>
      </c>
      <c r="J3817" s="415">
        <v>0</v>
      </c>
      <c r="K3817" s="415">
        <v>0</v>
      </c>
      <c r="L3817" s="415">
        <v>0</v>
      </c>
      <c r="M3817" s="415">
        <v>825</v>
      </c>
      <c r="N3817" s="415">
        <v>750</v>
      </c>
      <c r="O3817" s="415">
        <v>975</v>
      </c>
      <c r="P3817" s="415">
        <v>900</v>
      </c>
      <c r="Q3817" s="481">
        <f t="shared" si="105"/>
        <v>0</v>
      </c>
    </row>
    <row r="3818" spans="1:17" x14ac:dyDescent="0.3">
      <c r="A3818" s="366" t="str">
        <f>IFERROR(VLOOKUP(RIGHT(E3818,3)+0,[1]SchLocTable!$A$2:$B$47,2,FALSE)," ")</f>
        <v>Discovery</v>
      </c>
      <c r="B3818" s="366" t="str">
        <f>VLOOKUP(VALUE(D3818),$D$3:F$106,3,FALSE)</f>
        <v>Security</v>
      </c>
      <c r="C3818" t="s">
        <v>314</v>
      </c>
      <c r="D3818">
        <v>883</v>
      </c>
      <c r="E3818" t="s">
        <v>1130</v>
      </c>
      <c r="F3818" t="s">
        <v>320</v>
      </c>
      <c r="G3818" t="s">
        <v>319</v>
      </c>
      <c r="H3818" s="502">
        <v>52360</v>
      </c>
      <c r="I3818" s="415">
        <v>692.98631999999998</v>
      </c>
      <c r="J3818" s="415">
        <v>603</v>
      </c>
      <c r="K3818" s="415">
        <v>607.51</v>
      </c>
      <c r="L3818" s="415">
        <v>868.11</v>
      </c>
      <c r="M3818" s="415">
        <v>569.41999999999996</v>
      </c>
      <c r="N3818" s="415">
        <v>255.92</v>
      </c>
      <c r="O3818" s="415">
        <v>597.08000000000004</v>
      </c>
      <c r="P3818" s="415">
        <v>501.74</v>
      </c>
      <c r="Q3818" s="481">
        <f t="shared" si="105"/>
        <v>-89.986319999999978</v>
      </c>
    </row>
    <row r="3819" spans="1:17" x14ac:dyDescent="0.3">
      <c r="A3819" s="366" t="str">
        <f>IFERROR(VLOOKUP(RIGHT(E3819,3)+0,[1]SchLocTable!$A$2:$B$47,2,FALSE)," ")</f>
        <v>Discovery</v>
      </c>
      <c r="B3819" s="366" t="str">
        <f>VLOOKUP(VALUE(D3819),$D$3:F$106,3,FALSE)</f>
        <v>Security</v>
      </c>
      <c r="C3819" t="s">
        <v>314</v>
      </c>
      <c r="D3819">
        <v>883</v>
      </c>
      <c r="E3819" t="s">
        <v>1130</v>
      </c>
      <c r="F3819" t="s">
        <v>392</v>
      </c>
      <c r="G3819" t="s">
        <v>319</v>
      </c>
      <c r="H3819" s="502">
        <v>52504</v>
      </c>
      <c r="I3819" s="415">
        <v>9931.2108480000006</v>
      </c>
      <c r="J3819" s="415">
        <v>9596</v>
      </c>
      <c r="K3819" s="415">
        <v>9456.01</v>
      </c>
      <c r="L3819" s="415">
        <v>12639.11</v>
      </c>
      <c r="M3819" s="415">
        <v>8044.29</v>
      </c>
      <c r="N3819" s="415">
        <v>3753.62</v>
      </c>
      <c r="O3819" s="415">
        <v>7793.64</v>
      </c>
      <c r="P3819" s="415">
        <v>5913.39</v>
      </c>
      <c r="Q3819" s="481">
        <f t="shared" si="105"/>
        <v>-335.21084800000062</v>
      </c>
    </row>
    <row r="3820" spans="1:17" x14ac:dyDescent="0.3">
      <c r="A3820" s="366" t="str">
        <f>IFERROR(VLOOKUP(RIGHT(E3820,3)+0,[1]SchLocTable!$A$2:$B$47,2,FALSE)," ")</f>
        <v>Discovery</v>
      </c>
      <c r="B3820" s="366" t="str">
        <f>VLOOKUP(VALUE(D3820),$D$3:F$106,3,FALSE)</f>
        <v>Security</v>
      </c>
      <c r="C3820" t="s">
        <v>314</v>
      </c>
      <c r="D3820">
        <v>883</v>
      </c>
      <c r="E3820" t="s">
        <v>1130</v>
      </c>
      <c r="F3820" t="s">
        <v>483</v>
      </c>
      <c r="G3820" t="s">
        <v>319</v>
      </c>
      <c r="H3820" s="502">
        <v>51122</v>
      </c>
      <c r="I3820" s="415">
        <v>0</v>
      </c>
      <c r="J3820" s="415">
        <v>0</v>
      </c>
      <c r="K3820" s="415">
        <v>129.83000000000001</v>
      </c>
      <c r="L3820" s="415">
        <v>353.43</v>
      </c>
      <c r="M3820" s="415">
        <v>0</v>
      </c>
      <c r="N3820" s="415">
        <v>0</v>
      </c>
      <c r="O3820" s="415">
        <v>507.29</v>
      </c>
      <c r="P3820" s="415">
        <v>0</v>
      </c>
      <c r="Q3820" s="481">
        <f t="shared" si="105"/>
        <v>0</v>
      </c>
    </row>
    <row r="3821" spans="1:17" x14ac:dyDescent="0.3">
      <c r="A3821" s="366" t="str">
        <f>IFERROR(VLOOKUP(RIGHT(E3821,3)+0,[1]SchLocTable!$A$2:$B$47,2,FALSE)," ")</f>
        <v>Cross</v>
      </c>
      <c r="B3821" s="366" t="str">
        <f>VLOOKUP(VALUE(D3821),$D$3:F$106,3,FALSE)</f>
        <v>Security</v>
      </c>
      <c r="C3821" t="s">
        <v>314</v>
      </c>
      <c r="D3821">
        <v>883</v>
      </c>
      <c r="E3821" t="s">
        <v>1131</v>
      </c>
      <c r="F3821" t="s">
        <v>316</v>
      </c>
      <c r="G3821" t="s">
        <v>319</v>
      </c>
      <c r="H3821" s="502">
        <v>51000</v>
      </c>
      <c r="I3821" s="415">
        <v>0</v>
      </c>
      <c r="J3821" s="415">
        <v>46176</v>
      </c>
      <c r="K3821" s="415">
        <v>45702.12</v>
      </c>
      <c r="L3821" s="415">
        <v>44112.88</v>
      </c>
      <c r="M3821" s="415">
        <v>42992.73</v>
      </c>
      <c r="N3821" s="415">
        <v>40694.639999999999</v>
      </c>
      <c r="O3821" s="415">
        <v>47683.68</v>
      </c>
      <c r="P3821" s="415">
        <v>40511.89</v>
      </c>
      <c r="Q3821" s="481">
        <f t="shared" si="105"/>
        <v>46176</v>
      </c>
    </row>
    <row r="3822" spans="1:17" x14ac:dyDescent="0.3">
      <c r="A3822" s="366" t="str">
        <f>IFERROR(VLOOKUP(RIGHT(E3822,3)+0,[1]SchLocTable!$A$2:$B$47,2,FALSE)," ")</f>
        <v>Cross</v>
      </c>
      <c r="B3822" s="366" t="str">
        <f>VLOOKUP(VALUE(D3822),$D$3:F$106,3,FALSE)</f>
        <v>Security</v>
      </c>
      <c r="C3822" t="s">
        <v>314</v>
      </c>
      <c r="D3822">
        <v>883</v>
      </c>
      <c r="E3822" t="s">
        <v>1131</v>
      </c>
      <c r="F3822" t="s">
        <v>321</v>
      </c>
      <c r="G3822" t="s">
        <v>319</v>
      </c>
      <c r="H3822" s="502">
        <v>52917</v>
      </c>
      <c r="I3822" s="415">
        <v>0</v>
      </c>
      <c r="J3822" s="415">
        <v>12687</v>
      </c>
      <c r="K3822" s="415">
        <v>11753.69</v>
      </c>
      <c r="L3822" s="415">
        <v>11666.98</v>
      </c>
      <c r="M3822" s="415">
        <v>10456.379999999999</v>
      </c>
      <c r="N3822" s="415">
        <v>12036.51</v>
      </c>
      <c r="O3822" s="415">
        <v>29265.53</v>
      </c>
      <c r="P3822" s="415">
        <v>26257.43</v>
      </c>
      <c r="Q3822" s="481">
        <f t="shared" si="105"/>
        <v>12687</v>
      </c>
    </row>
    <row r="3823" spans="1:17" x14ac:dyDescent="0.3">
      <c r="A3823" s="366" t="str">
        <f>IFERROR(VLOOKUP(RIGHT(E3823,3)+0,[1]SchLocTable!$A$2:$B$47,2,FALSE)," ")</f>
        <v>Cross</v>
      </c>
      <c r="B3823" s="366" t="str">
        <f>VLOOKUP(VALUE(D3823),$D$3:F$106,3,FALSE)</f>
        <v>Security</v>
      </c>
      <c r="C3823" t="s">
        <v>314</v>
      </c>
      <c r="D3823">
        <v>883</v>
      </c>
      <c r="E3823" t="s">
        <v>1131</v>
      </c>
      <c r="F3823" t="s">
        <v>318</v>
      </c>
      <c r="G3823" t="s">
        <v>319</v>
      </c>
      <c r="H3823" s="502">
        <v>51140</v>
      </c>
      <c r="I3823" s="415">
        <v>750</v>
      </c>
      <c r="J3823" s="415">
        <v>750</v>
      </c>
      <c r="K3823" s="415">
        <v>0</v>
      </c>
      <c r="L3823" s="415">
        <v>0</v>
      </c>
      <c r="M3823" s="415">
        <v>0</v>
      </c>
      <c r="N3823" s="415">
        <v>0</v>
      </c>
      <c r="O3823" s="415">
        <v>1500</v>
      </c>
      <c r="P3823" s="415">
        <v>1425</v>
      </c>
      <c r="Q3823" s="481">
        <f t="shared" si="105"/>
        <v>0</v>
      </c>
    </row>
    <row r="3824" spans="1:17" x14ac:dyDescent="0.3">
      <c r="A3824" s="366" t="str">
        <f>IFERROR(VLOOKUP(RIGHT(E3824,3)+0,[1]SchLocTable!$A$2:$B$47,2,FALSE)," ")</f>
        <v>Cross</v>
      </c>
      <c r="B3824" s="366" t="str">
        <f>VLOOKUP(VALUE(D3824),$D$3:F$106,3,FALSE)</f>
        <v>Security</v>
      </c>
      <c r="C3824" t="s">
        <v>314</v>
      </c>
      <c r="D3824">
        <v>883</v>
      </c>
      <c r="E3824" t="s">
        <v>1131</v>
      </c>
      <c r="F3824" t="s">
        <v>320</v>
      </c>
      <c r="G3824" t="s">
        <v>319</v>
      </c>
      <c r="H3824" s="502">
        <v>52360</v>
      </c>
      <c r="I3824" s="415">
        <v>0</v>
      </c>
      <c r="J3824" s="415">
        <v>614</v>
      </c>
      <c r="K3824" s="415">
        <v>587.03</v>
      </c>
      <c r="L3824" s="415">
        <v>585.85</v>
      </c>
      <c r="M3824" s="415">
        <v>550.33000000000004</v>
      </c>
      <c r="N3824" s="415">
        <v>543.98</v>
      </c>
      <c r="O3824" s="415">
        <v>707.88</v>
      </c>
      <c r="P3824" s="415">
        <v>608.11</v>
      </c>
      <c r="Q3824" s="481">
        <f t="shared" si="105"/>
        <v>614</v>
      </c>
    </row>
    <row r="3825" spans="1:17" x14ac:dyDescent="0.3">
      <c r="A3825" s="366" t="str">
        <f>IFERROR(VLOOKUP(RIGHT(E3825,3)+0,[1]SchLocTable!$A$2:$B$47,2,FALSE)," ")</f>
        <v>Cross</v>
      </c>
      <c r="B3825" s="366" t="str">
        <f>VLOOKUP(VALUE(D3825),$D$3:F$106,3,FALSE)</f>
        <v>Security</v>
      </c>
      <c r="C3825" t="s">
        <v>314</v>
      </c>
      <c r="D3825">
        <v>883</v>
      </c>
      <c r="E3825" t="s">
        <v>1131</v>
      </c>
      <c r="F3825" t="s">
        <v>392</v>
      </c>
      <c r="G3825" t="s">
        <v>319</v>
      </c>
      <c r="H3825" s="502">
        <v>52504</v>
      </c>
      <c r="I3825" s="415">
        <v>0</v>
      </c>
      <c r="J3825" s="415">
        <v>9751</v>
      </c>
      <c r="K3825" s="415">
        <v>9412.2900000000009</v>
      </c>
      <c r="L3825" s="415">
        <v>9238.9699999999993</v>
      </c>
      <c r="M3825" s="415">
        <v>9295.2000000000007</v>
      </c>
      <c r="N3825" s="415">
        <v>7871.27</v>
      </c>
      <c r="O3825" s="415">
        <v>8119.95</v>
      </c>
      <c r="P3825" s="415">
        <v>5991</v>
      </c>
      <c r="Q3825" s="481">
        <f t="shared" si="105"/>
        <v>9751</v>
      </c>
    </row>
    <row r="3826" spans="1:17" x14ac:dyDescent="0.3">
      <c r="A3826" s="366" t="str">
        <f>IFERROR(VLOOKUP(RIGHT(E3826,3)+0,[1]SchLocTable!$A$2:$B$47,2,FALSE)," ")</f>
        <v>Cross</v>
      </c>
      <c r="B3826" s="366" t="str">
        <f>VLOOKUP(VALUE(D3826),$D$3:F$106,3,FALSE)</f>
        <v>Security</v>
      </c>
      <c r="C3826" t="s">
        <v>314</v>
      </c>
      <c r="D3826">
        <v>883</v>
      </c>
      <c r="E3826" t="s">
        <v>1131</v>
      </c>
      <c r="F3826" t="s">
        <v>452</v>
      </c>
      <c r="G3826" t="s">
        <v>319</v>
      </c>
      <c r="H3826" s="502">
        <v>51108</v>
      </c>
      <c r="I3826" s="415">
        <v>0</v>
      </c>
      <c r="J3826" s="415">
        <v>0</v>
      </c>
      <c r="K3826" s="415">
        <v>0</v>
      </c>
      <c r="L3826" s="415">
        <v>89.43</v>
      </c>
      <c r="M3826" s="415">
        <v>0</v>
      </c>
      <c r="N3826" s="415">
        <v>206.64</v>
      </c>
      <c r="O3826" s="415">
        <v>0</v>
      </c>
      <c r="P3826" s="415">
        <v>0</v>
      </c>
      <c r="Q3826" s="481">
        <f t="shared" si="105"/>
        <v>0</v>
      </c>
    </row>
    <row r="3827" spans="1:17" x14ac:dyDescent="0.3">
      <c r="A3827" s="366" t="str">
        <f>IFERROR(VLOOKUP(RIGHT(E3827,3)+0,[1]SchLocTable!$A$2:$B$47,2,FALSE)," ")</f>
        <v>Cross</v>
      </c>
      <c r="B3827" s="366" t="str">
        <f>VLOOKUP(VALUE(D3827),$D$3:F$106,3,FALSE)</f>
        <v>Security</v>
      </c>
      <c r="C3827" t="s">
        <v>314</v>
      </c>
      <c r="D3827">
        <v>883</v>
      </c>
      <c r="E3827" t="s">
        <v>1131</v>
      </c>
      <c r="F3827" t="s">
        <v>483</v>
      </c>
      <c r="G3827" t="s">
        <v>319</v>
      </c>
      <c r="H3827" s="502">
        <v>51122</v>
      </c>
      <c r="I3827" s="415">
        <v>0</v>
      </c>
      <c r="J3827" s="415">
        <v>0</v>
      </c>
      <c r="K3827" s="415">
        <v>0</v>
      </c>
      <c r="L3827" s="415">
        <v>551.37</v>
      </c>
      <c r="M3827" s="415">
        <v>127.02</v>
      </c>
      <c r="N3827" s="415">
        <v>254.04</v>
      </c>
      <c r="O3827" s="415">
        <v>155.85</v>
      </c>
      <c r="P3827" s="415">
        <v>0</v>
      </c>
      <c r="Q3827" s="481">
        <f t="shared" si="105"/>
        <v>0</v>
      </c>
    </row>
    <row r="3828" spans="1:17" x14ac:dyDescent="0.3">
      <c r="A3828" s="366" t="str">
        <f>IFERROR(VLOOKUP(RIGHT(E3828,3)+0,[1]SchLocTable!$A$2:$B$47,2,FALSE)," ")</f>
        <v>Cross</v>
      </c>
      <c r="B3828" s="366" t="str">
        <f>VLOOKUP(VALUE(D3828),$D$3:F$106,3,FALSE)</f>
        <v>Security</v>
      </c>
      <c r="C3828" t="s">
        <v>314</v>
      </c>
      <c r="D3828">
        <v>883</v>
      </c>
      <c r="E3828" t="s">
        <v>1131</v>
      </c>
      <c r="F3828" t="s">
        <v>324</v>
      </c>
      <c r="G3828" t="s">
        <v>319</v>
      </c>
      <c r="H3828" s="502">
        <v>52385</v>
      </c>
      <c r="I3828" s="415">
        <v>0</v>
      </c>
      <c r="J3828" s="415">
        <v>0</v>
      </c>
      <c r="K3828" s="415">
        <v>0</v>
      </c>
      <c r="L3828" s="415">
        <v>8.6199999999999992</v>
      </c>
      <c r="M3828" s="415">
        <v>0</v>
      </c>
      <c r="N3828" s="415">
        <v>0</v>
      </c>
      <c r="O3828" s="415">
        <v>0</v>
      </c>
      <c r="P3828" s="415">
        <v>0</v>
      </c>
      <c r="Q3828" s="481">
        <f t="shared" si="105"/>
        <v>0</v>
      </c>
    </row>
    <row r="3829" spans="1:17" x14ac:dyDescent="0.3">
      <c r="A3829" s="366" t="str">
        <f>IFERROR(VLOOKUP(RIGHT(E3829,3)+0,[1]SchLocTable!$A$2:$B$47,2,FALSE)," ")</f>
        <v>Blackham</v>
      </c>
      <c r="B3829" s="366" t="str">
        <f>VLOOKUP(VALUE(D3829),$D$3:F$106,3,FALSE)</f>
        <v>Security</v>
      </c>
      <c r="C3829" t="s">
        <v>314</v>
      </c>
      <c r="D3829">
        <v>883</v>
      </c>
      <c r="E3829" t="s">
        <v>1132</v>
      </c>
      <c r="F3829" t="s">
        <v>316</v>
      </c>
      <c r="G3829">
        <v>2</v>
      </c>
      <c r="H3829" s="502">
        <v>51000</v>
      </c>
      <c r="I3829" s="415">
        <v>94787.783999999985</v>
      </c>
      <c r="J3829" s="415">
        <v>91582</v>
      </c>
      <c r="K3829" s="415">
        <v>89277.92</v>
      </c>
      <c r="L3829" s="415">
        <v>63375.199999999997</v>
      </c>
      <c r="M3829" s="415">
        <v>73954.149999999994</v>
      </c>
      <c r="N3829" s="415">
        <v>82201.440000000002</v>
      </c>
      <c r="O3829" s="415">
        <v>70246.649999999994</v>
      </c>
      <c r="P3829" s="415">
        <v>63759.39</v>
      </c>
      <c r="Q3829" s="481">
        <f t="shared" si="105"/>
        <v>-3205.7839999999851</v>
      </c>
    </row>
    <row r="3830" spans="1:17" x14ac:dyDescent="0.3">
      <c r="A3830" s="366" t="str">
        <f>IFERROR(VLOOKUP(RIGHT(E3830,3)+0,[1]SchLocTable!$A$2:$B$47,2,FALSE)," ")</f>
        <v>Blackham</v>
      </c>
      <c r="B3830" s="366" t="str">
        <f>VLOOKUP(VALUE(D3830),$D$3:F$106,3,FALSE)</f>
        <v>Security</v>
      </c>
      <c r="C3830" t="s">
        <v>314</v>
      </c>
      <c r="D3830">
        <v>883</v>
      </c>
      <c r="E3830" t="s">
        <v>1132</v>
      </c>
      <c r="F3830" t="s">
        <v>360</v>
      </c>
      <c r="G3830" t="s">
        <v>319</v>
      </c>
      <c r="H3830" s="502">
        <v>52920</v>
      </c>
      <c r="I3830" s="415">
        <v>2000</v>
      </c>
      <c r="J3830" s="415">
        <v>2000</v>
      </c>
      <c r="K3830" s="415">
        <v>2000</v>
      </c>
      <c r="L3830" s="415">
        <v>2000</v>
      </c>
      <c r="M3830" s="415">
        <v>1000</v>
      </c>
      <c r="N3830" s="415">
        <v>2000</v>
      </c>
      <c r="O3830" s="415">
        <v>2000</v>
      </c>
      <c r="P3830" s="415">
        <v>1000</v>
      </c>
      <c r="Q3830" s="481">
        <f t="shared" si="105"/>
        <v>0</v>
      </c>
    </row>
    <row r="3831" spans="1:17" x14ac:dyDescent="0.3">
      <c r="A3831" s="366" t="str">
        <f>IFERROR(VLOOKUP(RIGHT(E3831,3)+0,[1]SchLocTable!$A$2:$B$47,2,FALSE)," ")</f>
        <v>Blackham</v>
      </c>
      <c r="B3831" s="366" t="str">
        <f>VLOOKUP(VALUE(D3831),$D$3:F$106,3,FALSE)</f>
        <v>Security</v>
      </c>
      <c r="C3831" t="s">
        <v>314</v>
      </c>
      <c r="D3831">
        <v>883</v>
      </c>
      <c r="E3831" t="s">
        <v>1132</v>
      </c>
      <c r="F3831" t="s">
        <v>321</v>
      </c>
      <c r="G3831" t="s">
        <v>319</v>
      </c>
      <c r="H3831" s="502">
        <v>52917</v>
      </c>
      <c r="I3831" s="415">
        <v>0</v>
      </c>
      <c r="J3831" s="415">
        <v>0</v>
      </c>
      <c r="K3831" s="415">
        <v>0</v>
      </c>
      <c r="L3831" s="415">
        <v>813.63</v>
      </c>
      <c r="M3831" s="415">
        <v>3527.18</v>
      </c>
      <c r="N3831" s="415">
        <v>4655.1099999999997</v>
      </c>
      <c r="O3831" s="415">
        <v>27589.29</v>
      </c>
      <c r="P3831" s="415">
        <v>22054.83</v>
      </c>
      <c r="Q3831" s="481">
        <f t="shared" si="105"/>
        <v>0</v>
      </c>
    </row>
    <row r="3832" spans="1:17" x14ac:dyDescent="0.3">
      <c r="A3832" s="366" t="str">
        <f>IFERROR(VLOOKUP(RIGHT(E3832,3)+0,[1]SchLocTable!$A$2:$B$47,2,FALSE)," ")</f>
        <v>Blackham</v>
      </c>
      <c r="B3832" s="366" t="str">
        <f>VLOOKUP(VALUE(D3832),$D$3:F$106,3,FALSE)</f>
        <v>Security</v>
      </c>
      <c r="C3832" t="s">
        <v>314</v>
      </c>
      <c r="D3832">
        <v>883</v>
      </c>
      <c r="E3832" t="s">
        <v>1132</v>
      </c>
      <c r="F3832" t="s">
        <v>318</v>
      </c>
      <c r="G3832" t="s">
        <v>319</v>
      </c>
      <c r="H3832" s="502">
        <v>51140</v>
      </c>
      <c r="I3832" s="415">
        <v>0</v>
      </c>
      <c r="J3832" s="415">
        <v>0</v>
      </c>
      <c r="K3832" s="415">
        <v>0</v>
      </c>
      <c r="L3832" s="415">
        <v>1031.25</v>
      </c>
      <c r="M3832" s="415">
        <v>1050</v>
      </c>
      <c r="N3832" s="415">
        <v>975</v>
      </c>
      <c r="O3832" s="415">
        <v>2025</v>
      </c>
      <c r="P3832" s="415">
        <v>1950</v>
      </c>
      <c r="Q3832" s="481">
        <f t="shared" si="105"/>
        <v>0</v>
      </c>
    </row>
    <row r="3833" spans="1:17" x14ac:dyDescent="0.3">
      <c r="A3833" s="366" t="str">
        <f>IFERROR(VLOOKUP(RIGHT(E3833,3)+0,[1]SchLocTable!$A$2:$B$47,2,FALSE)," ")</f>
        <v>Blackham</v>
      </c>
      <c r="B3833" s="366" t="str">
        <f>VLOOKUP(VALUE(D3833),$D$3:F$106,3,FALSE)</f>
        <v>Security</v>
      </c>
      <c r="C3833" t="s">
        <v>314</v>
      </c>
      <c r="D3833">
        <v>883</v>
      </c>
      <c r="E3833" t="s">
        <v>1132</v>
      </c>
      <c r="F3833" t="s">
        <v>320</v>
      </c>
      <c r="G3833" t="s">
        <v>319</v>
      </c>
      <c r="H3833" s="502">
        <v>52360</v>
      </c>
      <c r="I3833" s="415">
        <v>1403.4228679999999</v>
      </c>
      <c r="J3833" s="415">
        <v>1328</v>
      </c>
      <c r="K3833" s="415">
        <v>1323.53</v>
      </c>
      <c r="L3833" s="415">
        <v>1144.02</v>
      </c>
      <c r="M3833" s="415">
        <v>1166.56</v>
      </c>
      <c r="N3833" s="415">
        <v>1230.96</v>
      </c>
      <c r="O3833" s="415">
        <v>980.8</v>
      </c>
      <c r="P3833" s="415">
        <v>967.29</v>
      </c>
      <c r="Q3833" s="481">
        <f t="shared" si="105"/>
        <v>-75.42286799999988</v>
      </c>
    </row>
    <row r="3834" spans="1:17" x14ac:dyDescent="0.3">
      <c r="A3834" s="366" t="str">
        <f>IFERROR(VLOOKUP(RIGHT(E3834,3)+0,[1]SchLocTable!$A$2:$B$47,2,FALSE)," ")</f>
        <v>Blackham</v>
      </c>
      <c r="B3834" s="366" t="str">
        <f>VLOOKUP(VALUE(D3834),$D$3:F$106,3,FALSE)</f>
        <v>Security</v>
      </c>
      <c r="C3834" t="s">
        <v>314</v>
      </c>
      <c r="D3834">
        <v>883</v>
      </c>
      <c r="E3834" t="s">
        <v>1132</v>
      </c>
      <c r="F3834" t="s">
        <v>392</v>
      </c>
      <c r="G3834" t="s">
        <v>319</v>
      </c>
      <c r="H3834" s="502">
        <v>52504</v>
      </c>
      <c r="I3834" s="415">
        <v>20112.501515199998</v>
      </c>
      <c r="J3834" s="415">
        <v>19031</v>
      </c>
      <c r="K3834" s="415">
        <v>18386.16</v>
      </c>
      <c r="L3834" s="415">
        <v>11044.51</v>
      </c>
      <c r="M3834" s="415">
        <v>17217.45</v>
      </c>
      <c r="N3834" s="415">
        <v>15894.23</v>
      </c>
      <c r="O3834" s="415">
        <v>12041.66</v>
      </c>
      <c r="P3834" s="415">
        <v>9373.86</v>
      </c>
      <c r="Q3834" s="481">
        <f t="shared" si="105"/>
        <v>-1081.5015151999978</v>
      </c>
    </row>
    <row r="3835" spans="1:17" x14ac:dyDescent="0.3">
      <c r="A3835" s="366" t="str">
        <f>IFERROR(VLOOKUP(RIGHT(E3835,3)+0,[1]SchLocTable!$A$2:$B$47,2,FALSE)," ")</f>
        <v>Blackham</v>
      </c>
      <c r="B3835" s="366" t="str">
        <f>VLOOKUP(VALUE(D3835),$D$3:F$106,3,FALSE)</f>
        <v>Security</v>
      </c>
      <c r="C3835" t="s">
        <v>314</v>
      </c>
      <c r="D3835">
        <v>883</v>
      </c>
      <c r="E3835" t="s">
        <v>1132</v>
      </c>
      <c r="F3835" t="s">
        <v>483</v>
      </c>
      <c r="G3835" t="s">
        <v>319</v>
      </c>
      <c r="H3835" s="502">
        <v>51122</v>
      </c>
      <c r="I3835" s="415">
        <v>0</v>
      </c>
      <c r="J3835" s="415">
        <v>0</v>
      </c>
      <c r="K3835" s="415">
        <v>0</v>
      </c>
      <c r="L3835" s="415">
        <v>2780.58</v>
      </c>
      <c r="M3835" s="415">
        <v>3762.95</v>
      </c>
      <c r="N3835" s="415">
        <v>0</v>
      </c>
      <c r="O3835" s="415">
        <v>763.69</v>
      </c>
      <c r="P3835" s="415">
        <v>0</v>
      </c>
      <c r="Q3835" s="481">
        <f t="shared" si="105"/>
        <v>0</v>
      </c>
    </row>
    <row r="3836" spans="1:17" x14ac:dyDescent="0.3">
      <c r="A3836" s="366" t="str">
        <f>IFERROR(VLOOKUP(RIGHT(E3836,3)+0,[1]SchLocTable!$A$2:$B$47,2,FALSE)," ")</f>
        <v>Blackham</v>
      </c>
      <c r="B3836" s="366" t="str">
        <f>VLOOKUP(VALUE(D3836),$D$3:F$106,3,FALSE)</f>
        <v>Security</v>
      </c>
      <c r="C3836" t="s">
        <v>314</v>
      </c>
      <c r="D3836">
        <v>883</v>
      </c>
      <c r="E3836" t="s">
        <v>1132</v>
      </c>
      <c r="F3836" t="s">
        <v>324</v>
      </c>
      <c r="G3836" t="s">
        <v>319</v>
      </c>
      <c r="H3836" s="502">
        <v>52385</v>
      </c>
      <c r="I3836" s="415">
        <v>0</v>
      </c>
      <c r="J3836" s="415">
        <v>0</v>
      </c>
      <c r="K3836" s="415">
        <v>0</v>
      </c>
      <c r="L3836" s="415">
        <v>408.31</v>
      </c>
      <c r="M3836" s="415">
        <v>0</v>
      </c>
      <c r="N3836" s="415">
        <v>0</v>
      </c>
      <c r="O3836" s="415">
        <v>0</v>
      </c>
      <c r="P3836" s="415">
        <v>0</v>
      </c>
      <c r="Q3836" s="481">
        <f t="shared" si="105"/>
        <v>0</v>
      </c>
    </row>
    <row r="3837" spans="1:17" x14ac:dyDescent="0.3">
      <c r="A3837" s="366" t="str">
        <f>IFERROR(VLOOKUP(RIGHT(E3837,3)+0,[1]SchLocTable!$A$2:$B$47,2,FALSE)," ")</f>
        <v>Blackham</v>
      </c>
      <c r="B3837" s="366" t="str">
        <f>VLOOKUP(VALUE(D3837),$D$3:F$106,3,FALSE)</f>
        <v>Security</v>
      </c>
      <c r="C3837" t="s">
        <v>314</v>
      </c>
      <c r="D3837">
        <v>883</v>
      </c>
      <c r="E3837" t="s">
        <v>1132</v>
      </c>
      <c r="F3837" t="s">
        <v>329</v>
      </c>
      <c r="G3837" t="s">
        <v>319</v>
      </c>
      <c r="H3837" s="502">
        <v>51154</v>
      </c>
      <c r="I3837" s="415">
        <v>0</v>
      </c>
      <c r="J3837" s="415">
        <v>0</v>
      </c>
      <c r="K3837" s="415">
        <v>0</v>
      </c>
      <c r="L3837" s="415">
        <v>7068.28</v>
      </c>
      <c r="M3837" s="415">
        <v>0</v>
      </c>
      <c r="N3837" s="415">
        <v>0</v>
      </c>
      <c r="O3837" s="415">
        <v>0</v>
      </c>
      <c r="P3837" s="415">
        <v>0</v>
      </c>
      <c r="Q3837" s="481">
        <f t="shared" si="105"/>
        <v>0</v>
      </c>
    </row>
    <row r="3838" spans="1:17" x14ac:dyDescent="0.3">
      <c r="A3838" s="366" t="str">
        <f>IFERROR(VLOOKUP(RIGHT(E3838,3)+0,[1]SchLocTable!$A$2:$B$47,2,FALSE)," ")</f>
        <v>Blackham</v>
      </c>
      <c r="B3838" s="366" t="str">
        <f>VLOOKUP(VALUE(D3838),$D$3:F$106,3,FALSE)</f>
        <v>Security</v>
      </c>
      <c r="C3838" t="s">
        <v>314</v>
      </c>
      <c r="D3838">
        <v>883</v>
      </c>
      <c r="E3838" t="s">
        <v>1132</v>
      </c>
      <c r="F3838" t="s">
        <v>418</v>
      </c>
      <c r="G3838" t="s">
        <v>319</v>
      </c>
      <c r="H3838" s="502">
        <v>51314</v>
      </c>
      <c r="I3838" s="415">
        <v>0</v>
      </c>
      <c r="J3838" s="415">
        <v>0</v>
      </c>
      <c r="K3838" s="415">
        <v>0</v>
      </c>
      <c r="L3838" s="415">
        <v>2725.12</v>
      </c>
      <c r="M3838" s="415">
        <v>0</v>
      </c>
      <c r="N3838" s="415">
        <v>0</v>
      </c>
      <c r="O3838" s="415">
        <v>0</v>
      </c>
      <c r="P3838" s="415">
        <v>0</v>
      </c>
      <c r="Q3838" s="481">
        <f t="shared" si="105"/>
        <v>0</v>
      </c>
    </row>
    <row r="3839" spans="1:17" x14ac:dyDescent="0.3">
      <c r="A3839" s="366" t="str">
        <f>IFERROR(VLOOKUP(RIGHT(E3839,3)+0,[1]SchLocTable!$A$2:$B$47,2,FALSE)," ")</f>
        <v>Blackham</v>
      </c>
      <c r="B3839" s="366" t="str">
        <f>VLOOKUP(VALUE(D3839),$D$3:F$106,3,FALSE)</f>
        <v>Security</v>
      </c>
      <c r="C3839" t="s">
        <v>314</v>
      </c>
      <c r="D3839">
        <v>883</v>
      </c>
      <c r="E3839" t="s">
        <v>1132</v>
      </c>
      <c r="F3839" t="s">
        <v>356</v>
      </c>
      <c r="G3839" t="s">
        <v>319</v>
      </c>
      <c r="H3839" s="502">
        <v>51156</v>
      </c>
      <c r="I3839" s="415">
        <v>0</v>
      </c>
      <c r="J3839" s="415">
        <v>0</v>
      </c>
      <c r="K3839" s="415">
        <v>0</v>
      </c>
      <c r="L3839" s="415">
        <v>0</v>
      </c>
      <c r="M3839" s="415">
        <v>802.8</v>
      </c>
      <c r="N3839" s="415">
        <v>787.2</v>
      </c>
      <c r="O3839" s="415">
        <v>0</v>
      </c>
      <c r="P3839" s="415">
        <v>0</v>
      </c>
      <c r="Q3839" s="481">
        <f t="shared" ref="Q3839:Q3902" si="106">J3839-I3839</f>
        <v>0</v>
      </c>
    </row>
    <row r="3840" spans="1:17" x14ac:dyDescent="0.3">
      <c r="A3840" s="366" t="str">
        <f>IFERROR(VLOOKUP(RIGHT(E3840,3)+0,[1]SchLocTable!$A$2:$B$47,2,FALSE)," ")</f>
        <v>Dunbar</v>
      </c>
      <c r="B3840" s="366" t="str">
        <f>VLOOKUP(VALUE(D3840),$D$3:F$106,3,FALSE)</f>
        <v>Security</v>
      </c>
      <c r="C3840" t="s">
        <v>314</v>
      </c>
      <c r="D3840">
        <v>883</v>
      </c>
      <c r="E3840" t="s">
        <v>1133</v>
      </c>
      <c r="F3840" t="s">
        <v>316</v>
      </c>
      <c r="G3840">
        <v>1</v>
      </c>
      <c r="H3840" s="502">
        <v>51000</v>
      </c>
      <c r="I3840" s="415">
        <v>47792.159999999996</v>
      </c>
      <c r="J3840" s="415">
        <v>46176</v>
      </c>
      <c r="K3840" s="415">
        <v>45740.86</v>
      </c>
      <c r="L3840" s="415">
        <v>38875.550000000003</v>
      </c>
      <c r="M3840" s="415">
        <v>42997.97</v>
      </c>
      <c r="N3840" s="415">
        <v>40314.870000000003</v>
      </c>
      <c r="O3840" s="415">
        <v>46028.34</v>
      </c>
      <c r="P3840" s="415">
        <v>40659.040000000001</v>
      </c>
      <c r="Q3840" s="481">
        <f t="shared" si="106"/>
        <v>-1616.1599999999962</v>
      </c>
    </row>
    <row r="3841" spans="1:17" x14ac:dyDescent="0.3">
      <c r="A3841" s="366" t="str">
        <f>IFERROR(VLOOKUP(RIGHT(E3841,3)+0,[1]SchLocTable!$A$2:$B$47,2,FALSE)," ")</f>
        <v>Dunbar</v>
      </c>
      <c r="B3841" s="366" t="str">
        <f>VLOOKUP(VALUE(D3841),$D$3:F$106,3,FALSE)</f>
        <v>Security</v>
      </c>
      <c r="C3841" t="s">
        <v>314</v>
      </c>
      <c r="D3841">
        <v>883</v>
      </c>
      <c r="E3841" t="s">
        <v>1133</v>
      </c>
      <c r="F3841" t="s">
        <v>360</v>
      </c>
      <c r="G3841" t="s">
        <v>319</v>
      </c>
      <c r="H3841" s="502">
        <v>52920</v>
      </c>
      <c r="I3841" s="415">
        <v>2000</v>
      </c>
      <c r="J3841" s="415">
        <v>0</v>
      </c>
      <c r="K3841" s="415">
        <v>2000</v>
      </c>
      <c r="L3841" s="415">
        <v>0</v>
      </c>
      <c r="M3841" s="415">
        <v>0</v>
      </c>
      <c r="N3841" s="415">
        <v>0</v>
      </c>
      <c r="O3841" s="415">
        <v>0</v>
      </c>
      <c r="P3841" s="415">
        <v>0</v>
      </c>
      <c r="Q3841" s="481">
        <f t="shared" si="106"/>
        <v>-2000</v>
      </c>
    </row>
    <row r="3842" spans="1:17" x14ac:dyDescent="0.3">
      <c r="A3842" s="366" t="str">
        <f>IFERROR(VLOOKUP(RIGHT(E3842,3)+0,[1]SchLocTable!$A$2:$B$47,2,FALSE)," ")</f>
        <v>Dunbar</v>
      </c>
      <c r="B3842" s="366" t="str">
        <f>VLOOKUP(VALUE(D3842),$D$3:F$106,3,FALSE)</f>
        <v>Security</v>
      </c>
      <c r="C3842" t="s">
        <v>314</v>
      </c>
      <c r="D3842">
        <v>883</v>
      </c>
      <c r="E3842" t="s">
        <v>1133</v>
      </c>
      <c r="F3842" t="s">
        <v>321</v>
      </c>
      <c r="G3842" t="s">
        <v>319</v>
      </c>
      <c r="H3842" s="502">
        <v>52917</v>
      </c>
      <c r="I3842" s="415">
        <v>0</v>
      </c>
      <c r="J3842" s="415">
        <v>0</v>
      </c>
      <c r="K3842" s="415">
        <v>0</v>
      </c>
      <c r="L3842" s="415">
        <v>26787.09</v>
      </c>
      <c r="M3842" s="415">
        <v>29533.56</v>
      </c>
      <c r="N3842" s="415">
        <v>25342.46</v>
      </c>
      <c r="O3842" s="415">
        <v>26454.19</v>
      </c>
      <c r="P3842" s="415">
        <v>23225.91</v>
      </c>
      <c r="Q3842" s="481">
        <f t="shared" si="106"/>
        <v>0</v>
      </c>
    </row>
    <row r="3843" spans="1:17" x14ac:dyDescent="0.3">
      <c r="A3843" s="366" t="str">
        <f>IFERROR(VLOOKUP(RIGHT(E3843,3)+0,[1]SchLocTable!$A$2:$B$47,2,FALSE)," ")</f>
        <v>Dunbar</v>
      </c>
      <c r="B3843" s="366" t="str">
        <f>VLOOKUP(VALUE(D3843),$D$3:F$106,3,FALSE)</f>
        <v>Security</v>
      </c>
      <c r="C3843" t="s">
        <v>314</v>
      </c>
      <c r="D3843">
        <v>883</v>
      </c>
      <c r="E3843" t="s">
        <v>1133</v>
      </c>
      <c r="F3843" t="s">
        <v>318</v>
      </c>
      <c r="G3843" t="s">
        <v>319</v>
      </c>
      <c r="H3843" s="502">
        <v>51140</v>
      </c>
      <c r="I3843" s="415">
        <v>900</v>
      </c>
      <c r="J3843" s="415">
        <v>900</v>
      </c>
      <c r="K3843" s="415">
        <v>825</v>
      </c>
      <c r="L3843" s="415">
        <v>750</v>
      </c>
      <c r="M3843" s="415">
        <v>0</v>
      </c>
      <c r="N3843" s="415">
        <v>0</v>
      </c>
      <c r="O3843" s="415">
        <v>0</v>
      </c>
      <c r="P3843" s="415">
        <v>0</v>
      </c>
      <c r="Q3843" s="481">
        <f t="shared" si="106"/>
        <v>0</v>
      </c>
    </row>
    <row r="3844" spans="1:17" x14ac:dyDescent="0.3">
      <c r="A3844" s="366" t="str">
        <f>IFERROR(VLOOKUP(RIGHT(E3844,3)+0,[1]SchLocTable!$A$2:$B$47,2,FALSE)," ")</f>
        <v>Dunbar</v>
      </c>
      <c r="B3844" s="366" t="str">
        <f>VLOOKUP(VALUE(D3844),$D$3:F$106,3,FALSE)</f>
        <v>Security</v>
      </c>
      <c r="C3844" t="s">
        <v>314</v>
      </c>
      <c r="D3844">
        <v>883</v>
      </c>
      <c r="E3844" t="s">
        <v>1133</v>
      </c>
      <c r="F3844" t="s">
        <v>320</v>
      </c>
      <c r="G3844" t="s">
        <v>319</v>
      </c>
      <c r="H3844" s="502">
        <v>52360</v>
      </c>
      <c r="I3844" s="415">
        <v>721.98631999999998</v>
      </c>
      <c r="J3844" s="415">
        <v>683</v>
      </c>
      <c r="K3844" s="415">
        <v>704.2</v>
      </c>
      <c r="L3844" s="415">
        <v>429.75</v>
      </c>
      <c r="M3844" s="415">
        <v>428.51</v>
      </c>
      <c r="N3844" s="415">
        <v>403.59</v>
      </c>
      <c r="O3844" s="415">
        <v>504.4</v>
      </c>
      <c r="P3844" s="415">
        <v>446.97</v>
      </c>
      <c r="Q3844" s="481">
        <f t="shared" si="106"/>
        <v>-38.986319999999978</v>
      </c>
    </row>
    <row r="3845" spans="1:17" x14ac:dyDescent="0.3">
      <c r="A3845" s="366" t="str">
        <f>IFERROR(VLOOKUP(RIGHT(E3845,3)+0,[1]SchLocTable!$A$2:$B$47,2,FALSE)," ")</f>
        <v>Dunbar</v>
      </c>
      <c r="B3845" s="366" t="str">
        <f>VLOOKUP(VALUE(D3845),$D$3:F$106,3,FALSE)</f>
        <v>Security</v>
      </c>
      <c r="C3845" t="s">
        <v>314</v>
      </c>
      <c r="D3845">
        <v>883</v>
      </c>
      <c r="E3845" t="s">
        <v>1133</v>
      </c>
      <c r="F3845" t="s">
        <v>392</v>
      </c>
      <c r="G3845" t="s">
        <v>319</v>
      </c>
      <c r="H3845" s="502">
        <v>52504</v>
      </c>
      <c r="I3845" s="415">
        <v>10346.810848000001</v>
      </c>
      <c r="J3845" s="415">
        <v>9782</v>
      </c>
      <c r="K3845" s="415">
        <v>9590.1200000000008</v>
      </c>
      <c r="L3845" s="415">
        <v>8081.3</v>
      </c>
      <c r="M3845" s="415">
        <v>9268.93</v>
      </c>
      <c r="N3845" s="415">
        <v>7704.91</v>
      </c>
      <c r="O3845" s="415">
        <v>7633.2</v>
      </c>
      <c r="P3845" s="415">
        <v>5812.09</v>
      </c>
      <c r="Q3845" s="481">
        <f t="shared" si="106"/>
        <v>-564.81084800000099</v>
      </c>
    </row>
    <row r="3846" spans="1:17" x14ac:dyDescent="0.3">
      <c r="A3846" s="366" t="str">
        <f>IFERROR(VLOOKUP(RIGHT(E3846,3)+0,[1]SchLocTable!$A$2:$B$47,2,FALSE)," ")</f>
        <v>Curiale</v>
      </c>
      <c r="B3846" s="366" t="str">
        <f>VLOOKUP(VALUE(D3846),$D$3:F$106,3,FALSE)</f>
        <v>Security</v>
      </c>
      <c r="C3846" t="s">
        <v>314</v>
      </c>
      <c r="D3846">
        <v>883</v>
      </c>
      <c r="E3846" t="s">
        <v>1134</v>
      </c>
      <c r="F3846" t="s">
        <v>316</v>
      </c>
      <c r="G3846">
        <v>1</v>
      </c>
      <c r="H3846" s="502">
        <v>51000</v>
      </c>
      <c r="I3846" s="415">
        <v>47792.159999999996</v>
      </c>
      <c r="J3846" s="415">
        <v>42271.77</v>
      </c>
      <c r="K3846" s="415">
        <v>87622.52</v>
      </c>
      <c r="L3846" s="415">
        <v>85929.279999999999</v>
      </c>
      <c r="M3846" s="415">
        <v>42698.74</v>
      </c>
      <c r="N3846" s="415">
        <v>38698.33</v>
      </c>
      <c r="O3846" s="415">
        <v>74435.95</v>
      </c>
      <c r="P3846" s="415">
        <v>39724.44</v>
      </c>
      <c r="Q3846" s="481">
        <f t="shared" si="106"/>
        <v>-5520.3899999999994</v>
      </c>
    </row>
    <row r="3847" spans="1:17" x14ac:dyDescent="0.3">
      <c r="A3847" s="366" t="str">
        <f>IFERROR(VLOOKUP(RIGHT(E3847,3)+0,[1]SchLocTable!$A$2:$B$47,2,FALSE)," ")</f>
        <v>Curiale</v>
      </c>
      <c r="B3847" s="366" t="str">
        <f>VLOOKUP(VALUE(D3847),$D$3:F$106,3,FALSE)</f>
        <v>Security</v>
      </c>
      <c r="C3847" t="s">
        <v>314</v>
      </c>
      <c r="D3847">
        <v>883</v>
      </c>
      <c r="E3847" t="s">
        <v>1134</v>
      </c>
      <c r="F3847" t="s">
        <v>360</v>
      </c>
      <c r="G3847" t="s">
        <v>319</v>
      </c>
      <c r="H3847" s="502">
        <v>52920</v>
      </c>
      <c r="I3847" s="415">
        <v>2000</v>
      </c>
      <c r="J3847" s="415">
        <v>2000</v>
      </c>
      <c r="K3847" s="415">
        <v>2000</v>
      </c>
      <c r="L3847" s="415">
        <v>2000</v>
      </c>
      <c r="M3847" s="415">
        <v>3000</v>
      </c>
      <c r="N3847" s="415">
        <v>1000</v>
      </c>
      <c r="O3847" s="415">
        <v>2000</v>
      </c>
      <c r="P3847" s="415">
        <v>2000</v>
      </c>
      <c r="Q3847" s="481">
        <f t="shared" si="106"/>
        <v>0</v>
      </c>
    </row>
    <row r="3848" spans="1:17" x14ac:dyDescent="0.3">
      <c r="A3848" s="366" t="str">
        <f>IFERROR(VLOOKUP(RIGHT(E3848,3)+0,[1]SchLocTable!$A$2:$B$47,2,FALSE)," ")</f>
        <v>Curiale</v>
      </c>
      <c r="B3848" s="366" t="str">
        <f>VLOOKUP(VALUE(D3848),$D$3:F$106,3,FALSE)</f>
        <v>Security</v>
      </c>
      <c r="C3848" t="s">
        <v>314</v>
      </c>
      <c r="D3848">
        <v>883</v>
      </c>
      <c r="E3848" t="s">
        <v>1134</v>
      </c>
      <c r="F3848" t="s">
        <v>321</v>
      </c>
      <c r="G3848" t="s">
        <v>319</v>
      </c>
      <c r="H3848" s="502">
        <v>52917</v>
      </c>
      <c r="I3848" s="415">
        <v>1052.6879999999999</v>
      </c>
      <c r="J3848" s="415">
        <v>2054.1799999999998</v>
      </c>
      <c r="K3848" s="415">
        <v>12027.67</v>
      </c>
      <c r="L3848" s="415">
        <v>11183.38</v>
      </c>
      <c r="M3848" s="415">
        <v>3168</v>
      </c>
      <c r="N3848" s="415">
        <v>1906.85</v>
      </c>
      <c r="O3848" s="415">
        <v>16817.41</v>
      </c>
      <c r="P3848" s="415">
        <v>1339.76</v>
      </c>
      <c r="Q3848" s="481">
        <f t="shared" si="106"/>
        <v>1001.492</v>
      </c>
    </row>
    <row r="3849" spans="1:17" x14ac:dyDescent="0.3">
      <c r="A3849" s="366" t="str">
        <f>IFERROR(VLOOKUP(RIGHT(E3849,3)+0,[1]SchLocTable!$A$2:$B$47,2,FALSE)," ")</f>
        <v>Curiale</v>
      </c>
      <c r="B3849" s="366" t="str">
        <f>VLOOKUP(VALUE(D3849),$D$3:F$106,3,FALSE)</f>
        <v>Security</v>
      </c>
      <c r="C3849" t="s">
        <v>314</v>
      </c>
      <c r="D3849">
        <v>883</v>
      </c>
      <c r="E3849" t="s">
        <v>1134</v>
      </c>
      <c r="F3849" t="s">
        <v>318</v>
      </c>
      <c r="G3849" t="s">
        <v>319</v>
      </c>
      <c r="H3849" s="502">
        <v>51140</v>
      </c>
      <c r="I3849" s="415">
        <v>825</v>
      </c>
      <c r="J3849" s="415">
        <v>825</v>
      </c>
      <c r="K3849" s="415">
        <v>750</v>
      </c>
      <c r="L3849" s="415">
        <v>840</v>
      </c>
      <c r="M3849" s="415">
        <v>0</v>
      </c>
      <c r="N3849" s="415">
        <v>0</v>
      </c>
      <c r="O3849" s="415">
        <v>0</v>
      </c>
      <c r="P3849" s="415">
        <v>0</v>
      </c>
      <c r="Q3849" s="481">
        <f t="shared" si="106"/>
        <v>0</v>
      </c>
    </row>
    <row r="3850" spans="1:17" x14ac:dyDescent="0.3">
      <c r="A3850" s="366" t="str">
        <f>IFERROR(VLOOKUP(RIGHT(E3850,3)+0,[1]SchLocTable!$A$2:$B$47,2,FALSE)," ")</f>
        <v>Curiale</v>
      </c>
      <c r="B3850" s="366" t="str">
        <f>VLOOKUP(VALUE(D3850),$D$3:F$106,3,FALSE)</f>
        <v>Security</v>
      </c>
      <c r="C3850" t="s">
        <v>314</v>
      </c>
      <c r="D3850">
        <v>883</v>
      </c>
      <c r="E3850" t="s">
        <v>1134</v>
      </c>
      <c r="F3850" t="s">
        <v>320</v>
      </c>
      <c r="G3850" t="s">
        <v>319</v>
      </c>
      <c r="H3850" s="502">
        <v>52360</v>
      </c>
      <c r="I3850" s="415">
        <v>721.98631999999998</v>
      </c>
      <c r="J3850" s="415">
        <v>604.55999999999995</v>
      </c>
      <c r="K3850" s="415">
        <v>1261.4100000000001</v>
      </c>
      <c r="L3850" s="415">
        <v>1251.1600000000001</v>
      </c>
      <c r="M3850" s="415">
        <v>685.99</v>
      </c>
      <c r="N3850" s="415">
        <v>600.33000000000004</v>
      </c>
      <c r="O3850" s="415">
        <v>1026.81</v>
      </c>
      <c r="P3850" s="415">
        <v>604.96</v>
      </c>
      <c r="Q3850" s="481">
        <f t="shared" si="106"/>
        <v>-117.42632000000003</v>
      </c>
    </row>
    <row r="3851" spans="1:17" x14ac:dyDescent="0.3">
      <c r="A3851" s="366" t="str">
        <f>IFERROR(VLOOKUP(RIGHT(E3851,3)+0,[1]SchLocTable!$A$2:$B$47,2,FALSE)," ")</f>
        <v>Curiale</v>
      </c>
      <c r="B3851" s="366" t="str">
        <f>VLOOKUP(VALUE(D3851),$D$3:F$106,3,FALSE)</f>
        <v>Security</v>
      </c>
      <c r="C3851" t="s">
        <v>314</v>
      </c>
      <c r="D3851">
        <v>883</v>
      </c>
      <c r="E3851" t="s">
        <v>1134</v>
      </c>
      <c r="F3851" t="s">
        <v>392</v>
      </c>
      <c r="G3851" t="s">
        <v>319</v>
      </c>
      <c r="H3851" s="502">
        <v>52504</v>
      </c>
      <c r="I3851" s="415">
        <v>10346.810848000001</v>
      </c>
      <c r="J3851" s="415">
        <v>8770.98</v>
      </c>
      <c r="K3851" s="415">
        <v>18330.02</v>
      </c>
      <c r="L3851" s="415">
        <v>17956.16</v>
      </c>
      <c r="M3851" s="415">
        <v>9670.3799999999992</v>
      </c>
      <c r="N3851" s="415">
        <v>7798.73</v>
      </c>
      <c r="O3851" s="415">
        <v>12517.96</v>
      </c>
      <c r="P3851" s="415">
        <v>5676.15</v>
      </c>
      <c r="Q3851" s="481">
        <f t="shared" si="106"/>
        <v>-1575.8308480000014</v>
      </c>
    </row>
    <row r="3852" spans="1:17" x14ac:dyDescent="0.3">
      <c r="A3852" s="366" t="str">
        <f>IFERROR(VLOOKUP(RIGHT(E3852,3)+0,[1]SchLocTable!$A$2:$B$47,2,FALSE)," ")</f>
        <v>Curiale</v>
      </c>
      <c r="B3852" s="366" t="str">
        <f>VLOOKUP(VALUE(D3852),$D$3:F$106,3,FALSE)</f>
        <v>Security</v>
      </c>
      <c r="C3852" t="s">
        <v>314</v>
      </c>
      <c r="D3852">
        <v>883</v>
      </c>
      <c r="E3852" t="s">
        <v>1134</v>
      </c>
      <c r="F3852" t="s">
        <v>452</v>
      </c>
      <c r="G3852" t="s">
        <v>319</v>
      </c>
      <c r="H3852" s="502">
        <v>51108</v>
      </c>
      <c r="I3852" s="415">
        <v>0</v>
      </c>
      <c r="J3852" s="415">
        <v>0</v>
      </c>
      <c r="K3852" s="415">
        <v>16.45</v>
      </c>
      <c r="L3852" s="415">
        <v>507.46</v>
      </c>
      <c r="M3852" s="415">
        <v>1467.58</v>
      </c>
      <c r="N3852" s="415">
        <v>2083.8000000000002</v>
      </c>
      <c r="O3852" s="415">
        <v>90.79</v>
      </c>
      <c r="P3852" s="415">
        <v>0</v>
      </c>
      <c r="Q3852" s="481">
        <f t="shared" si="106"/>
        <v>0</v>
      </c>
    </row>
    <row r="3853" spans="1:17" x14ac:dyDescent="0.3">
      <c r="A3853" s="366" t="str">
        <f>IFERROR(VLOOKUP(RIGHT(E3853,3)+0,[1]SchLocTable!$A$2:$B$47,2,FALSE)," ")</f>
        <v>Curiale</v>
      </c>
      <c r="B3853" s="366" t="str">
        <f>VLOOKUP(VALUE(D3853),$D$3:F$106,3,FALSE)</f>
        <v>Security</v>
      </c>
      <c r="C3853" t="s">
        <v>314</v>
      </c>
      <c r="D3853">
        <v>883</v>
      </c>
      <c r="E3853" t="s">
        <v>1134</v>
      </c>
      <c r="F3853" t="s">
        <v>483</v>
      </c>
      <c r="G3853" t="s">
        <v>319</v>
      </c>
      <c r="H3853" s="502">
        <v>51122</v>
      </c>
      <c r="I3853" s="415">
        <v>0</v>
      </c>
      <c r="J3853" s="415">
        <v>0</v>
      </c>
      <c r="K3853" s="415">
        <v>624.51</v>
      </c>
      <c r="L3853" s="415">
        <v>0</v>
      </c>
      <c r="M3853" s="415">
        <v>258.31</v>
      </c>
      <c r="N3853" s="415">
        <v>127.02</v>
      </c>
      <c r="O3853" s="415">
        <v>1444.07</v>
      </c>
      <c r="P3853" s="415">
        <v>0</v>
      </c>
      <c r="Q3853" s="481">
        <f t="shared" si="106"/>
        <v>0</v>
      </c>
    </row>
    <row r="3854" spans="1:17" x14ac:dyDescent="0.3">
      <c r="A3854" s="366" t="str">
        <f>IFERROR(VLOOKUP(RIGHT(E3854,3)+0,[1]SchLocTable!$A$2:$B$47,2,FALSE)," ")</f>
        <v xml:space="preserve"> </v>
      </c>
      <c r="B3854" s="366" t="str">
        <f>VLOOKUP(VALUE(D3854),$D$3:F$106,3,FALSE)</f>
        <v>Security</v>
      </c>
      <c r="C3854" t="s">
        <v>314</v>
      </c>
      <c r="D3854">
        <v>883</v>
      </c>
      <c r="E3854" t="s">
        <v>1135</v>
      </c>
      <c r="F3854" t="s">
        <v>320</v>
      </c>
      <c r="G3854" t="s">
        <v>319</v>
      </c>
      <c r="H3854" s="502">
        <v>52360</v>
      </c>
      <c r="I3854" s="415">
        <v>0</v>
      </c>
      <c r="J3854" s="415">
        <v>0</v>
      </c>
      <c r="K3854" s="415">
        <v>0.8</v>
      </c>
      <c r="L3854" s="415">
        <v>0</v>
      </c>
      <c r="M3854" s="415">
        <v>0</v>
      </c>
      <c r="N3854" s="415">
        <v>0</v>
      </c>
      <c r="O3854" s="415">
        <v>0</v>
      </c>
      <c r="P3854" s="415">
        <v>0</v>
      </c>
      <c r="Q3854" s="481">
        <f t="shared" si="106"/>
        <v>0</v>
      </c>
    </row>
    <row r="3855" spans="1:17" x14ac:dyDescent="0.3">
      <c r="A3855" s="366" t="str">
        <f>IFERROR(VLOOKUP(RIGHT(E3855,3)+0,[1]SchLocTable!$A$2:$B$47,2,FALSE)," ")</f>
        <v xml:space="preserve"> </v>
      </c>
      <c r="B3855" s="366" t="str">
        <f>VLOOKUP(VALUE(D3855),$D$3:F$106,3,FALSE)</f>
        <v>Security</v>
      </c>
      <c r="C3855" t="s">
        <v>314</v>
      </c>
      <c r="D3855">
        <v>883</v>
      </c>
      <c r="E3855" t="s">
        <v>1135</v>
      </c>
      <c r="F3855" t="s">
        <v>392</v>
      </c>
      <c r="G3855" t="s">
        <v>319</v>
      </c>
      <c r="H3855" s="502">
        <v>52504</v>
      </c>
      <c r="I3855" s="415">
        <v>0</v>
      </c>
      <c r="J3855" s="415">
        <v>0</v>
      </c>
      <c r="K3855" s="415">
        <v>11.52</v>
      </c>
      <c r="L3855" s="415">
        <v>0</v>
      </c>
      <c r="M3855" s="415">
        <v>0</v>
      </c>
      <c r="N3855" s="415">
        <v>0</v>
      </c>
      <c r="O3855" s="415">
        <v>0</v>
      </c>
      <c r="P3855" s="415">
        <v>0</v>
      </c>
      <c r="Q3855" s="481">
        <f t="shared" si="106"/>
        <v>0</v>
      </c>
    </row>
    <row r="3856" spans="1:17" x14ac:dyDescent="0.3">
      <c r="A3856" s="366" t="str">
        <f>IFERROR(VLOOKUP(RIGHT(E3856,3)+0,[1]SchLocTable!$A$2:$B$47,2,FALSE)," ")</f>
        <v xml:space="preserve"> </v>
      </c>
      <c r="B3856" s="366" t="str">
        <f>VLOOKUP(VALUE(D3856),$D$3:F$106,3,FALSE)</f>
        <v>Security</v>
      </c>
      <c r="C3856" t="s">
        <v>314</v>
      </c>
      <c r="D3856">
        <v>883</v>
      </c>
      <c r="E3856" t="s">
        <v>1135</v>
      </c>
      <c r="F3856" t="s">
        <v>452</v>
      </c>
      <c r="G3856" t="s">
        <v>319</v>
      </c>
      <c r="H3856" s="502">
        <v>51108</v>
      </c>
      <c r="I3856" s="415">
        <v>0</v>
      </c>
      <c r="J3856" s="415">
        <v>0</v>
      </c>
      <c r="K3856" s="415">
        <v>0</v>
      </c>
      <c r="L3856" s="415">
        <v>0</v>
      </c>
      <c r="M3856" s="415">
        <v>0</v>
      </c>
      <c r="N3856" s="415">
        <v>0</v>
      </c>
      <c r="O3856" s="415">
        <v>0</v>
      </c>
      <c r="P3856" s="415">
        <v>0</v>
      </c>
      <c r="Q3856" s="481">
        <f t="shared" si="106"/>
        <v>0</v>
      </c>
    </row>
    <row r="3857" spans="1:17" x14ac:dyDescent="0.3">
      <c r="A3857" s="366" t="str">
        <f>IFERROR(VLOOKUP(RIGHT(E3857,3)+0,[1]SchLocTable!$A$2:$B$47,2,FALSE)," ")</f>
        <v xml:space="preserve"> </v>
      </c>
      <c r="B3857" s="366" t="str">
        <f>VLOOKUP(VALUE(D3857),$D$3:F$106,3,FALSE)</f>
        <v>Security</v>
      </c>
      <c r="C3857" t="s">
        <v>314</v>
      </c>
      <c r="D3857">
        <v>883</v>
      </c>
      <c r="E3857" t="s">
        <v>1135</v>
      </c>
      <c r="F3857" t="s">
        <v>483</v>
      </c>
      <c r="G3857" t="s">
        <v>319</v>
      </c>
      <c r="H3857" s="502">
        <v>51122</v>
      </c>
      <c r="I3857" s="415">
        <v>632.33040000000005</v>
      </c>
      <c r="J3857" s="415">
        <v>0</v>
      </c>
      <c r="K3857" s="415">
        <v>55.4</v>
      </c>
      <c r="L3857" s="415">
        <v>0</v>
      </c>
      <c r="M3857" s="415">
        <v>0</v>
      </c>
      <c r="N3857" s="415">
        <v>0</v>
      </c>
      <c r="O3857" s="415">
        <v>0</v>
      </c>
      <c r="P3857" s="415">
        <v>0</v>
      </c>
      <c r="Q3857" s="481">
        <f t="shared" si="106"/>
        <v>-632.33040000000005</v>
      </c>
    </row>
    <row r="3858" spans="1:17" x14ac:dyDescent="0.3">
      <c r="A3858" s="366" t="str">
        <f>IFERROR(VLOOKUP(RIGHT(E3858,3)+0,[1]SchLocTable!$A$2:$B$47,2,FALSE)," ")</f>
        <v xml:space="preserve"> </v>
      </c>
      <c r="B3858" s="366" t="str">
        <f>VLOOKUP(VALUE(D3858),$D$3:F$106,3,FALSE)</f>
        <v>Security</v>
      </c>
      <c r="C3858" t="s">
        <v>314</v>
      </c>
      <c r="D3858">
        <v>883</v>
      </c>
      <c r="E3858" t="s">
        <v>1135</v>
      </c>
      <c r="F3858" t="s">
        <v>324</v>
      </c>
      <c r="G3858" t="s">
        <v>319</v>
      </c>
      <c r="H3858" s="502">
        <v>52385</v>
      </c>
      <c r="I3858" s="415">
        <v>0</v>
      </c>
      <c r="J3858" s="415">
        <v>0</v>
      </c>
      <c r="K3858" s="415">
        <v>0</v>
      </c>
      <c r="L3858" s="415">
        <v>0</v>
      </c>
      <c r="M3858" s="415">
        <v>0</v>
      </c>
      <c r="N3858" s="415">
        <v>0</v>
      </c>
      <c r="O3858" s="415">
        <v>0</v>
      </c>
      <c r="P3858" s="415">
        <v>0</v>
      </c>
      <c r="Q3858" s="481">
        <f t="shared" si="106"/>
        <v>0</v>
      </c>
    </row>
    <row r="3859" spans="1:17" x14ac:dyDescent="0.3">
      <c r="A3859" s="366" t="str">
        <f>IFERROR(VLOOKUP(RIGHT(E3859,3)+0,[1]SchLocTable!$A$2:$B$47,2,FALSE)," ")</f>
        <v>Skane</v>
      </c>
      <c r="B3859" s="366" t="str">
        <f>VLOOKUP(VALUE(D3859),$D$3:F$106,3,FALSE)</f>
        <v>Security</v>
      </c>
      <c r="C3859" t="s">
        <v>314</v>
      </c>
      <c r="D3859">
        <v>883</v>
      </c>
      <c r="E3859" t="s">
        <v>1136</v>
      </c>
      <c r="F3859" t="s">
        <v>316</v>
      </c>
      <c r="G3859">
        <v>1</v>
      </c>
      <c r="H3859" s="502">
        <v>51000</v>
      </c>
      <c r="I3859" s="415">
        <v>47792.159999999996</v>
      </c>
      <c r="J3859" s="415">
        <v>46176</v>
      </c>
      <c r="K3859" s="415">
        <v>45789.84</v>
      </c>
      <c r="L3859" s="415">
        <v>44283.199999999997</v>
      </c>
      <c r="M3859" s="415">
        <v>43158.11</v>
      </c>
      <c r="N3859" s="415">
        <v>40386</v>
      </c>
      <c r="O3859" s="415">
        <v>47263.45</v>
      </c>
      <c r="P3859" s="415">
        <v>31417.11</v>
      </c>
      <c r="Q3859" s="481">
        <f t="shared" si="106"/>
        <v>-1616.1599999999962</v>
      </c>
    </row>
    <row r="3860" spans="1:17" x14ac:dyDescent="0.3">
      <c r="A3860" s="366" t="str">
        <f>IFERROR(VLOOKUP(RIGHT(E3860,3)+0,[1]SchLocTable!$A$2:$B$47,2,FALSE)," ")</f>
        <v>Skane</v>
      </c>
      <c r="B3860" s="366" t="str">
        <f>VLOOKUP(VALUE(D3860),$D$3:F$106,3,FALSE)</f>
        <v>Security</v>
      </c>
      <c r="C3860" t="s">
        <v>314</v>
      </c>
      <c r="D3860">
        <v>883</v>
      </c>
      <c r="E3860" t="s">
        <v>1136</v>
      </c>
      <c r="F3860" t="s">
        <v>321</v>
      </c>
      <c r="G3860" t="s">
        <v>319</v>
      </c>
      <c r="H3860" s="502">
        <v>52917</v>
      </c>
      <c r="I3860" s="415">
        <v>45495.840000000004</v>
      </c>
      <c r="J3860" s="415">
        <v>37724</v>
      </c>
      <c r="K3860" s="415">
        <v>34371.18</v>
      </c>
      <c r="L3860" s="415">
        <v>33556.639999999999</v>
      </c>
      <c r="M3860" s="415">
        <v>31543.65</v>
      </c>
      <c r="N3860" s="415">
        <v>24676.16</v>
      </c>
      <c r="O3860" s="415">
        <v>5662.12</v>
      </c>
      <c r="P3860" s="415">
        <v>2139.54</v>
      </c>
      <c r="Q3860" s="481">
        <f t="shared" si="106"/>
        <v>-7771.8400000000038</v>
      </c>
    </row>
    <row r="3861" spans="1:17" x14ac:dyDescent="0.3">
      <c r="A3861" s="366" t="str">
        <f>IFERROR(VLOOKUP(RIGHT(E3861,3)+0,[1]SchLocTable!$A$2:$B$47,2,FALSE)," ")</f>
        <v>Skane</v>
      </c>
      <c r="B3861" s="366" t="str">
        <f>VLOOKUP(VALUE(D3861),$D$3:F$106,3,FALSE)</f>
        <v>Security</v>
      </c>
      <c r="C3861" t="s">
        <v>314</v>
      </c>
      <c r="D3861">
        <v>883</v>
      </c>
      <c r="E3861" t="s">
        <v>1136</v>
      </c>
      <c r="F3861" t="s">
        <v>318</v>
      </c>
      <c r="G3861" t="s">
        <v>319</v>
      </c>
      <c r="H3861" s="502">
        <v>51140</v>
      </c>
      <c r="I3861" s="415">
        <v>1275</v>
      </c>
      <c r="J3861" s="415">
        <v>1275</v>
      </c>
      <c r="K3861" s="415">
        <v>1200</v>
      </c>
      <c r="L3861" s="415">
        <v>1125</v>
      </c>
      <c r="M3861" s="415">
        <v>1050</v>
      </c>
      <c r="N3861" s="415">
        <v>975</v>
      </c>
      <c r="O3861" s="415">
        <v>0</v>
      </c>
      <c r="P3861" s="415">
        <v>0</v>
      </c>
      <c r="Q3861" s="481">
        <f t="shared" si="106"/>
        <v>0</v>
      </c>
    </row>
    <row r="3862" spans="1:17" x14ac:dyDescent="0.3">
      <c r="A3862" s="366" t="str">
        <f>IFERROR(VLOOKUP(RIGHT(E3862,3)+0,[1]SchLocTable!$A$2:$B$47,2,FALSE)," ")</f>
        <v>Skane</v>
      </c>
      <c r="B3862" s="366" t="str">
        <f>VLOOKUP(VALUE(D3862),$D$3:F$106,3,FALSE)</f>
        <v>Security</v>
      </c>
      <c r="C3862" t="s">
        <v>314</v>
      </c>
      <c r="D3862">
        <v>883</v>
      </c>
      <c r="E3862" t="s">
        <v>1136</v>
      </c>
      <c r="F3862" t="s">
        <v>320</v>
      </c>
      <c r="G3862" t="s">
        <v>319</v>
      </c>
      <c r="H3862" s="502">
        <v>52360</v>
      </c>
      <c r="I3862" s="415">
        <v>692.98631999999998</v>
      </c>
      <c r="J3862" s="415">
        <v>512</v>
      </c>
      <c r="K3862" s="415">
        <v>504.47</v>
      </c>
      <c r="L3862" s="415">
        <v>485.88</v>
      </c>
      <c r="M3862" s="415">
        <v>479.72</v>
      </c>
      <c r="N3862" s="415">
        <v>487.46</v>
      </c>
      <c r="O3862" s="415">
        <v>684.86</v>
      </c>
      <c r="P3862" s="415">
        <v>484.55</v>
      </c>
      <c r="Q3862" s="481">
        <f t="shared" si="106"/>
        <v>-180.98631999999998</v>
      </c>
    </row>
    <row r="3863" spans="1:17" x14ac:dyDescent="0.3">
      <c r="A3863" s="366" t="str">
        <f>IFERROR(VLOOKUP(RIGHT(E3863,3)+0,[1]SchLocTable!$A$2:$B$47,2,FALSE)," ")</f>
        <v>Skane</v>
      </c>
      <c r="B3863" s="366" t="str">
        <f>VLOOKUP(VALUE(D3863),$D$3:F$106,3,FALSE)</f>
        <v>Security</v>
      </c>
      <c r="C3863" t="s">
        <v>314</v>
      </c>
      <c r="D3863">
        <v>883</v>
      </c>
      <c r="E3863" t="s">
        <v>1136</v>
      </c>
      <c r="F3863" t="s">
        <v>392</v>
      </c>
      <c r="G3863" t="s">
        <v>319</v>
      </c>
      <c r="H3863" s="502">
        <v>52504</v>
      </c>
      <c r="I3863" s="415">
        <v>9931.2108480000006</v>
      </c>
      <c r="J3863" s="415">
        <v>9860</v>
      </c>
      <c r="K3863" s="415">
        <v>9677.39</v>
      </c>
      <c r="L3863" s="415">
        <v>9260.3700000000008</v>
      </c>
      <c r="M3863" s="415">
        <v>9530.06</v>
      </c>
      <c r="N3863" s="415">
        <v>7903.88</v>
      </c>
      <c r="O3863" s="415">
        <v>7779.69</v>
      </c>
      <c r="P3863" s="415">
        <v>4861.24</v>
      </c>
      <c r="Q3863" s="481">
        <f t="shared" si="106"/>
        <v>-71.210848000000624</v>
      </c>
    </row>
    <row r="3864" spans="1:17" x14ac:dyDescent="0.3">
      <c r="A3864" s="366" t="str">
        <f>IFERROR(VLOOKUP(RIGHT(E3864,3)+0,[1]SchLocTable!$A$2:$B$47,2,FALSE)," ")</f>
        <v>High Horizons Magnet</v>
      </c>
      <c r="B3864" s="366" t="str">
        <f>VLOOKUP(VALUE(D3864),$D$3:F$106,3,FALSE)</f>
        <v>Security</v>
      </c>
      <c r="C3864" t="s">
        <v>314</v>
      </c>
      <c r="D3864">
        <v>883</v>
      </c>
      <c r="E3864" t="s">
        <v>1137</v>
      </c>
      <c r="F3864" t="s">
        <v>316</v>
      </c>
      <c r="G3864">
        <v>1</v>
      </c>
      <c r="H3864" s="502">
        <v>51000</v>
      </c>
      <c r="I3864" s="415">
        <v>47792.159999999996</v>
      </c>
      <c r="J3864" s="415">
        <v>46176</v>
      </c>
      <c r="K3864" s="415">
        <v>45769.36</v>
      </c>
      <c r="L3864" s="415">
        <v>44283.199999999997</v>
      </c>
      <c r="M3864" s="415">
        <v>43014.68</v>
      </c>
      <c r="N3864" s="415">
        <v>27324.720000000001</v>
      </c>
      <c r="O3864" s="415">
        <v>40647.360000000001</v>
      </c>
      <c r="P3864" s="415">
        <v>36477.19</v>
      </c>
      <c r="Q3864" s="481">
        <f t="shared" si="106"/>
        <v>-1616.1599999999962</v>
      </c>
    </row>
    <row r="3865" spans="1:17" x14ac:dyDescent="0.3">
      <c r="A3865" s="366" t="str">
        <f>IFERROR(VLOOKUP(RIGHT(E3865,3)+0,[1]SchLocTable!$A$2:$B$47,2,FALSE)," ")</f>
        <v>High Horizons Magnet</v>
      </c>
      <c r="B3865" s="366" t="str">
        <f>VLOOKUP(VALUE(D3865),$D$3:F$106,3,FALSE)</f>
        <v>Security</v>
      </c>
      <c r="C3865" t="s">
        <v>314</v>
      </c>
      <c r="D3865">
        <v>883</v>
      </c>
      <c r="E3865" t="s">
        <v>1137</v>
      </c>
      <c r="F3865" t="s">
        <v>321</v>
      </c>
      <c r="G3865" t="s">
        <v>319</v>
      </c>
      <c r="H3865" s="502">
        <v>52917</v>
      </c>
      <c r="I3865" s="415">
        <v>15361.008</v>
      </c>
      <c r="J3865" s="415">
        <v>13135</v>
      </c>
      <c r="K3865" s="415">
        <v>12207.28</v>
      </c>
      <c r="L3865" s="415">
        <v>12157.6</v>
      </c>
      <c r="M3865" s="415">
        <v>11631.24</v>
      </c>
      <c r="N3865" s="415">
        <v>10043.07</v>
      </c>
      <c r="O3865" s="415">
        <v>27630.59</v>
      </c>
      <c r="P3865" s="415">
        <v>21747.53</v>
      </c>
      <c r="Q3865" s="481">
        <f t="shared" si="106"/>
        <v>-2226.0079999999998</v>
      </c>
    </row>
    <row r="3866" spans="1:17" x14ac:dyDescent="0.3">
      <c r="A3866" s="366" t="str">
        <f>IFERROR(VLOOKUP(RIGHT(E3866,3)+0,[1]SchLocTable!$A$2:$B$47,2,FALSE)," ")</f>
        <v>High Horizons Magnet</v>
      </c>
      <c r="B3866" s="366" t="str">
        <f>VLOOKUP(VALUE(D3866),$D$3:F$106,3,FALSE)</f>
        <v>Security</v>
      </c>
      <c r="C3866" t="s">
        <v>314</v>
      </c>
      <c r="D3866">
        <v>883</v>
      </c>
      <c r="E3866" t="s">
        <v>1137</v>
      </c>
      <c r="F3866" t="s">
        <v>318</v>
      </c>
      <c r="G3866" t="s">
        <v>319</v>
      </c>
      <c r="H3866" s="502">
        <v>51140</v>
      </c>
      <c r="I3866" s="415">
        <v>1050</v>
      </c>
      <c r="J3866" s="415">
        <v>1050</v>
      </c>
      <c r="K3866" s="415">
        <v>975</v>
      </c>
      <c r="L3866" s="415">
        <v>900</v>
      </c>
      <c r="M3866" s="415">
        <v>0</v>
      </c>
      <c r="N3866" s="415">
        <v>0</v>
      </c>
      <c r="O3866" s="415">
        <v>900</v>
      </c>
      <c r="P3866" s="415">
        <v>825</v>
      </c>
      <c r="Q3866" s="481">
        <f t="shared" si="106"/>
        <v>0</v>
      </c>
    </row>
    <row r="3867" spans="1:17" x14ac:dyDescent="0.3">
      <c r="A3867" s="366" t="str">
        <f>IFERROR(VLOOKUP(RIGHT(E3867,3)+0,[1]SchLocTable!$A$2:$B$47,2,FALSE)," ")</f>
        <v>High Horizons Magnet</v>
      </c>
      <c r="B3867" s="366" t="str">
        <f>VLOOKUP(VALUE(D3867),$D$3:F$106,3,FALSE)</f>
        <v>Security</v>
      </c>
      <c r="C3867" t="s">
        <v>314</v>
      </c>
      <c r="D3867">
        <v>883</v>
      </c>
      <c r="E3867" t="s">
        <v>1137</v>
      </c>
      <c r="F3867" t="s">
        <v>320</v>
      </c>
      <c r="G3867" t="s">
        <v>319</v>
      </c>
      <c r="H3867" s="502">
        <v>52360</v>
      </c>
      <c r="I3867" s="415">
        <v>692.98631999999998</v>
      </c>
      <c r="J3867" s="415">
        <v>618</v>
      </c>
      <c r="K3867" s="415">
        <v>602.75</v>
      </c>
      <c r="L3867" s="415">
        <v>593.94000000000005</v>
      </c>
      <c r="M3867" s="415">
        <v>564.82000000000005</v>
      </c>
      <c r="N3867" s="415">
        <v>351.92</v>
      </c>
      <c r="O3867" s="415">
        <v>477.05</v>
      </c>
      <c r="P3867" s="415">
        <v>442.91</v>
      </c>
      <c r="Q3867" s="481">
        <f t="shared" si="106"/>
        <v>-74.986319999999978</v>
      </c>
    </row>
    <row r="3868" spans="1:17" x14ac:dyDescent="0.3">
      <c r="A3868" s="366" t="str">
        <f>IFERROR(VLOOKUP(RIGHT(E3868,3)+0,[1]SchLocTable!$A$2:$B$47,2,FALSE)," ")</f>
        <v>High Horizons Magnet</v>
      </c>
      <c r="B3868" s="366" t="str">
        <f>VLOOKUP(VALUE(D3868),$D$3:F$106,3,FALSE)</f>
        <v>Security</v>
      </c>
      <c r="C3868" t="s">
        <v>314</v>
      </c>
      <c r="D3868">
        <v>883</v>
      </c>
      <c r="E3868" t="s">
        <v>1137</v>
      </c>
      <c r="F3868" t="s">
        <v>392</v>
      </c>
      <c r="G3868" t="s">
        <v>319</v>
      </c>
      <c r="H3868" s="502">
        <v>52504</v>
      </c>
      <c r="I3868" s="415">
        <v>9931.2108480000006</v>
      </c>
      <c r="J3868" s="415">
        <v>9813</v>
      </c>
      <c r="K3868" s="415">
        <v>9626.8799999999992</v>
      </c>
      <c r="L3868" s="415">
        <v>9358.6200000000008</v>
      </c>
      <c r="M3868" s="415">
        <v>9363.19</v>
      </c>
      <c r="N3868" s="415">
        <v>5240.16</v>
      </c>
      <c r="O3868" s="415">
        <v>6863.26</v>
      </c>
      <c r="P3868" s="415">
        <v>5348.89</v>
      </c>
      <c r="Q3868" s="481">
        <f t="shared" si="106"/>
        <v>-118.21084800000062</v>
      </c>
    </row>
    <row r="3869" spans="1:17" x14ac:dyDescent="0.3">
      <c r="A3869" s="366" t="str">
        <f>IFERROR(VLOOKUP(RIGHT(E3869,3)+0,[1]SchLocTable!$A$2:$B$47,2,FALSE)," ")</f>
        <v>High Horizons Magnet</v>
      </c>
      <c r="B3869" s="366" t="str">
        <f>VLOOKUP(VALUE(D3869),$D$3:F$106,3,FALSE)</f>
        <v>Security</v>
      </c>
      <c r="C3869" t="s">
        <v>314</v>
      </c>
      <c r="D3869">
        <v>883</v>
      </c>
      <c r="E3869" t="s">
        <v>1137</v>
      </c>
      <c r="F3869" t="s">
        <v>452</v>
      </c>
      <c r="G3869" t="s">
        <v>319</v>
      </c>
      <c r="H3869" s="502">
        <v>51108</v>
      </c>
      <c r="I3869" s="415">
        <v>0</v>
      </c>
      <c r="J3869" s="415">
        <v>0</v>
      </c>
      <c r="K3869" s="415">
        <v>0</v>
      </c>
      <c r="L3869" s="415">
        <v>0</v>
      </c>
      <c r="M3869" s="415">
        <v>81.63</v>
      </c>
      <c r="N3869" s="415">
        <v>0</v>
      </c>
      <c r="O3869" s="415">
        <v>0</v>
      </c>
      <c r="P3869" s="415">
        <v>0</v>
      </c>
      <c r="Q3869" s="481">
        <f t="shared" si="106"/>
        <v>0</v>
      </c>
    </row>
    <row r="3870" spans="1:17" x14ac:dyDescent="0.3">
      <c r="A3870" s="366" t="str">
        <f>IFERROR(VLOOKUP(RIGHT(E3870,3)+0,[1]SchLocTable!$A$2:$B$47,2,FALSE)," ")</f>
        <v>High Horizons Magnet</v>
      </c>
      <c r="B3870" s="366" t="str">
        <f>VLOOKUP(VALUE(D3870),$D$3:F$106,3,FALSE)</f>
        <v>Security</v>
      </c>
      <c r="C3870" t="s">
        <v>314</v>
      </c>
      <c r="D3870">
        <v>883</v>
      </c>
      <c r="E3870" t="s">
        <v>1137</v>
      </c>
      <c r="F3870" t="s">
        <v>483</v>
      </c>
      <c r="G3870" t="s">
        <v>319</v>
      </c>
      <c r="H3870" s="502">
        <v>51122</v>
      </c>
      <c r="I3870" s="415">
        <v>145.70400000000001</v>
      </c>
      <c r="J3870" s="415">
        <v>0</v>
      </c>
      <c r="K3870" s="415">
        <v>0</v>
      </c>
      <c r="L3870" s="415">
        <v>368.72</v>
      </c>
      <c r="M3870" s="415">
        <v>213.12</v>
      </c>
      <c r="N3870" s="415">
        <v>31.76</v>
      </c>
      <c r="O3870" s="415">
        <v>124.68</v>
      </c>
      <c r="P3870" s="415">
        <v>122.34</v>
      </c>
      <c r="Q3870" s="481">
        <f t="shared" si="106"/>
        <v>-145.70400000000001</v>
      </c>
    </row>
    <row r="3871" spans="1:17" x14ac:dyDescent="0.3">
      <c r="A3871" s="366" t="str">
        <f>IFERROR(VLOOKUP(RIGHT(E3871,3)+0,[1]SchLocTable!$A$2:$B$47,2,FALSE)," ")</f>
        <v>Multicultural Magnet</v>
      </c>
      <c r="B3871" s="366" t="str">
        <f>VLOOKUP(VALUE(D3871),$D$3:F$106,3,FALSE)</f>
        <v>Security</v>
      </c>
      <c r="C3871" t="s">
        <v>314</v>
      </c>
      <c r="D3871">
        <v>883</v>
      </c>
      <c r="E3871" t="s">
        <v>1138</v>
      </c>
      <c r="F3871" t="s">
        <v>316</v>
      </c>
      <c r="G3871" t="s">
        <v>319</v>
      </c>
      <c r="H3871" s="502">
        <v>51000</v>
      </c>
      <c r="I3871" s="415">
        <v>0</v>
      </c>
      <c r="J3871" s="415">
        <v>0</v>
      </c>
      <c r="K3871" s="415">
        <v>38596.800000000003</v>
      </c>
      <c r="L3871" s="415">
        <v>44283.199999999997</v>
      </c>
      <c r="M3871" s="415">
        <v>43374</v>
      </c>
      <c r="N3871" s="415">
        <v>41573.040000000001</v>
      </c>
      <c r="O3871" s="415">
        <v>40676.879999999997</v>
      </c>
      <c r="P3871" s="415">
        <v>40512.870000000003</v>
      </c>
      <c r="Q3871" s="481">
        <f t="shared" si="106"/>
        <v>0</v>
      </c>
    </row>
    <row r="3872" spans="1:17" x14ac:dyDescent="0.3">
      <c r="A3872" s="366" t="str">
        <f>IFERROR(VLOOKUP(RIGHT(E3872,3)+0,[1]SchLocTable!$A$2:$B$47,2,FALSE)," ")</f>
        <v>Multicultural Magnet</v>
      </c>
      <c r="B3872" s="366" t="str">
        <f>VLOOKUP(VALUE(D3872),$D$3:F$106,3,FALSE)</f>
        <v>Security</v>
      </c>
      <c r="C3872" t="s">
        <v>314</v>
      </c>
      <c r="D3872">
        <v>883</v>
      </c>
      <c r="E3872" t="s">
        <v>1138</v>
      </c>
      <c r="F3872" t="s">
        <v>321</v>
      </c>
      <c r="G3872" t="s">
        <v>319</v>
      </c>
      <c r="H3872" s="502">
        <v>52917</v>
      </c>
      <c r="I3872" s="415">
        <v>0</v>
      </c>
      <c r="J3872" s="415">
        <v>0</v>
      </c>
      <c r="K3872" s="415">
        <v>28959.919999999998</v>
      </c>
      <c r="L3872" s="415">
        <v>33556.639999999999</v>
      </c>
      <c r="M3872" s="415">
        <v>31543.65</v>
      </c>
      <c r="N3872" s="415">
        <v>25078.47</v>
      </c>
      <c r="O3872" s="415">
        <v>1314.13</v>
      </c>
      <c r="P3872" s="415">
        <v>1344.9</v>
      </c>
      <c r="Q3872" s="481">
        <f t="shared" si="106"/>
        <v>0</v>
      </c>
    </row>
    <row r="3873" spans="1:17" x14ac:dyDescent="0.3">
      <c r="A3873" s="366" t="str">
        <f>IFERROR(VLOOKUP(RIGHT(E3873,3)+0,[1]SchLocTable!$A$2:$B$47,2,FALSE)," ")</f>
        <v>Multicultural Magnet</v>
      </c>
      <c r="B3873" s="366" t="str">
        <f>VLOOKUP(VALUE(D3873),$D$3:F$106,3,FALSE)</f>
        <v>Security</v>
      </c>
      <c r="C3873" t="s">
        <v>314</v>
      </c>
      <c r="D3873">
        <v>883</v>
      </c>
      <c r="E3873" t="s">
        <v>1138</v>
      </c>
      <c r="F3873" t="s">
        <v>318</v>
      </c>
      <c r="G3873" t="s">
        <v>319</v>
      </c>
      <c r="H3873" s="502">
        <v>51140</v>
      </c>
      <c r="I3873" s="415">
        <v>0</v>
      </c>
      <c r="J3873" s="415">
        <v>0</v>
      </c>
      <c r="K3873" s="415">
        <v>2893.75</v>
      </c>
      <c r="L3873" s="415">
        <v>1725</v>
      </c>
      <c r="M3873" s="415">
        <v>1650</v>
      </c>
      <c r="N3873" s="415">
        <v>1575</v>
      </c>
      <c r="O3873" s="415">
        <v>1200</v>
      </c>
      <c r="P3873" s="415">
        <v>1125</v>
      </c>
      <c r="Q3873" s="481">
        <f t="shared" si="106"/>
        <v>0</v>
      </c>
    </row>
    <row r="3874" spans="1:17" x14ac:dyDescent="0.3">
      <c r="A3874" s="366" t="str">
        <f>IFERROR(VLOOKUP(RIGHT(E3874,3)+0,[1]SchLocTable!$A$2:$B$47,2,FALSE)," ")</f>
        <v>Multicultural Magnet</v>
      </c>
      <c r="B3874" s="366" t="str">
        <f>VLOOKUP(VALUE(D3874),$D$3:F$106,3,FALSE)</f>
        <v>Security</v>
      </c>
      <c r="C3874" t="s">
        <v>314</v>
      </c>
      <c r="D3874">
        <v>883</v>
      </c>
      <c r="E3874" t="s">
        <v>1138</v>
      </c>
      <c r="F3874" t="s">
        <v>320</v>
      </c>
      <c r="G3874" t="s">
        <v>319</v>
      </c>
      <c r="H3874" s="502">
        <v>52360</v>
      </c>
      <c r="I3874" s="415">
        <v>0</v>
      </c>
      <c r="J3874" s="415">
        <v>0</v>
      </c>
      <c r="K3874" s="415">
        <v>679.07</v>
      </c>
      <c r="L3874" s="415">
        <v>559.22</v>
      </c>
      <c r="M3874" s="415">
        <v>509.4</v>
      </c>
      <c r="N3874" s="415">
        <v>526.03</v>
      </c>
      <c r="O3874" s="415">
        <v>636.22</v>
      </c>
      <c r="P3874" s="415">
        <v>632.75</v>
      </c>
      <c r="Q3874" s="481">
        <f t="shared" si="106"/>
        <v>0</v>
      </c>
    </row>
    <row r="3875" spans="1:17" x14ac:dyDescent="0.3">
      <c r="A3875" s="366" t="str">
        <f>IFERROR(VLOOKUP(RIGHT(E3875,3)+0,[1]SchLocTable!$A$2:$B$47,2,FALSE)," ")</f>
        <v>Multicultural Magnet</v>
      </c>
      <c r="B3875" s="366" t="str">
        <f>VLOOKUP(VALUE(D3875),$D$3:F$106,3,FALSE)</f>
        <v>Security</v>
      </c>
      <c r="C3875" t="s">
        <v>314</v>
      </c>
      <c r="D3875">
        <v>883</v>
      </c>
      <c r="E3875" t="s">
        <v>1138</v>
      </c>
      <c r="F3875" t="s">
        <v>392</v>
      </c>
      <c r="G3875" t="s">
        <v>319</v>
      </c>
      <c r="H3875" s="502">
        <v>52504</v>
      </c>
      <c r="I3875" s="415">
        <v>0</v>
      </c>
      <c r="J3875" s="415">
        <v>0</v>
      </c>
      <c r="K3875" s="415">
        <v>8798.34</v>
      </c>
      <c r="L3875" s="415">
        <v>10046.68</v>
      </c>
      <c r="M3875" s="415">
        <v>9733.74</v>
      </c>
      <c r="N3875" s="415">
        <v>8306.34</v>
      </c>
      <c r="O3875" s="415">
        <v>6896.82</v>
      </c>
      <c r="P3875" s="415">
        <v>5948.46</v>
      </c>
      <c r="Q3875" s="481">
        <f t="shared" si="106"/>
        <v>0</v>
      </c>
    </row>
    <row r="3876" spans="1:17" x14ac:dyDescent="0.3">
      <c r="A3876" s="366" t="str">
        <f>IFERROR(VLOOKUP(RIGHT(E3876,3)+0,[1]SchLocTable!$A$2:$B$47,2,FALSE)," ")</f>
        <v>Multicultural Magnet</v>
      </c>
      <c r="B3876" s="366" t="str">
        <f>VLOOKUP(VALUE(D3876),$D$3:F$106,3,FALSE)</f>
        <v>Security</v>
      </c>
      <c r="C3876" t="s">
        <v>314</v>
      </c>
      <c r="D3876">
        <v>883</v>
      </c>
      <c r="E3876" t="s">
        <v>1138</v>
      </c>
      <c r="F3876" t="s">
        <v>452</v>
      </c>
      <c r="G3876" t="s">
        <v>319</v>
      </c>
      <c r="H3876" s="502">
        <v>51108</v>
      </c>
      <c r="I3876" s="415">
        <v>0</v>
      </c>
      <c r="J3876" s="415">
        <v>0</v>
      </c>
      <c r="K3876" s="415">
        <v>49.35</v>
      </c>
      <c r="L3876" s="415">
        <v>143.44</v>
      </c>
      <c r="M3876" s="415">
        <v>0</v>
      </c>
      <c r="N3876" s="415">
        <v>14.76</v>
      </c>
      <c r="O3876" s="415">
        <v>0</v>
      </c>
      <c r="P3876" s="415">
        <v>0</v>
      </c>
      <c r="Q3876" s="481">
        <f t="shared" si="106"/>
        <v>0</v>
      </c>
    </row>
    <row r="3877" spans="1:17" x14ac:dyDescent="0.3">
      <c r="A3877" s="366" t="str">
        <f>IFERROR(VLOOKUP(RIGHT(E3877,3)+0,[1]SchLocTable!$A$2:$B$47,2,FALSE)," ")</f>
        <v>Multicultural Magnet</v>
      </c>
      <c r="B3877" s="366" t="str">
        <f>VLOOKUP(VALUE(D3877),$D$3:F$106,3,FALSE)</f>
        <v>Security</v>
      </c>
      <c r="C3877" t="s">
        <v>314</v>
      </c>
      <c r="D3877">
        <v>883</v>
      </c>
      <c r="E3877" t="s">
        <v>1138</v>
      </c>
      <c r="F3877" t="s">
        <v>483</v>
      </c>
      <c r="G3877" t="s">
        <v>319</v>
      </c>
      <c r="H3877" s="502">
        <v>51122</v>
      </c>
      <c r="I3877" s="415">
        <v>0</v>
      </c>
      <c r="J3877" s="415">
        <v>0</v>
      </c>
      <c r="K3877" s="415">
        <v>1190.79</v>
      </c>
      <c r="L3877" s="415">
        <v>2470.0100000000002</v>
      </c>
      <c r="M3877" s="415">
        <v>127.02</v>
      </c>
      <c r="N3877" s="415">
        <v>33.54</v>
      </c>
      <c r="O3877" s="415">
        <v>0</v>
      </c>
      <c r="P3877" s="415">
        <v>0</v>
      </c>
      <c r="Q3877" s="481">
        <f t="shared" si="106"/>
        <v>0</v>
      </c>
    </row>
    <row r="3878" spans="1:17" x14ac:dyDescent="0.3">
      <c r="A3878" s="366" t="str">
        <f>IFERROR(VLOOKUP(RIGHT(E3878,3)+0,[1]SchLocTable!$A$2:$B$47,2,FALSE)," ")</f>
        <v>Multicultural Magnet</v>
      </c>
      <c r="B3878" s="366" t="str">
        <f>VLOOKUP(VALUE(D3878),$D$3:F$106,3,FALSE)</f>
        <v>Security</v>
      </c>
      <c r="C3878" t="s">
        <v>314</v>
      </c>
      <c r="D3878">
        <v>883</v>
      </c>
      <c r="E3878" t="s">
        <v>1138</v>
      </c>
      <c r="F3878" t="s">
        <v>329</v>
      </c>
      <c r="G3878" t="s">
        <v>319</v>
      </c>
      <c r="H3878" s="502">
        <v>51154</v>
      </c>
      <c r="I3878" s="415">
        <v>0</v>
      </c>
      <c r="J3878" s="415">
        <v>0</v>
      </c>
      <c r="K3878" s="415">
        <v>9520.25</v>
      </c>
      <c r="L3878" s="415">
        <v>0</v>
      </c>
      <c r="M3878" s="415">
        <v>0</v>
      </c>
      <c r="N3878" s="415">
        <v>0</v>
      </c>
      <c r="O3878" s="415">
        <v>0</v>
      </c>
      <c r="P3878" s="415">
        <v>0</v>
      </c>
      <c r="Q3878" s="481">
        <f t="shared" si="106"/>
        <v>0</v>
      </c>
    </row>
    <row r="3879" spans="1:17" x14ac:dyDescent="0.3">
      <c r="A3879" s="366" t="str">
        <f>IFERROR(VLOOKUP(RIGHT(E3879,3)+0,[1]SchLocTable!$A$2:$B$47,2,FALSE)," ")</f>
        <v>Multicultural Magnet</v>
      </c>
      <c r="B3879" s="366" t="str">
        <f>VLOOKUP(VALUE(D3879),$D$3:F$106,3,FALSE)</f>
        <v>Security</v>
      </c>
      <c r="C3879" t="s">
        <v>314</v>
      </c>
      <c r="D3879">
        <v>883</v>
      </c>
      <c r="E3879" t="s">
        <v>1138</v>
      </c>
      <c r="F3879" t="s">
        <v>418</v>
      </c>
      <c r="G3879" t="s">
        <v>319</v>
      </c>
      <c r="H3879" s="502">
        <v>51314</v>
      </c>
      <c r="I3879" s="415">
        <v>3975.4704000000002</v>
      </c>
      <c r="J3879" s="415">
        <v>0</v>
      </c>
      <c r="K3879" s="415">
        <v>3859.68</v>
      </c>
      <c r="L3879" s="415">
        <v>0</v>
      </c>
      <c r="M3879" s="415">
        <v>0</v>
      </c>
      <c r="N3879" s="415">
        <v>0</v>
      </c>
      <c r="O3879" s="415">
        <v>0</v>
      </c>
      <c r="P3879" s="415">
        <v>0</v>
      </c>
      <c r="Q3879" s="481">
        <f t="shared" si="106"/>
        <v>-3975.4704000000002</v>
      </c>
    </row>
    <row r="3880" spans="1:17" x14ac:dyDescent="0.3">
      <c r="A3880" s="366" t="str">
        <f>IFERROR(VLOOKUP(RIGHT(E3880,3)+0,[1]SchLocTable!$A$2:$B$47,2,FALSE)," ")</f>
        <v xml:space="preserve"> </v>
      </c>
      <c r="B3880" s="366" t="str">
        <f>VLOOKUP(VALUE(D3880),$D$3:F$106,3,FALSE)</f>
        <v>Security</v>
      </c>
      <c r="C3880" t="s">
        <v>314</v>
      </c>
      <c r="D3880">
        <v>883</v>
      </c>
      <c r="E3880" t="s">
        <v>1139</v>
      </c>
      <c r="F3880" t="s">
        <v>320</v>
      </c>
      <c r="G3880" t="s">
        <v>319</v>
      </c>
      <c r="H3880" s="502">
        <v>52360</v>
      </c>
      <c r="I3880" s="415">
        <v>218.66527799999997</v>
      </c>
      <c r="J3880" s="415">
        <v>0</v>
      </c>
      <c r="K3880" s="415">
        <v>0</v>
      </c>
      <c r="L3880" s="415">
        <v>0</v>
      </c>
      <c r="M3880" s="415">
        <v>0</v>
      </c>
      <c r="N3880" s="415">
        <v>0</v>
      </c>
      <c r="O3880" s="415">
        <v>0</v>
      </c>
      <c r="P3880" s="415">
        <v>0</v>
      </c>
      <c r="Q3880" s="481">
        <f t="shared" si="106"/>
        <v>-218.66527799999997</v>
      </c>
    </row>
    <row r="3881" spans="1:17" x14ac:dyDescent="0.3">
      <c r="A3881" s="366" t="str">
        <f>IFERROR(VLOOKUP(RIGHT(E3881,3)+0,[1]SchLocTable!$A$2:$B$47,2,FALSE)," ")</f>
        <v xml:space="preserve"> </v>
      </c>
      <c r="B3881" s="366" t="str">
        <f>VLOOKUP(VALUE(D3881),$D$3:F$106,3,FALSE)</f>
        <v>Security</v>
      </c>
      <c r="C3881" t="s">
        <v>314</v>
      </c>
      <c r="D3881">
        <v>883</v>
      </c>
      <c r="E3881" t="s">
        <v>1139</v>
      </c>
      <c r="F3881" t="s">
        <v>392</v>
      </c>
      <c r="G3881" t="s">
        <v>319</v>
      </c>
      <c r="H3881" s="502">
        <v>52504</v>
      </c>
      <c r="I3881" s="415">
        <v>3133.6996391999996</v>
      </c>
      <c r="J3881" s="415">
        <v>0</v>
      </c>
      <c r="K3881" s="415">
        <v>0</v>
      </c>
      <c r="L3881" s="415">
        <v>0</v>
      </c>
      <c r="M3881" s="415">
        <v>0</v>
      </c>
      <c r="N3881" s="415">
        <v>0</v>
      </c>
      <c r="O3881" s="415">
        <v>0</v>
      </c>
      <c r="P3881" s="415">
        <v>0</v>
      </c>
      <c r="Q3881" s="481">
        <f t="shared" si="106"/>
        <v>-3133.6996391999996</v>
      </c>
    </row>
    <row r="3882" spans="1:17" x14ac:dyDescent="0.3">
      <c r="A3882" s="366" t="str">
        <f>IFERROR(VLOOKUP(RIGHT(E3882,3)+0,[1]SchLocTable!$A$2:$B$47,2,FALSE)," ")</f>
        <v xml:space="preserve"> </v>
      </c>
      <c r="B3882" s="366" t="str">
        <f>VLOOKUP(VALUE(D3882),$D$3:F$106,3,FALSE)</f>
        <v>Security</v>
      </c>
      <c r="C3882" t="s">
        <v>314</v>
      </c>
      <c r="D3882">
        <v>883</v>
      </c>
      <c r="E3882" t="s">
        <v>1139</v>
      </c>
      <c r="F3882" t="s">
        <v>483</v>
      </c>
      <c r="G3882" t="s">
        <v>319</v>
      </c>
      <c r="H3882" s="502">
        <v>51122</v>
      </c>
      <c r="I3882" s="415">
        <v>8421.6912000000011</v>
      </c>
      <c r="J3882" s="415">
        <v>0</v>
      </c>
      <c r="K3882" s="415">
        <v>0</v>
      </c>
      <c r="L3882" s="415">
        <v>0</v>
      </c>
      <c r="M3882" s="415">
        <v>0</v>
      </c>
      <c r="N3882" s="415">
        <v>0</v>
      </c>
      <c r="O3882" s="415">
        <v>0</v>
      </c>
      <c r="P3882" s="415">
        <v>0</v>
      </c>
      <c r="Q3882" s="481">
        <f t="shared" si="106"/>
        <v>-8421.6912000000011</v>
      </c>
    </row>
    <row r="3883" spans="1:17" x14ac:dyDescent="0.3">
      <c r="A3883" s="366" t="str">
        <f>IFERROR(VLOOKUP(RIGHT(E3883,3)+0,[1]SchLocTable!$A$2:$B$47,2,FALSE)," ")</f>
        <v xml:space="preserve"> </v>
      </c>
      <c r="B3883" s="366" t="str">
        <f>VLOOKUP(VALUE(D3883),$D$3:F$106,3,FALSE)</f>
        <v>Security</v>
      </c>
      <c r="C3883" t="s">
        <v>314</v>
      </c>
      <c r="D3883">
        <v>883</v>
      </c>
      <c r="E3883" t="s">
        <v>1139</v>
      </c>
      <c r="F3883" t="s">
        <v>324</v>
      </c>
      <c r="G3883" t="s">
        <v>319</v>
      </c>
      <c r="H3883" s="502">
        <v>52385</v>
      </c>
      <c r="I3883" s="415">
        <v>0</v>
      </c>
      <c r="J3883" s="415">
        <v>0</v>
      </c>
      <c r="K3883" s="415">
        <v>0</v>
      </c>
      <c r="L3883" s="415">
        <v>0</v>
      </c>
      <c r="M3883" s="415">
        <v>0</v>
      </c>
      <c r="N3883" s="415">
        <v>0</v>
      </c>
      <c r="O3883" s="415">
        <v>0</v>
      </c>
      <c r="P3883" s="415">
        <v>0</v>
      </c>
      <c r="Q3883" s="481">
        <f t="shared" si="106"/>
        <v>0</v>
      </c>
    </row>
    <row r="3884" spans="1:17" x14ac:dyDescent="0.3">
      <c r="A3884" s="366" t="str">
        <f>IFERROR(VLOOKUP(RIGHT(E3884,3)+0,[1]SchLocTable!$A$2:$B$47,2,FALSE)," ")</f>
        <v>Bassick HS</v>
      </c>
      <c r="B3884" s="366" t="str">
        <f>VLOOKUP(VALUE(D3884),$D$3:F$106,3,FALSE)</f>
        <v>Security</v>
      </c>
      <c r="C3884" t="s">
        <v>314</v>
      </c>
      <c r="D3884">
        <v>883</v>
      </c>
      <c r="E3884" t="s">
        <v>1140</v>
      </c>
      <c r="F3884" t="s">
        <v>316</v>
      </c>
      <c r="G3884">
        <v>7</v>
      </c>
      <c r="H3884" s="502">
        <v>51000</v>
      </c>
      <c r="I3884" s="415">
        <v>285181.41599999997</v>
      </c>
      <c r="J3884" s="415">
        <v>230880</v>
      </c>
      <c r="K3884" s="415">
        <v>212231.21</v>
      </c>
      <c r="L3884" s="415">
        <v>239298.73</v>
      </c>
      <c r="M3884" s="415">
        <v>232997.76000000001</v>
      </c>
      <c r="N3884" s="415">
        <v>230450.04</v>
      </c>
      <c r="O3884" s="415">
        <v>211852.59</v>
      </c>
      <c r="P3884" s="415">
        <v>282168.15999999997</v>
      </c>
      <c r="Q3884" s="481">
        <f t="shared" si="106"/>
        <v>-54301.415999999968</v>
      </c>
    </row>
    <row r="3885" spans="1:17" x14ac:dyDescent="0.3">
      <c r="A3885" s="366" t="str">
        <f>IFERROR(VLOOKUP(RIGHT(E3885,3)+0,[1]SchLocTable!$A$2:$B$47,2,FALSE)," ")</f>
        <v>Bassick HS</v>
      </c>
      <c r="B3885" s="366" t="str">
        <f>VLOOKUP(VALUE(D3885),$D$3:F$106,3,FALSE)</f>
        <v>Security</v>
      </c>
      <c r="C3885" t="s">
        <v>314</v>
      </c>
      <c r="D3885">
        <v>883</v>
      </c>
      <c r="E3885" t="s">
        <v>1140</v>
      </c>
      <c r="F3885" t="s">
        <v>360</v>
      </c>
      <c r="G3885" t="s">
        <v>319</v>
      </c>
      <c r="H3885" s="502">
        <v>52920</v>
      </c>
      <c r="I3885" s="415">
        <v>3333.36</v>
      </c>
      <c r="J3885" s="415">
        <v>2000</v>
      </c>
      <c r="K3885" s="415">
        <v>2000</v>
      </c>
      <c r="L3885" s="415">
        <v>2000</v>
      </c>
      <c r="M3885" s="415">
        <v>2166.67</v>
      </c>
      <c r="N3885" s="415">
        <v>2000</v>
      </c>
      <c r="O3885" s="415">
        <v>1000</v>
      </c>
      <c r="P3885" s="415">
        <v>3000</v>
      </c>
      <c r="Q3885" s="481">
        <f t="shared" si="106"/>
        <v>-1333.3600000000001</v>
      </c>
    </row>
    <row r="3886" spans="1:17" x14ac:dyDescent="0.3">
      <c r="A3886" s="366" t="str">
        <f>IFERROR(VLOOKUP(RIGHT(E3886,3)+0,[1]SchLocTable!$A$2:$B$47,2,FALSE)," ")</f>
        <v>Bassick HS</v>
      </c>
      <c r="B3886" s="366" t="str">
        <f>VLOOKUP(VALUE(D3886),$D$3:F$106,3,FALSE)</f>
        <v>Security</v>
      </c>
      <c r="C3886" t="s">
        <v>314</v>
      </c>
      <c r="D3886">
        <v>883</v>
      </c>
      <c r="E3886" t="s">
        <v>1140</v>
      </c>
      <c r="F3886" t="s">
        <v>321</v>
      </c>
      <c r="G3886" t="s">
        <v>319</v>
      </c>
      <c r="H3886" s="502">
        <v>52917</v>
      </c>
      <c r="I3886" s="415">
        <v>168489.984</v>
      </c>
      <c r="J3886" s="415">
        <v>139709</v>
      </c>
      <c r="K3886" s="415">
        <v>127888.54</v>
      </c>
      <c r="L3886" s="415">
        <v>140096.48000000001</v>
      </c>
      <c r="M3886" s="415">
        <v>118896.96000000001</v>
      </c>
      <c r="N3886" s="415">
        <v>112566.51</v>
      </c>
      <c r="O3886" s="415">
        <v>95872.55</v>
      </c>
      <c r="P3886" s="415">
        <v>98780.02</v>
      </c>
      <c r="Q3886" s="481">
        <f t="shared" si="106"/>
        <v>-28780.983999999997</v>
      </c>
    </row>
    <row r="3887" spans="1:17" x14ac:dyDescent="0.3">
      <c r="A3887" s="366" t="str">
        <f>IFERROR(VLOOKUP(RIGHT(E3887,3)+0,[1]SchLocTable!$A$2:$B$47,2,FALSE)," ")</f>
        <v>Bassick HS</v>
      </c>
      <c r="B3887" s="366" t="str">
        <f>VLOOKUP(VALUE(D3887),$D$3:F$106,3,FALSE)</f>
        <v>Security</v>
      </c>
      <c r="C3887" t="s">
        <v>314</v>
      </c>
      <c r="D3887">
        <v>883</v>
      </c>
      <c r="E3887" t="s">
        <v>1140</v>
      </c>
      <c r="F3887" t="s">
        <v>1087</v>
      </c>
      <c r="G3887" t="s">
        <v>319</v>
      </c>
      <c r="H3887" s="502">
        <v>51116</v>
      </c>
      <c r="I3887" s="415">
        <v>0</v>
      </c>
      <c r="J3887" s="415">
        <v>0</v>
      </c>
      <c r="K3887" s="415">
        <v>0</v>
      </c>
      <c r="L3887" s="415">
        <v>0</v>
      </c>
      <c r="M3887" s="415">
        <v>318.39999999999998</v>
      </c>
      <c r="N3887" s="415">
        <v>0</v>
      </c>
      <c r="O3887" s="415">
        <v>0</v>
      </c>
      <c r="P3887" s="415">
        <v>0</v>
      </c>
      <c r="Q3887" s="481">
        <f t="shared" si="106"/>
        <v>0</v>
      </c>
    </row>
    <row r="3888" spans="1:17" x14ac:dyDescent="0.3">
      <c r="A3888" s="366" t="str">
        <f>IFERROR(VLOOKUP(RIGHT(E3888,3)+0,[1]SchLocTable!$A$2:$B$47,2,FALSE)," ")</f>
        <v>Bassick HS</v>
      </c>
      <c r="B3888" s="366" t="str">
        <f>VLOOKUP(VALUE(D3888),$D$3:F$106,3,FALSE)</f>
        <v>Security</v>
      </c>
      <c r="C3888" t="s">
        <v>314</v>
      </c>
      <c r="D3888">
        <v>883</v>
      </c>
      <c r="E3888" t="s">
        <v>1140</v>
      </c>
      <c r="F3888" t="s">
        <v>318</v>
      </c>
      <c r="G3888" t="s">
        <v>319</v>
      </c>
      <c r="H3888" s="502">
        <v>51140</v>
      </c>
      <c r="I3888" s="415">
        <v>4125</v>
      </c>
      <c r="J3888" s="415">
        <v>4125</v>
      </c>
      <c r="K3888" s="415">
        <v>3825</v>
      </c>
      <c r="L3888" s="415">
        <v>2850</v>
      </c>
      <c r="M3888" s="415">
        <v>4093.75</v>
      </c>
      <c r="N3888" s="415">
        <v>2550</v>
      </c>
      <c r="O3888" s="415">
        <v>3525</v>
      </c>
      <c r="P3888" s="415">
        <v>3300</v>
      </c>
      <c r="Q3888" s="481">
        <f t="shared" si="106"/>
        <v>0</v>
      </c>
    </row>
    <row r="3889" spans="1:17" x14ac:dyDescent="0.3">
      <c r="A3889" s="366" t="str">
        <f>IFERROR(VLOOKUP(RIGHT(E3889,3)+0,[1]SchLocTable!$A$2:$B$47,2,FALSE)," ")</f>
        <v>Bassick HS</v>
      </c>
      <c r="B3889" s="366" t="str">
        <f>VLOOKUP(VALUE(D3889),$D$3:F$106,3,FALSE)</f>
        <v>Security</v>
      </c>
      <c r="C3889" t="s">
        <v>314</v>
      </c>
      <c r="D3889">
        <v>883</v>
      </c>
      <c r="E3889" t="s">
        <v>1140</v>
      </c>
      <c r="F3889" t="s">
        <v>320</v>
      </c>
      <c r="G3889" t="s">
        <v>319</v>
      </c>
      <c r="H3889" s="502">
        <v>52360</v>
      </c>
      <c r="I3889" s="415">
        <v>4345.4498043000003</v>
      </c>
      <c r="J3889" s="415">
        <v>2678</v>
      </c>
      <c r="K3889" s="415">
        <v>2642.84</v>
      </c>
      <c r="L3889" s="415">
        <v>3350.85</v>
      </c>
      <c r="M3889" s="415">
        <v>3240.75</v>
      </c>
      <c r="N3889" s="415">
        <v>3231.63</v>
      </c>
      <c r="O3889" s="415">
        <v>2843.35</v>
      </c>
      <c r="P3889" s="415">
        <v>3899.09</v>
      </c>
      <c r="Q3889" s="481">
        <f t="shared" si="106"/>
        <v>-1667.4498043000003</v>
      </c>
    </row>
    <row r="3890" spans="1:17" x14ac:dyDescent="0.3">
      <c r="A3890" s="366" t="str">
        <f>IFERROR(VLOOKUP(RIGHT(E3890,3)+0,[1]SchLocTable!$A$2:$B$47,2,FALSE)," ")</f>
        <v>Bassick HS</v>
      </c>
      <c r="B3890" s="366" t="str">
        <f>VLOOKUP(VALUE(D3890),$D$3:F$106,3,FALSE)</f>
        <v>Security</v>
      </c>
      <c r="C3890" t="s">
        <v>314</v>
      </c>
      <c r="D3890">
        <v>883</v>
      </c>
      <c r="E3890" t="s">
        <v>1140</v>
      </c>
      <c r="F3890" t="s">
        <v>392</v>
      </c>
      <c r="G3890" t="s">
        <v>319</v>
      </c>
      <c r="H3890" s="502">
        <v>52504</v>
      </c>
      <c r="I3890" s="415">
        <v>62274.790988519999</v>
      </c>
      <c r="J3890" s="415">
        <v>48834</v>
      </c>
      <c r="K3890" s="415">
        <v>46248.66</v>
      </c>
      <c r="L3890" s="415">
        <v>55978.46</v>
      </c>
      <c r="M3890" s="415">
        <v>56128.84</v>
      </c>
      <c r="N3890" s="415">
        <v>48711.58</v>
      </c>
      <c r="O3890" s="415">
        <v>35738.97</v>
      </c>
      <c r="P3890" s="415">
        <v>40926.980000000003</v>
      </c>
      <c r="Q3890" s="481">
        <f t="shared" si="106"/>
        <v>-13440.790988519999</v>
      </c>
    </row>
    <row r="3891" spans="1:17" x14ac:dyDescent="0.3">
      <c r="A3891" s="366" t="str">
        <f>IFERROR(VLOOKUP(RIGHT(E3891,3)+0,[1]SchLocTable!$A$2:$B$47,2,FALSE)," ")</f>
        <v>Bassick HS</v>
      </c>
      <c r="B3891" s="366" t="str">
        <f>VLOOKUP(VALUE(D3891),$D$3:F$106,3,FALSE)</f>
        <v>Security</v>
      </c>
      <c r="C3891" t="s">
        <v>314</v>
      </c>
      <c r="D3891">
        <v>883</v>
      </c>
      <c r="E3891" t="s">
        <v>1140</v>
      </c>
      <c r="F3891" t="s">
        <v>452</v>
      </c>
      <c r="G3891" t="s">
        <v>319</v>
      </c>
      <c r="H3891" s="502">
        <v>51108</v>
      </c>
      <c r="I3891" s="415">
        <v>2688.3089999999993</v>
      </c>
      <c r="J3891" s="415">
        <v>705.96</v>
      </c>
      <c r="K3891" s="415">
        <v>2656.41</v>
      </c>
      <c r="L3891" s="415">
        <v>5303.53</v>
      </c>
      <c r="M3891" s="415">
        <v>1799.51</v>
      </c>
      <c r="N3891" s="415">
        <v>984.96</v>
      </c>
      <c r="O3891" s="415">
        <v>58.75</v>
      </c>
      <c r="P3891" s="415">
        <v>202.58</v>
      </c>
      <c r="Q3891" s="481">
        <f t="shared" si="106"/>
        <v>-1982.3489999999993</v>
      </c>
    </row>
    <row r="3892" spans="1:17" x14ac:dyDescent="0.3">
      <c r="A3892" s="366" t="str">
        <f>IFERROR(VLOOKUP(RIGHT(E3892,3)+0,[1]SchLocTable!$A$2:$B$47,2,FALSE)," ")</f>
        <v>Bassick HS</v>
      </c>
      <c r="B3892" s="366" t="str">
        <f>VLOOKUP(VALUE(D3892),$D$3:F$106,3,FALSE)</f>
        <v>Security</v>
      </c>
      <c r="C3892" t="s">
        <v>314</v>
      </c>
      <c r="D3892">
        <v>883</v>
      </c>
      <c r="E3892" t="s">
        <v>1140</v>
      </c>
      <c r="F3892" t="s">
        <v>483</v>
      </c>
      <c r="G3892" t="s">
        <v>319</v>
      </c>
      <c r="H3892" s="502">
        <v>51122</v>
      </c>
      <c r="I3892" s="415">
        <v>6964.4307200000012</v>
      </c>
      <c r="J3892" s="415">
        <v>4243.09</v>
      </c>
      <c r="K3892" s="415">
        <v>5852.21</v>
      </c>
      <c r="L3892" s="415">
        <v>19060.939999999999</v>
      </c>
      <c r="M3892" s="415">
        <v>15292.11</v>
      </c>
      <c r="N3892" s="415">
        <v>11440.31</v>
      </c>
      <c r="O3892" s="415">
        <v>1603.8</v>
      </c>
      <c r="P3892" s="415">
        <v>795.21</v>
      </c>
      <c r="Q3892" s="481">
        <f t="shared" si="106"/>
        <v>-2721.3407200000011</v>
      </c>
    </row>
    <row r="3893" spans="1:17" x14ac:dyDescent="0.3">
      <c r="A3893" s="366" t="str">
        <f>IFERROR(VLOOKUP(RIGHT(E3893,3)+0,[1]SchLocTable!$A$2:$B$47,2,FALSE)," ")</f>
        <v>Bassick HS</v>
      </c>
      <c r="B3893" s="366" t="str">
        <f>VLOOKUP(VALUE(D3893),$D$3:F$106,3,FALSE)</f>
        <v>Security</v>
      </c>
      <c r="C3893" t="s">
        <v>314</v>
      </c>
      <c r="D3893">
        <v>883</v>
      </c>
      <c r="E3893" t="s">
        <v>1140</v>
      </c>
      <c r="F3893" t="s">
        <v>324</v>
      </c>
      <c r="G3893" t="s">
        <v>319</v>
      </c>
      <c r="H3893" s="502">
        <v>52385</v>
      </c>
      <c r="I3893" s="415">
        <v>0</v>
      </c>
      <c r="J3893" s="415">
        <v>0</v>
      </c>
      <c r="K3893" s="415">
        <v>0</v>
      </c>
      <c r="L3893" s="415">
        <v>43.75</v>
      </c>
      <c r="M3893" s="415">
        <v>0</v>
      </c>
      <c r="N3893" s="415">
        <v>0</v>
      </c>
      <c r="O3893" s="415">
        <v>0</v>
      </c>
      <c r="P3893" s="415">
        <v>0</v>
      </c>
      <c r="Q3893" s="481">
        <f t="shared" si="106"/>
        <v>0</v>
      </c>
    </row>
    <row r="3894" spans="1:17" x14ac:dyDescent="0.3">
      <c r="A3894" s="366" t="str">
        <f>IFERROR(VLOOKUP(RIGHT(E3894,3)+0,[1]SchLocTable!$A$2:$B$47,2,FALSE)," ")</f>
        <v>Bassick HS</v>
      </c>
      <c r="B3894" s="366" t="str">
        <f>VLOOKUP(VALUE(D3894),$D$3:F$106,3,FALSE)</f>
        <v>Security</v>
      </c>
      <c r="C3894" t="s">
        <v>314</v>
      </c>
      <c r="D3894">
        <v>883</v>
      </c>
      <c r="E3894" t="s">
        <v>1140</v>
      </c>
      <c r="F3894" t="s">
        <v>356</v>
      </c>
      <c r="G3894" t="s">
        <v>319</v>
      </c>
      <c r="H3894" s="502">
        <v>51156</v>
      </c>
      <c r="I3894" s="415">
        <v>0</v>
      </c>
      <c r="J3894" s="415">
        <v>0</v>
      </c>
      <c r="K3894" s="415">
        <v>0</v>
      </c>
      <c r="L3894" s="415">
        <v>851.6</v>
      </c>
      <c r="M3894" s="415">
        <v>802.8</v>
      </c>
      <c r="N3894" s="415">
        <v>0</v>
      </c>
      <c r="O3894" s="415">
        <v>1543.2</v>
      </c>
      <c r="P3894" s="415">
        <v>1483.2</v>
      </c>
      <c r="Q3894" s="481">
        <f t="shared" si="106"/>
        <v>0</v>
      </c>
    </row>
    <row r="3895" spans="1:17" x14ac:dyDescent="0.3">
      <c r="A3895" s="366" t="str">
        <f>IFERROR(VLOOKUP(RIGHT(E3895,3)+0,[1]SchLocTable!$A$2:$B$47,2,FALSE)," ")</f>
        <v>Central HS</v>
      </c>
      <c r="B3895" s="366" t="str">
        <f>VLOOKUP(VALUE(D3895),$D$3:F$106,3,FALSE)</f>
        <v>Security</v>
      </c>
      <c r="C3895" t="s">
        <v>314</v>
      </c>
      <c r="D3895">
        <v>883</v>
      </c>
      <c r="E3895" t="s">
        <v>1141</v>
      </c>
      <c r="F3895" t="s">
        <v>316</v>
      </c>
      <c r="G3895">
        <v>5</v>
      </c>
      <c r="H3895" s="502">
        <v>51000</v>
      </c>
      <c r="I3895" s="415">
        <v>238960.8</v>
      </c>
      <c r="J3895" s="415">
        <v>231768.01</v>
      </c>
      <c r="K3895" s="415">
        <v>271519.03000000003</v>
      </c>
      <c r="L3895" s="415">
        <v>271137.28000000003</v>
      </c>
      <c r="M3895" s="415">
        <v>274444.2</v>
      </c>
      <c r="N3895" s="415">
        <v>247598.65</v>
      </c>
      <c r="O3895" s="415">
        <v>197072.81</v>
      </c>
      <c r="P3895" s="415">
        <v>247838.44</v>
      </c>
      <c r="Q3895" s="481">
        <f t="shared" si="106"/>
        <v>-7192.789999999979</v>
      </c>
    </row>
    <row r="3896" spans="1:17" x14ac:dyDescent="0.3">
      <c r="A3896" s="366" t="str">
        <f>IFERROR(VLOOKUP(RIGHT(E3896,3)+0,[1]SchLocTable!$A$2:$B$47,2,FALSE)," ")</f>
        <v>Central HS</v>
      </c>
      <c r="B3896" s="366" t="str">
        <f>VLOOKUP(VALUE(D3896),$D$3:F$106,3,FALSE)</f>
        <v>Security</v>
      </c>
      <c r="C3896" t="s">
        <v>314</v>
      </c>
      <c r="D3896">
        <v>883</v>
      </c>
      <c r="E3896" t="s">
        <v>1141</v>
      </c>
      <c r="F3896" t="s">
        <v>360</v>
      </c>
      <c r="G3896" t="s">
        <v>319</v>
      </c>
      <c r="H3896" s="502">
        <v>52920</v>
      </c>
      <c r="I3896" s="415">
        <v>0</v>
      </c>
      <c r="J3896" s="415">
        <v>0</v>
      </c>
      <c r="K3896" s="415">
        <v>0</v>
      </c>
      <c r="L3896" s="415">
        <v>0</v>
      </c>
      <c r="M3896" s="415">
        <v>1000</v>
      </c>
      <c r="N3896" s="415">
        <v>0</v>
      </c>
      <c r="O3896" s="415">
        <v>0</v>
      </c>
      <c r="P3896" s="415">
        <v>0</v>
      </c>
      <c r="Q3896" s="481">
        <f t="shared" si="106"/>
        <v>0</v>
      </c>
    </row>
    <row r="3897" spans="1:17" x14ac:dyDescent="0.3">
      <c r="A3897" s="366" t="str">
        <f>IFERROR(VLOOKUP(RIGHT(E3897,3)+0,[1]SchLocTable!$A$2:$B$47,2,FALSE)," ")</f>
        <v>Central HS</v>
      </c>
      <c r="B3897" s="366" t="str">
        <f>VLOOKUP(VALUE(D3897),$D$3:F$106,3,FALSE)</f>
        <v>Security</v>
      </c>
      <c r="C3897" t="s">
        <v>314</v>
      </c>
      <c r="D3897">
        <v>883</v>
      </c>
      <c r="E3897" t="s">
        <v>1141</v>
      </c>
      <c r="F3897" t="s">
        <v>321</v>
      </c>
      <c r="G3897" t="s">
        <v>319</v>
      </c>
      <c r="H3897" s="502">
        <v>52917</v>
      </c>
      <c r="I3897" s="415">
        <v>126180.288</v>
      </c>
      <c r="J3897" s="415">
        <v>99121.53</v>
      </c>
      <c r="K3897" s="415">
        <v>131527.91</v>
      </c>
      <c r="L3897" s="415">
        <v>141120.44</v>
      </c>
      <c r="M3897" s="415">
        <v>134920.41</v>
      </c>
      <c r="N3897" s="415">
        <v>122774.77</v>
      </c>
      <c r="O3897" s="415">
        <v>97678.58</v>
      </c>
      <c r="P3897" s="415">
        <v>111916.18</v>
      </c>
      <c r="Q3897" s="481">
        <f t="shared" si="106"/>
        <v>-27058.758000000002</v>
      </c>
    </row>
    <row r="3898" spans="1:17" x14ac:dyDescent="0.3">
      <c r="A3898" s="366" t="str">
        <f>IFERROR(VLOOKUP(RIGHT(E3898,3)+0,[1]SchLocTable!$A$2:$B$47,2,FALSE)," ")</f>
        <v>Central HS</v>
      </c>
      <c r="B3898" s="366" t="str">
        <f>VLOOKUP(VALUE(D3898),$D$3:F$106,3,FALSE)</f>
        <v>Security</v>
      </c>
      <c r="C3898" t="s">
        <v>314</v>
      </c>
      <c r="D3898">
        <v>883</v>
      </c>
      <c r="E3898" t="s">
        <v>1141</v>
      </c>
      <c r="F3898" t="s">
        <v>1087</v>
      </c>
      <c r="G3898" t="s">
        <v>319</v>
      </c>
      <c r="H3898" s="502">
        <v>51116</v>
      </c>
      <c r="I3898" s="415">
        <v>0</v>
      </c>
      <c r="J3898" s="415">
        <v>0</v>
      </c>
      <c r="K3898" s="415">
        <v>0</v>
      </c>
      <c r="L3898" s="415">
        <v>0</v>
      </c>
      <c r="M3898" s="415">
        <v>1594.88</v>
      </c>
      <c r="N3898" s="415">
        <v>0</v>
      </c>
      <c r="O3898" s="415">
        <v>0</v>
      </c>
      <c r="P3898" s="415">
        <v>0</v>
      </c>
      <c r="Q3898" s="481">
        <f t="shared" si="106"/>
        <v>0</v>
      </c>
    </row>
    <row r="3899" spans="1:17" x14ac:dyDescent="0.3">
      <c r="A3899" s="366" t="str">
        <f>IFERROR(VLOOKUP(RIGHT(E3899,3)+0,[1]SchLocTable!$A$2:$B$47,2,FALSE)," ")</f>
        <v>Central HS</v>
      </c>
      <c r="B3899" s="366" t="str">
        <f>VLOOKUP(VALUE(D3899),$D$3:F$106,3,FALSE)</f>
        <v>Security</v>
      </c>
      <c r="C3899" t="s">
        <v>314</v>
      </c>
      <c r="D3899">
        <v>883</v>
      </c>
      <c r="E3899" t="s">
        <v>1141</v>
      </c>
      <c r="F3899" t="s">
        <v>318</v>
      </c>
      <c r="G3899" t="s">
        <v>319</v>
      </c>
      <c r="H3899" s="502">
        <v>51140</v>
      </c>
      <c r="I3899" s="415">
        <v>5400</v>
      </c>
      <c r="J3899" s="415">
        <v>5400</v>
      </c>
      <c r="K3899" s="415">
        <v>6131.25</v>
      </c>
      <c r="L3899" s="415">
        <v>5550</v>
      </c>
      <c r="M3899" s="415">
        <v>6525</v>
      </c>
      <c r="N3899" s="415">
        <v>6150</v>
      </c>
      <c r="O3899" s="415">
        <v>7500</v>
      </c>
      <c r="P3899" s="415">
        <v>7106.25</v>
      </c>
      <c r="Q3899" s="481">
        <f t="shared" si="106"/>
        <v>0</v>
      </c>
    </row>
    <row r="3900" spans="1:17" x14ac:dyDescent="0.3">
      <c r="A3900" s="366" t="str">
        <f>IFERROR(VLOOKUP(RIGHT(E3900,3)+0,[1]SchLocTable!$A$2:$B$47,2,FALSE)," ")</f>
        <v>Central HS</v>
      </c>
      <c r="B3900" s="366" t="str">
        <f>VLOOKUP(VALUE(D3900),$D$3:F$106,3,FALSE)</f>
        <v>Security</v>
      </c>
      <c r="C3900" t="s">
        <v>314</v>
      </c>
      <c r="D3900">
        <v>883</v>
      </c>
      <c r="E3900" t="s">
        <v>1141</v>
      </c>
      <c r="F3900" t="s">
        <v>320</v>
      </c>
      <c r="G3900" t="s">
        <v>319</v>
      </c>
      <c r="H3900" s="502">
        <v>52360</v>
      </c>
      <c r="I3900" s="415">
        <v>3626.9171523</v>
      </c>
      <c r="J3900" s="415">
        <v>3447.44</v>
      </c>
      <c r="K3900" s="415">
        <v>3619.49</v>
      </c>
      <c r="L3900" s="415">
        <v>4073.27</v>
      </c>
      <c r="M3900" s="415">
        <v>4048.23</v>
      </c>
      <c r="N3900" s="415">
        <v>3613.08</v>
      </c>
      <c r="O3900" s="415">
        <v>2704.72</v>
      </c>
      <c r="P3900" s="415">
        <v>3345.55</v>
      </c>
      <c r="Q3900" s="481">
        <f t="shared" si="106"/>
        <v>-179.47715229999994</v>
      </c>
    </row>
    <row r="3901" spans="1:17" x14ac:dyDescent="0.3">
      <c r="A3901" s="366" t="str">
        <f>IFERROR(VLOOKUP(RIGHT(E3901,3)+0,[1]SchLocTable!$A$2:$B$47,2,FALSE)," ")</f>
        <v>Central HS</v>
      </c>
      <c r="B3901" s="366" t="str">
        <f>VLOOKUP(VALUE(D3901),$D$3:F$106,3,FALSE)</f>
        <v>Security</v>
      </c>
      <c r="C3901" t="s">
        <v>314</v>
      </c>
      <c r="D3901">
        <v>883</v>
      </c>
      <c r="E3901" t="s">
        <v>1141</v>
      </c>
      <c r="F3901" t="s">
        <v>392</v>
      </c>
      <c r="G3901" t="s">
        <v>319</v>
      </c>
      <c r="H3901" s="502">
        <v>52504</v>
      </c>
      <c r="I3901" s="415">
        <v>51977.474775720002</v>
      </c>
      <c r="J3901" s="415">
        <v>49283.62</v>
      </c>
      <c r="K3901" s="415">
        <v>57644.78</v>
      </c>
      <c r="L3901" s="415">
        <v>64340.04</v>
      </c>
      <c r="M3901" s="415">
        <v>67527.990000000005</v>
      </c>
      <c r="N3901" s="415">
        <v>53620.56</v>
      </c>
      <c r="O3901" s="415">
        <v>34224.44</v>
      </c>
      <c r="P3901" s="415">
        <v>36499.43</v>
      </c>
      <c r="Q3901" s="481">
        <f t="shared" si="106"/>
        <v>-2693.8547757199995</v>
      </c>
    </row>
    <row r="3902" spans="1:17" x14ac:dyDescent="0.3">
      <c r="A3902" s="366" t="str">
        <f>IFERROR(VLOOKUP(RIGHT(E3902,3)+0,[1]SchLocTable!$A$2:$B$47,2,FALSE)," ")</f>
        <v>Central HS</v>
      </c>
      <c r="B3902" s="366" t="str">
        <f>VLOOKUP(VALUE(D3902),$D$3:F$106,3,FALSE)</f>
        <v>Security</v>
      </c>
      <c r="C3902" t="s">
        <v>314</v>
      </c>
      <c r="D3902">
        <v>883</v>
      </c>
      <c r="E3902" t="s">
        <v>1141</v>
      </c>
      <c r="F3902" t="s">
        <v>452</v>
      </c>
      <c r="G3902" t="s">
        <v>319</v>
      </c>
      <c r="H3902" s="502">
        <v>51108</v>
      </c>
      <c r="I3902" s="415">
        <v>2688.3089999999993</v>
      </c>
      <c r="J3902" s="415">
        <v>0</v>
      </c>
      <c r="K3902" s="415">
        <v>115.13</v>
      </c>
      <c r="L3902" s="415">
        <v>5263.38</v>
      </c>
      <c r="M3902" s="415">
        <v>2422.77</v>
      </c>
      <c r="N3902" s="415">
        <v>1341.79</v>
      </c>
      <c r="O3902" s="415">
        <v>457.27</v>
      </c>
      <c r="P3902" s="415">
        <v>0</v>
      </c>
      <c r="Q3902" s="481">
        <f t="shared" si="106"/>
        <v>-2688.3089999999993</v>
      </c>
    </row>
    <row r="3903" spans="1:17" x14ac:dyDescent="0.3">
      <c r="A3903" s="366" t="str">
        <f>IFERROR(VLOOKUP(RIGHT(E3903,3)+0,[1]SchLocTable!$A$2:$B$47,2,FALSE)," ")</f>
        <v>Central HS</v>
      </c>
      <c r="B3903" s="366" t="str">
        <f>VLOOKUP(VALUE(D3903),$D$3:F$106,3,FALSE)</f>
        <v>Security</v>
      </c>
      <c r="C3903" t="s">
        <v>314</v>
      </c>
      <c r="D3903">
        <v>883</v>
      </c>
      <c r="E3903" t="s">
        <v>1141</v>
      </c>
      <c r="F3903" t="s">
        <v>483</v>
      </c>
      <c r="G3903" t="s">
        <v>319</v>
      </c>
      <c r="H3903" s="502">
        <v>51122</v>
      </c>
      <c r="I3903" s="415">
        <v>5456.8467200000014</v>
      </c>
      <c r="J3903" s="415">
        <v>0</v>
      </c>
      <c r="K3903" s="415">
        <v>2142.1</v>
      </c>
      <c r="L3903" s="415">
        <v>23888.95</v>
      </c>
      <c r="M3903" s="415">
        <v>20024.29</v>
      </c>
      <c r="N3903" s="415">
        <v>15638.13</v>
      </c>
      <c r="O3903" s="415">
        <v>2567.94</v>
      </c>
      <c r="P3903" s="415">
        <v>556.65</v>
      </c>
      <c r="Q3903" s="481">
        <f t="shared" ref="Q3903:Q3966" si="107">J3903-I3903</f>
        <v>-5456.8467200000014</v>
      </c>
    </row>
    <row r="3904" spans="1:17" x14ac:dyDescent="0.3">
      <c r="A3904" s="366" t="str">
        <f>IFERROR(VLOOKUP(RIGHT(E3904,3)+0,[1]SchLocTable!$A$2:$B$47,2,FALSE)," ")</f>
        <v>Central HS</v>
      </c>
      <c r="B3904" s="366" t="str">
        <f>VLOOKUP(VALUE(D3904),$D$3:F$106,3,FALSE)</f>
        <v>Security</v>
      </c>
      <c r="C3904" t="s">
        <v>314</v>
      </c>
      <c r="D3904">
        <v>883</v>
      </c>
      <c r="E3904" t="s">
        <v>1141</v>
      </c>
      <c r="F3904" t="s">
        <v>324</v>
      </c>
      <c r="G3904" t="s">
        <v>319</v>
      </c>
      <c r="H3904" s="502">
        <v>52385</v>
      </c>
      <c r="I3904" s="415">
        <v>0</v>
      </c>
      <c r="J3904" s="415">
        <v>0</v>
      </c>
      <c r="K3904" s="415">
        <v>0</v>
      </c>
      <c r="L3904" s="415">
        <v>45.42</v>
      </c>
      <c r="M3904" s="415">
        <v>0</v>
      </c>
      <c r="N3904" s="415">
        <v>0</v>
      </c>
      <c r="O3904" s="415">
        <v>0</v>
      </c>
      <c r="P3904" s="415">
        <v>0</v>
      </c>
      <c r="Q3904" s="481">
        <f t="shared" si="107"/>
        <v>0</v>
      </c>
    </row>
    <row r="3905" spans="1:17" x14ac:dyDescent="0.3">
      <c r="A3905" s="366" t="str">
        <f>IFERROR(VLOOKUP(RIGHT(E3905,3)+0,[1]SchLocTable!$A$2:$B$47,2,FALSE)," ")</f>
        <v>Central HS</v>
      </c>
      <c r="B3905" s="366" t="str">
        <f>VLOOKUP(VALUE(D3905),$D$3:F$106,3,FALSE)</f>
        <v>Security</v>
      </c>
      <c r="C3905" t="s">
        <v>314</v>
      </c>
      <c r="D3905">
        <v>883</v>
      </c>
      <c r="E3905" t="s">
        <v>1141</v>
      </c>
      <c r="F3905" t="s">
        <v>329</v>
      </c>
      <c r="G3905" t="s">
        <v>319</v>
      </c>
      <c r="H3905" s="502">
        <v>51154</v>
      </c>
      <c r="I3905" s="415">
        <v>9220.3745999999992</v>
      </c>
      <c r="J3905" s="415">
        <v>0</v>
      </c>
      <c r="K3905" s="415">
        <v>2237.96</v>
      </c>
      <c r="L3905" s="415">
        <v>0</v>
      </c>
      <c r="M3905" s="415">
        <v>0</v>
      </c>
      <c r="N3905" s="415">
        <v>0</v>
      </c>
      <c r="O3905" s="415">
        <v>0</v>
      </c>
      <c r="P3905" s="415">
        <v>0</v>
      </c>
      <c r="Q3905" s="481">
        <f t="shared" si="107"/>
        <v>-9220.3745999999992</v>
      </c>
    </row>
    <row r="3906" spans="1:17" x14ac:dyDescent="0.3">
      <c r="A3906" s="366" t="str">
        <f>IFERROR(VLOOKUP(RIGHT(E3906,3)+0,[1]SchLocTable!$A$2:$B$47,2,FALSE)," ")</f>
        <v>Harding HS</v>
      </c>
      <c r="B3906" s="366" t="str">
        <f>VLOOKUP(VALUE(D3906),$D$3:F$106,3,FALSE)</f>
        <v>Security</v>
      </c>
      <c r="C3906" t="s">
        <v>314</v>
      </c>
      <c r="D3906">
        <v>883</v>
      </c>
      <c r="E3906" t="s">
        <v>1142</v>
      </c>
      <c r="F3906" t="s">
        <v>316</v>
      </c>
      <c r="G3906">
        <v>8</v>
      </c>
      <c r="H3906" s="502">
        <v>51000</v>
      </c>
      <c r="I3906" s="415">
        <v>425414.8079999999</v>
      </c>
      <c r="J3906" s="415">
        <v>322462</v>
      </c>
      <c r="K3906" s="415">
        <v>296115.17</v>
      </c>
      <c r="L3906" s="415">
        <v>302198.71000000002</v>
      </c>
      <c r="M3906" s="415">
        <v>249924.94</v>
      </c>
      <c r="N3906" s="415">
        <v>228568.15</v>
      </c>
      <c r="O3906" s="415">
        <v>191853.02</v>
      </c>
      <c r="P3906" s="415">
        <v>257530.26</v>
      </c>
      <c r="Q3906" s="481">
        <f t="shared" si="107"/>
        <v>-102952.8079999999</v>
      </c>
    </row>
    <row r="3907" spans="1:17" x14ac:dyDescent="0.3">
      <c r="A3907" s="366" t="str">
        <f>IFERROR(VLOOKUP(RIGHT(E3907,3)+0,[1]SchLocTable!$A$2:$B$47,2,FALSE)," ")</f>
        <v>Harding HS</v>
      </c>
      <c r="B3907" s="366" t="str">
        <f>VLOOKUP(VALUE(D3907),$D$3:F$106,3,FALSE)</f>
        <v>Security</v>
      </c>
      <c r="C3907" t="s">
        <v>314</v>
      </c>
      <c r="D3907">
        <v>883</v>
      </c>
      <c r="E3907" t="s">
        <v>1142</v>
      </c>
      <c r="F3907" t="s">
        <v>360</v>
      </c>
      <c r="G3907" t="s">
        <v>319</v>
      </c>
      <c r="H3907" s="502">
        <v>52920</v>
      </c>
      <c r="I3907" s="415">
        <v>8666.7199999999993</v>
      </c>
      <c r="J3907" s="415">
        <v>5666.68</v>
      </c>
      <c r="K3907" s="415">
        <v>6000</v>
      </c>
      <c r="L3907" s="415">
        <v>8000</v>
      </c>
      <c r="M3907" s="415">
        <v>5666.68</v>
      </c>
      <c r="N3907" s="415">
        <v>5666.68</v>
      </c>
      <c r="O3907" s="415">
        <v>333.33</v>
      </c>
      <c r="P3907" s="415">
        <v>4500</v>
      </c>
      <c r="Q3907" s="481">
        <f t="shared" si="107"/>
        <v>-3000.0399999999991</v>
      </c>
    </row>
    <row r="3908" spans="1:17" x14ac:dyDescent="0.3">
      <c r="A3908" s="366" t="str">
        <f>IFERROR(VLOOKUP(RIGHT(E3908,3)+0,[1]SchLocTable!$A$2:$B$47,2,FALSE)," ")</f>
        <v>Harding HS</v>
      </c>
      <c r="B3908" s="366" t="str">
        <f>VLOOKUP(VALUE(D3908),$D$3:F$106,3,FALSE)</f>
        <v>Security</v>
      </c>
      <c r="C3908" t="s">
        <v>314</v>
      </c>
      <c r="D3908">
        <v>883</v>
      </c>
      <c r="E3908" t="s">
        <v>1142</v>
      </c>
      <c r="F3908" t="s">
        <v>321</v>
      </c>
      <c r="G3908" t="s">
        <v>319</v>
      </c>
      <c r="H3908" s="502">
        <v>52917</v>
      </c>
      <c r="I3908" s="415">
        <v>101708.88</v>
      </c>
      <c r="J3908" s="415">
        <v>84382</v>
      </c>
      <c r="K3908" s="415">
        <v>71132.070000000007</v>
      </c>
      <c r="L3908" s="415">
        <v>78016.72</v>
      </c>
      <c r="M3908" s="415">
        <v>78773.91</v>
      </c>
      <c r="N3908" s="415">
        <v>75758.52</v>
      </c>
      <c r="O3908" s="415">
        <v>49609.66</v>
      </c>
      <c r="P3908" s="415">
        <v>53625.440000000002</v>
      </c>
      <c r="Q3908" s="481">
        <f t="shared" si="107"/>
        <v>-17326.880000000005</v>
      </c>
    </row>
    <row r="3909" spans="1:17" x14ac:dyDescent="0.3">
      <c r="A3909" s="366" t="str">
        <f>IFERROR(VLOOKUP(RIGHT(E3909,3)+0,[1]SchLocTable!$A$2:$B$47,2,FALSE)," ")</f>
        <v>Harding HS</v>
      </c>
      <c r="B3909" s="366" t="str">
        <f>VLOOKUP(VALUE(D3909),$D$3:F$106,3,FALSE)</f>
        <v>Security</v>
      </c>
      <c r="C3909" t="s">
        <v>314</v>
      </c>
      <c r="D3909">
        <v>883</v>
      </c>
      <c r="E3909" t="s">
        <v>1142</v>
      </c>
      <c r="F3909" t="s">
        <v>1087</v>
      </c>
      <c r="G3909" t="s">
        <v>319</v>
      </c>
      <c r="H3909" s="502">
        <v>51116</v>
      </c>
      <c r="I3909" s="415">
        <v>0</v>
      </c>
      <c r="J3909" s="415">
        <v>0</v>
      </c>
      <c r="K3909" s="415">
        <v>0</v>
      </c>
      <c r="L3909" s="415">
        <v>558.76</v>
      </c>
      <c r="M3909" s="415">
        <v>0</v>
      </c>
      <c r="N3909" s="415">
        <v>1602.56</v>
      </c>
      <c r="O3909" s="415">
        <v>0</v>
      </c>
      <c r="P3909" s="415">
        <v>0</v>
      </c>
      <c r="Q3909" s="481">
        <f t="shared" si="107"/>
        <v>0</v>
      </c>
    </row>
    <row r="3910" spans="1:17" x14ac:dyDescent="0.3">
      <c r="A3910" s="366" t="str">
        <f>IFERROR(VLOOKUP(RIGHT(E3910,3)+0,[1]SchLocTable!$A$2:$B$47,2,FALSE)," ")</f>
        <v>Harding HS</v>
      </c>
      <c r="B3910" s="366" t="str">
        <f>VLOOKUP(VALUE(D3910),$D$3:F$106,3,FALSE)</f>
        <v>Security</v>
      </c>
      <c r="C3910" t="s">
        <v>314</v>
      </c>
      <c r="D3910">
        <v>883</v>
      </c>
      <c r="E3910" t="s">
        <v>1142</v>
      </c>
      <c r="F3910" t="s">
        <v>318</v>
      </c>
      <c r="G3910" t="s">
        <v>319</v>
      </c>
      <c r="H3910" s="502">
        <v>51140</v>
      </c>
      <c r="I3910" s="415">
        <v>1875</v>
      </c>
      <c r="J3910" s="415">
        <v>1875</v>
      </c>
      <c r="K3910" s="415">
        <v>1800</v>
      </c>
      <c r="L3910" s="415">
        <v>1725</v>
      </c>
      <c r="M3910" s="415">
        <v>2850</v>
      </c>
      <c r="N3910" s="415">
        <v>3975</v>
      </c>
      <c r="O3910" s="415">
        <v>3375</v>
      </c>
      <c r="P3910" s="415">
        <v>3150</v>
      </c>
      <c r="Q3910" s="481">
        <f t="shared" si="107"/>
        <v>0</v>
      </c>
    </row>
    <row r="3911" spans="1:17" x14ac:dyDescent="0.3">
      <c r="A3911" s="366" t="str">
        <f>IFERROR(VLOOKUP(RIGHT(E3911,3)+0,[1]SchLocTable!$A$2:$B$47,2,FALSE)," ")</f>
        <v>Harding HS</v>
      </c>
      <c r="B3911" s="366" t="str">
        <f>VLOOKUP(VALUE(D3911),$D$3:F$106,3,FALSE)</f>
        <v>Security</v>
      </c>
      <c r="C3911" t="s">
        <v>314</v>
      </c>
      <c r="D3911">
        <v>883</v>
      </c>
      <c r="E3911" t="s">
        <v>1142</v>
      </c>
      <c r="F3911" t="s">
        <v>320</v>
      </c>
      <c r="G3911" t="s">
        <v>319</v>
      </c>
      <c r="H3911" s="502">
        <v>52360</v>
      </c>
      <c r="I3911" s="415">
        <v>6456.1677083000004</v>
      </c>
      <c r="J3911" s="415">
        <v>4441</v>
      </c>
      <c r="K3911" s="415">
        <v>4321.26</v>
      </c>
      <c r="L3911" s="415">
        <v>5051.03</v>
      </c>
      <c r="M3911" s="415">
        <v>3902.3</v>
      </c>
      <c r="N3911" s="415">
        <v>3599.25</v>
      </c>
      <c r="O3911" s="415">
        <v>2754.58</v>
      </c>
      <c r="P3911" s="415">
        <v>3567.46</v>
      </c>
      <c r="Q3911" s="481">
        <f t="shared" si="107"/>
        <v>-2015.1677083000004</v>
      </c>
    </row>
    <row r="3912" spans="1:17" x14ac:dyDescent="0.3">
      <c r="A3912" s="366" t="str">
        <f>IFERROR(VLOOKUP(RIGHT(E3912,3)+0,[1]SchLocTable!$A$2:$B$47,2,FALSE)," ")</f>
        <v>Harding HS</v>
      </c>
      <c r="B3912" s="366" t="str">
        <f>VLOOKUP(VALUE(D3912),$D$3:F$106,3,FALSE)</f>
        <v>Security</v>
      </c>
      <c r="C3912" t="s">
        <v>314</v>
      </c>
      <c r="D3912">
        <v>883</v>
      </c>
      <c r="E3912" t="s">
        <v>1142</v>
      </c>
      <c r="F3912" t="s">
        <v>392</v>
      </c>
      <c r="G3912" t="s">
        <v>319</v>
      </c>
      <c r="H3912" s="502">
        <v>52504</v>
      </c>
      <c r="I3912" s="415">
        <v>92523.56205411999</v>
      </c>
      <c r="J3912" s="415">
        <v>67400</v>
      </c>
      <c r="K3912" s="415">
        <v>56547.79</v>
      </c>
      <c r="L3912" s="415">
        <v>71831.44</v>
      </c>
      <c r="M3912" s="415">
        <v>60614.53</v>
      </c>
      <c r="N3912" s="415">
        <v>44699.34</v>
      </c>
      <c r="O3912" s="415">
        <v>32533.59</v>
      </c>
      <c r="P3912" s="415">
        <v>37279.550000000003</v>
      </c>
      <c r="Q3912" s="481">
        <f t="shared" si="107"/>
        <v>-25123.56205411999</v>
      </c>
    </row>
    <row r="3913" spans="1:17" x14ac:dyDescent="0.3">
      <c r="A3913" s="366" t="str">
        <f>IFERROR(VLOOKUP(RIGHT(E3913,3)+0,[1]SchLocTable!$A$2:$B$47,2,FALSE)," ")</f>
        <v>Harding HS</v>
      </c>
      <c r="B3913" s="366" t="str">
        <f>VLOOKUP(VALUE(D3913),$D$3:F$106,3,FALSE)</f>
        <v>Security</v>
      </c>
      <c r="C3913" t="s">
        <v>314</v>
      </c>
      <c r="D3913">
        <v>883</v>
      </c>
      <c r="E3913" t="s">
        <v>1142</v>
      </c>
      <c r="F3913" t="s">
        <v>452</v>
      </c>
      <c r="G3913" t="s">
        <v>319</v>
      </c>
      <c r="H3913" s="502">
        <v>51108</v>
      </c>
      <c r="I3913" s="415">
        <v>2688.3089999999993</v>
      </c>
      <c r="J3913" s="415">
        <v>1428.57</v>
      </c>
      <c r="K3913" s="415">
        <v>1639.91</v>
      </c>
      <c r="L3913" s="415">
        <v>8969.7800000000007</v>
      </c>
      <c r="M3913" s="415">
        <v>3446.19</v>
      </c>
      <c r="N3913" s="415">
        <v>1770.05</v>
      </c>
      <c r="O3913" s="415">
        <v>772.46</v>
      </c>
      <c r="P3913" s="415">
        <v>0</v>
      </c>
      <c r="Q3913" s="481">
        <f t="shared" si="107"/>
        <v>-1259.7389999999994</v>
      </c>
    </row>
    <row r="3914" spans="1:17" x14ac:dyDescent="0.3">
      <c r="A3914" s="366" t="str">
        <f>IFERROR(VLOOKUP(RIGHT(E3914,3)+0,[1]SchLocTable!$A$2:$B$47,2,FALSE)," ")</f>
        <v>Harding HS</v>
      </c>
      <c r="B3914" s="366" t="str">
        <f>VLOOKUP(VALUE(D3914),$D$3:F$106,3,FALSE)</f>
        <v>Security</v>
      </c>
      <c r="C3914" t="s">
        <v>314</v>
      </c>
      <c r="D3914">
        <v>883</v>
      </c>
      <c r="E3914" t="s">
        <v>1142</v>
      </c>
      <c r="F3914" t="s">
        <v>427</v>
      </c>
      <c r="G3914" t="s">
        <v>319</v>
      </c>
      <c r="H3914" s="502">
        <v>51106</v>
      </c>
      <c r="I3914" s="415">
        <v>0</v>
      </c>
      <c r="J3914" s="415">
        <v>0</v>
      </c>
      <c r="K3914" s="415">
        <v>0</v>
      </c>
      <c r="L3914" s="415">
        <v>85.16</v>
      </c>
      <c r="M3914" s="415">
        <v>0</v>
      </c>
      <c r="N3914" s="415">
        <v>0</v>
      </c>
      <c r="O3914" s="415">
        <v>0</v>
      </c>
      <c r="P3914" s="415">
        <v>0</v>
      </c>
      <c r="Q3914" s="481">
        <f t="shared" si="107"/>
        <v>0</v>
      </c>
    </row>
    <row r="3915" spans="1:17" x14ac:dyDescent="0.3">
      <c r="A3915" s="366" t="str">
        <f>IFERROR(VLOOKUP(RIGHT(E3915,3)+0,[1]SchLocTable!$A$2:$B$47,2,FALSE)," ")</f>
        <v>Harding HS</v>
      </c>
      <c r="B3915" s="366" t="str">
        <f>VLOOKUP(VALUE(D3915),$D$3:F$106,3,FALSE)</f>
        <v>Security</v>
      </c>
      <c r="C3915" t="s">
        <v>314</v>
      </c>
      <c r="D3915">
        <v>883</v>
      </c>
      <c r="E3915" t="s">
        <v>1142</v>
      </c>
      <c r="F3915" t="s">
        <v>483</v>
      </c>
      <c r="G3915" t="s">
        <v>319</v>
      </c>
      <c r="H3915" s="502">
        <v>51122</v>
      </c>
      <c r="I3915" s="415">
        <v>7101.9187200000006</v>
      </c>
      <c r="J3915" s="415">
        <v>2385.21</v>
      </c>
      <c r="K3915" s="415">
        <v>6394.71</v>
      </c>
      <c r="L3915" s="415">
        <v>26073.4</v>
      </c>
      <c r="M3915" s="415">
        <v>17655.759999999998</v>
      </c>
      <c r="N3915" s="415">
        <v>11837.28</v>
      </c>
      <c r="O3915" s="415">
        <v>2632</v>
      </c>
      <c r="P3915" s="415">
        <v>321.14</v>
      </c>
      <c r="Q3915" s="481">
        <f t="shared" si="107"/>
        <v>-4716.7087200000005</v>
      </c>
    </row>
    <row r="3916" spans="1:17" x14ac:dyDescent="0.3">
      <c r="A3916" s="366" t="str">
        <f>IFERROR(VLOOKUP(RIGHT(E3916,3)+0,[1]SchLocTable!$A$2:$B$47,2,FALSE)," ")</f>
        <v>Harding HS</v>
      </c>
      <c r="B3916" s="366" t="str">
        <f>VLOOKUP(VALUE(D3916),$D$3:F$106,3,FALSE)</f>
        <v>Security</v>
      </c>
      <c r="C3916" t="s">
        <v>314</v>
      </c>
      <c r="D3916">
        <v>883</v>
      </c>
      <c r="E3916" t="s">
        <v>1142</v>
      </c>
      <c r="F3916" t="s">
        <v>324</v>
      </c>
      <c r="G3916" t="s">
        <v>319</v>
      </c>
      <c r="H3916" s="502">
        <v>52385</v>
      </c>
      <c r="I3916" s="415">
        <v>0</v>
      </c>
      <c r="J3916" s="415">
        <v>0</v>
      </c>
      <c r="K3916" s="415">
        <v>1945.15</v>
      </c>
      <c r="L3916" s="415">
        <v>9.73</v>
      </c>
      <c r="M3916" s="415">
        <v>0</v>
      </c>
      <c r="N3916" s="415">
        <v>986.87</v>
      </c>
      <c r="O3916" s="415">
        <v>0</v>
      </c>
      <c r="P3916" s="415">
        <v>0</v>
      </c>
      <c r="Q3916" s="481">
        <f t="shared" si="107"/>
        <v>0</v>
      </c>
    </row>
    <row r="3917" spans="1:17" x14ac:dyDescent="0.3">
      <c r="A3917" s="366" t="str">
        <f>IFERROR(VLOOKUP(RIGHT(E3917,3)+0,[1]SchLocTable!$A$2:$B$47,2,FALSE)," ")</f>
        <v>Harding HS</v>
      </c>
      <c r="B3917" s="366" t="str">
        <f>VLOOKUP(VALUE(D3917),$D$3:F$106,3,FALSE)</f>
        <v>Security</v>
      </c>
      <c r="C3917" t="s">
        <v>314</v>
      </c>
      <c r="D3917">
        <v>883</v>
      </c>
      <c r="E3917" t="s">
        <v>1142</v>
      </c>
      <c r="F3917" t="s">
        <v>533</v>
      </c>
      <c r="G3917" t="s">
        <v>319</v>
      </c>
      <c r="H3917" s="502">
        <v>52397</v>
      </c>
      <c r="I3917" s="415">
        <v>0</v>
      </c>
      <c r="J3917" s="415">
        <v>0</v>
      </c>
      <c r="K3917" s="415">
        <v>0</v>
      </c>
      <c r="L3917" s="415">
        <v>0</v>
      </c>
      <c r="M3917" s="415">
        <v>48</v>
      </c>
      <c r="N3917" s="415">
        <v>0</v>
      </c>
      <c r="O3917" s="415">
        <v>0</v>
      </c>
      <c r="P3917" s="415">
        <v>0</v>
      </c>
      <c r="Q3917" s="481">
        <f t="shared" si="107"/>
        <v>0</v>
      </c>
    </row>
    <row r="3918" spans="1:17" x14ac:dyDescent="0.3">
      <c r="A3918" s="366" t="str">
        <f>IFERROR(VLOOKUP(RIGHT(E3918,3)+0,[1]SchLocTable!$A$2:$B$47,2,FALSE)," ")</f>
        <v>Harding HS</v>
      </c>
      <c r="B3918" s="366" t="str">
        <f>VLOOKUP(VALUE(D3918),$D$3:F$106,3,FALSE)</f>
        <v>Security</v>
      </c>
      <c r="C3918" t="s">
        <v>314</v>
      </c>
      <c r="D3918">
        <v>883</v>
      </c>
      <c r="E3918" t="s">
        <v>1142</v>
      </c>
      <c r="F3918" t="s">
        <v>418</v>
      </c>
      <c r="G3918" t="s">
        <v>319</v>
      </c>
      <c r="H3918" s="502">
        <v>51314</v>
      </c>
      <c r="I3918" s="415">
        <v>0</v>
      </c>
      <c r="J3918" s="415">
        <v>0</v>
      </c>
      <c r="K3918" s="415">
        <v>0</v>
      </c>
      <c r="L3918" s="415">
        <v>1070.1600000000001</v>
      </c>
      <c r="M3918" s="415">
        <v>0</v>
      </c>
      <c r="N3918" s="415">
        <v>0</v>
      </c>
      <c r="O3918" s="415">
        <v>746</v>
      </c>
      <c r="P3918" s="415">
        <v>0</v>
      </c>
      <c r="Q3918" s="481">
        <f t="shared" si="107"/>
        <v>0</v>
      </c>
    </row>
    <row r="3919" spans="1:17" x14ac:dyDescent="0.3">
      <c r="A3919" s="366" t="str">
        <f>IFERROR(VLOOKUP(RIGHT(E3919,3)+0,[1]SchLocTable!$A$2:$B$47,2,FALSE)," ")</f>
        <v>Harding HS</v>
      </c>
      <c r="B3919" s="366" t="str">
        <f>VLOOKUP(VALUE(D3919),$D$3:F$106,3,FALSE)</f>
        <v>Security</v>
      </c>
      <c r="C3919" t="s">
        <v>314</v>
      </c>
      <c r="D3919">
        <v>883</v>
      </c>
      <c r="E3919" t="s">
        <v>1142</v>
      </c>
      <c r="F3919" t="s">
        <v>356</v>
      </c>
      <c r="G3919" t="s">
        <v>319</v>
      </c>
      <c r="H3919" s="502">
        <v>51156</v>
      </c>
      <c r="I3919" s="415">
        <v>0</v>
      </c>
      <c r="J3919" s="415">
        <v>0</v>
      </c>
      <c r="K3919" s="415">
        <v>0</v>
      </c>
      <c r="L3919" s="415">
        <v>802.8</v>
      </c>
      <c r="M3919" s="415">
        <v>0</v>
      </c>
      <c r="N3919" s="415">
        <v>0</v>
      </c>
      <c r="O3919" s="415">
        <v>0</v>
      </c>
      <c r="P3919" s="415">
        <v>0</v>
      </c>
      <c r="Q3919" s="481">
        <f t="shared" si="107"/>
        <v>0</v>
      </c>
    </row>
    <row r="3920" spans="1:17" x14ac:dyDescent="0.3">
      <c r="A3920" s="366" t="str">
        <f>IFERROR(VLOOKUP(RIGHT(E3920,3)+0,[1]SchLocTable!$A$2:$B$47,2,FALSE)," ")</f>
        <v>Aquaculture</v>
      </c>
      <c r="B3920" s="366" t="str">
        <f>VLOOKUP(VALUE(D3920),$D$3:F$106,3,FALSE)</f>
        <v>Security</v>
      </c>
      <c r="C3920" t="s">
        <v>314</v>
      </c>
      <c r="D3920">
        <v>883</v>
      </c>
      <c r="E3920" t="s">
        <v>1143</v>
      </c>
      <c r="F3920" t="s">
        <v>316</v>
      </c>
      <c r="G3920">
        <v>1</v>
      </c>
      <c r="H3920" s="502">
        <v>51000</v>
      </c>
      <c r="I3920" s="415">
        <v>47792.159999999996</v>
      </c>
      <c r="J3920" s="415">
        <v>46176</v>
      </c>
      <c r="K3920" s="415">
        <v>45784.72</v>
      </c>
      <c r="L3920" s="415">
        <v>46655.72</v>
      </c>
      <c r="M3920" s="415">
        <v>37425.800000000003</v>
      </c>
      <c r="N3920" s="415">
        <v>40782.720000000001</v>
      </c>
      <c r="O3920" s="415">
        <v>39024.839999999997</v>
      </c>
      <c r="P3920" s="415">
        <v>39379.949999999997</v>
      </c>
      <c r="Q3920" s="481">
        <f t="shared" si="107"/>
        <v>-1616.1599999999962</v>
      </c>
    </row>
    <row r="3921" spans="1:17" x14ac:dyDescent="0.3">
      <c r="A3921" s="366" t="str">
        <f>IFERROR(VLOOKUP(RIGHT(E3921,3)+0,[1]SchLocTable!$A$2:$B$47,2,FALSE)," ")</f>
        <v>Aquaculture</v>
      </c>
      <c r="B3921" s="366" t="str">
        <f>VLOOKUP(VALUE(D3921),$D$3:F$106,3,FALSE)</f>
        <v>Security</v>
      </c>
      <c r="C3921" t="s">
        <v>314</v>
      </c>
      <c r="D3921">
        <v>883</v>
      </c>
      <c r="E3921" t="s">
        <v>1143</v>
      </c>
      <c r="F3921" t="s">
        <v>360</v>
      </c>
      <c r="G3921" t="s">
        <v>319</v>
      </c>
      <c r="H3921" s="502">
        <v>52920</v>
      </c>
      <c r="I3921" s="415">
        <v>2000</v>
      </c>
      <c r="J3921" s="415">
        <v>0</v>
      </c>
      <c r="K3921" s="415">
        <v>1666.68</v>
      </c>
      <c r="L3921" s="415">
        <v>0</v>
      </c>
      <c r="M3921" s="415">
        <v>0</v>
      </c>
      <c r="N3921" s="415">
        <v>0</v>
      </c>
      <c r="O3921" s="415">
        <v>0</v>
      </c>
      <c r="P3921" s="415">
        <v>0</v>
      </c>
      <c r="Q3921" s="481">
        <f t="shared" si="107"/>
        <v>-2000</v>
      </c>
    </row>
    <row r="3922" spans="1:17" x14ac:dyDescent="0.3">
      <c r="A3922" s="366" t="str">
        <f>IFERROR(VLOOKUP(RIGHT(E3922,3)+0,[1]SchLocTable!$A$2:$B$47,2,FALSE)," ")</f>
        <v>Aquaculture</v>
      </c>
      <c r="B3922" s="366" t="str">
        <f>VLOOKUP(VALUE(D3922),$D$3:F$106,3,FALSE)</f>
        <v>Security</v>
      </c>
      <c r="C3922" t="s">
        <v>314</v>
      </c>
      <c r="D3922">
        <v>883</v>
      </c>
      <c r="E3922" t="s">
        <v>1143</v>
      </c>
      <c r="F3922" t="s">
        <v>321</v>
      </c>
      <c r="G3922" t="s">
        <v>319</v>
      </c>
      <c r="H3922" s="502">
        <v>52917</v>
      </c>
      <c r="I3922" s="415">
        <v>1052.6879999999999</v>
      </c>
      <c r="J3922" s="415">
        <v>880.62</v>
      </c>
      <c r="K3922" s="415">
        <v>4418.0200000000004</v>
      </c>
      <c r="L3922" s="415">
        <v>25696.91</v>
      </c>
      <c r="M3922" s="415">
        <v>11668.56</v>
      </c>
      <c r="N3922" s="415">
        <v>9654.27</v>
      </c>
      <c r="O3922" s="415">
        <v>9495.74</v>
      </c>
      <c r="P3922" s="415">
        <v>8862.34</v>
      </c>
      <c r="Q3922" s="481">
        <f t="shared" si="107"/>
        <v>-172.06799999999987</v>
      </c>
    </row>
    <row r="3923" spans="1:17" x14ac:dyDescent="0.3">
      <c r="A3923" s="366" t="str">
        <f>IFERROR(VLOOKUP(RIGHT(E3923,3)+0,[1]SchLocTable!$A$2:$B$47,2,FALSE)," ")</f>
        <v>Aquaculture</v>
      </c>
      <c r="B3923" s="366" t="str">
        <f>VLOOKUP(VALUE(D3923),$D$3:F$106,3,FALSE)</f>
        <v>Security</v>
      </c>
      <c r="C3923" t="s">
        <v>314</v>
      </c>
      <c r="D3923">
        <v>883</v>
      </c>
      <c r="E3923" t="s">
        <v>1143</v>
      </c>
      <c r="F3923" t="s">
        <v>318</v>
      </c>
      <c r="G3923" t="s">
        <v>319</v>
      </c>
      <c r="H3923" s="502">
        <v>51140</v>
      </c>
      <c r="I3923" s="415">
        <v>0</v>
      </c>
      <c r="J3923" s="415">
        <v>0</v>
      </c>
      <c r="K3923" s="415">
        <v>0</v>
      </c>
      <c r="L3923" s="415">
        <v>0</v>
      </c>
      <c r="M3923" s="415">
        <v>1725</v>
      </c>
      <c r="N3923" s="415">
        <v>1650</v>
      </c>
      <c r="O3923" s="415">
        <v>1575</v>
      </c>
      <c r="P3923" s="415">
        <v>1500</v>
      </c>
      <c r="Q3923" s="481">
        <f t="shared" si="107"/>
        <v>0</v>
      </c>
    </row>
    <row r="3924" spans="1:17" x14ac:dyDescent="0.3">
      <c r="A3924" s="366" t="str">
        <f>IFERROR(VLOOKUP(RIGHT(E3924,3)+0,[1]SchLocTable!$A$2:$B$47,2,FALSE)," ")</f>
        <v>Aquaculture</v>
      </c>
      <c r="B3924" s="366" t="str">
        <f>VLOOKUP(VALUE(D3924),$D$3:F$106,3,FALSE)</f>
        <v>Security</v>
      </c>
      <c r="C3924" t="s">
        <v>314</v>
      </c>
      <c r="D3924">
        <v>883</v>
      </c>
      <c r="E3924" t="s">
        <v>1143</v>
      </c>
      <c r="F3924" t="s">
        <v>320</v>
      </c>
      <c r="G3924" t="s">
        <v>319</v>
      </c>
      <c r="H3924" s="502">
        <v>52360</v>
      </c>
      <c r="I3924" s="415">
        <v>790.31726839999999</v>
      </c>
      <c r="J3924" s="415">
        <v>670</v>
      </c>
      <c r="K3924" s="415">
        <v>711.74</v>
      </c>
      <c r="L3924" s="415">
        <v>492.65</v>
      </c>
      <c r="M3924" s="415">
        <v>369.32</v>
      </c>
      <c r="N3924" s="415">
        <v>650.73</v>
      </c>
      <c r="O3924" s="415">
        <v>605.64</v>
      </c>
      <c r="P3924" s="415">
        <v>603.19000000000005</v>
      </c>
      <c r="Q3924" s="481">
        <f t="shared" si="107"/>
        <v>-120.31726839999999</v>
      </c>
    </row>
    <row r="3925" spans="1:17" x14ac:dyDescent="0.3">
      <c r="A3925" s="366" t="str">
        <f>IFERROR(VLOOKUP(RIGHT(E3925,3)+0,[1]SchLocTable!$A$2:$B$47,2,FALSE)," ")</f>
        <v>Aquaculture</v>
      </c>
      <c r="B3925" s="366" t="str">
        <f>VLOOKUP(VALUE(D3925),$D$3:F$106,3,FALSE)</f>
        <v>Security</v>
      </c>
      <c r="C3925" t="s">
        <v>314</v>
      </c>
      <c r="D3925">
        <v>883</v>
      </c>
      <c r="E3925" t="s">
        <v>1143</v>
      </c>
      <c r="F3925" t="s">
        <v>392</v>
      </c>
      <c r="G3925" t="s">
        <v>319</v>
      </c>
      <c r="H3925" s="502">
        <v>52504</v>
      </c>
      <c r="I3925" s="415">
        <v>11326.064025760001</v>
      </c>
      <c r="J3925" s="415">
        <v>9596</v>
      </c>
      <c r="K3925" s="415">
        <v>9904.69</v>
      </c>
      <c r="L3925" s="415">
        <v>10065.85</v>
      </c>
      <c r="M3925" s="415">
        <v>8925.44</v>
      </c>
      <c r="N3925" s="415">
        <v>8572.69</v>
      </c>
      <c r="O3925" s="415">
        <v>6881.12</v>
      </c>
      <c r="P3925" s="415">
        <v>5942.76</v>
      </c>
      <c r="Q3925" s="481">
        <f t="shared" si="107"/>
        <v>-1730.0640257600007</v>
      </c>
    </row>
    <row r="3926" spans="1:17" x14ac:dyDescent="0.3">
      <c r="A3926" s="366" t="str">
        <f>IFERROR(VLOOKUP(RIGHT(E3926,3)+0,[1]SchLocTable!$A$2:$B$47,2,FALSE)," ")</f>
        <v>Aquaculture</v>
      </c>
      <c r="B3926" s="366" t="str">
        <f>VLOOKUP(VALUE(D3926),$D$3:F$106,3,FALSE)</f>
        <v>Security</v>
      </c>
      <c r="C3926" t="s">
        <v>314</v>
      </c>
      <c r="D3926">
        <v>883</v>
      </c>
      <c r="E3926" t="s">
        <v>1143</v>
      </c>
      <c r="F3926" t="s">
        <v>452</v>
      </c>
      <c r="G3926" t="s">
        <v>319</v>
      </c>
      <c r="H3926" s="502">
        <v>51108</v>
      </c>
      <c r="I3926" s="415">
        <v>0</v>
      </c>
      <c r="J3926" s="415">
        <v>0</v>
      </c>
      <c r="K3926" s="415">
        <v>197.4</v>
      </c>
      <c r="L3926" s="415">
        <v>0</v>
      </c>
      <c r="M3926" s="415">
        <v>10.199999999999999</v>
      </c>
      <c r="N3926" s="415">
        <v>0</v>
      </c>
      <c r="O3926" s="415">
        <v>0</v>
      </c>
      <c r="P3926" s="415">
        <v>14.47</v>
      </c>
      <c r="Q3926" s="481">
        <f t="shared" si="107"/>
        <v>0</v>
      </c>
    </row>
    <row r="3927" spans="1:17" x14ac:dyDescent="0.3">
      <c r="A3927" s="366" t="str">
        <f>IFERROR(VLOOKUP(RIGHT(E3927,3)+0,[1]SchLocTable!$A$2:$B$47,2,FALSE)," ")</f>
        <v>Aquaculture</v>
      </c>
      <c r="B3927" s="366" t="str">
        <f>VLOOKUP(VALUE(D3927),$D$3:F$106,3,FALSE)</f>
        <v>Security</v>
      </c>
      <c r="C3927" t="s">
        <v>314</v>
      </c>
      <c r="D3927">
        <v>883</v>
      </c>
      <c r="E3927" t="s">
        <v>1143</v>
      </c>
      <c r="F3927" t="s">
        <v>483</v>
      </c>
      <c r="G3927" t="s">
        <v>319</v>
      </c>
      <c r="H3927" s="502">
        <v>51122</v>
      </c>
      <c r="I3927" s="415">
        <v>3187.1881600000011</v>
      </c>
      <c r="J3927" s="415">
        <v>0</v>
      </c>
      <c r="K3927" s="415">
        <v>2111.8200000000002</v>
      </c>
      <c r="L3927" s="415">
        <v>2120.87</v>
      </c>
      <c r="M3927" s="415">
        <v>1808.58</v>
      </c>
      <c r="N3927" s="415">
        <v>2444.7199999999998</v>
      </c>
      <c r="O3927" s="415">
        <v>1168.95</v>
      </c>
      <c r="P3927" s="415">
        <v>703.44</v>
      </c>
      <c r="Q3927" s="481">
        <f t="shared" si="107"/>
        <v>-3187.1881600000011</v>
      </c>
    </row>
    <row r="3928" spans="1:17" x14ac:dyDescent="0.3">
      <c r="A3928" s="366" t="str">
        <f>IFERROR(VLOOKUP(RIGHT(E3928,3)+0,[1]SchLocTable!$A$2:$B$47,2,FALSE)," ")</f>
        <v>Aquaculture</v>
      </c>
      <c r="B3928" s="366" t="str">
        <f>VLOOKUP(VALUE(D3928),$D$3:F$106,3,FALSE)</f>
        <v>Security</v>
      </c>
      <c r="C3928" t="s">
        <v>314</v>
      </c>
      <c r="D3928">
        <v>883</v>
      </c>
      <c r="E3928" t="s">
        <v>1143</v>
      </c>
      <c r="F3928" t="s">
        <v>418</v>
      </c>
      <c r="G3928" t="s">
        <v>319</v>
      </c>
      <c r="H3928" s="502">
        <v>51314</v>
      </c>
      <c r="I3928" s="415">
        <v>2602.1302000000001</v>
      </c>
      <c r="J3928" s="415">
        <v>0</v>
      </c>
      <c r="K3928" s="415">
        <v>631.58000000000004</v>
      </c>
      <c r="L3928" s="415">
        <v>0</v>
      </c>
      <c r="M3928" s="415">
        <v>0</v>
      </c>
      <c r="N3928" s="415">
        <v>0</v>
      </c>
      <c r="O3928" s="415">
        <v>0</v>
      </c>
      <c r="P3928" s="415">
        <v>0</v>
      </c>
      <c r="Q3928" s="481">
        <f t="shared" si="107"/>
        <v>-2602.1302000000001</v>
      </c>
    </row>
    <row r="3929" spans="1:17" x14ac:dyDescent="0.3">
      <c r="A3929" s="366" t="str">
        <f>IFERROR(VLOOKUP(RIGHT(E3929,3)+0,[1]SchLocTable!$A$2:$B$47,2,FALSE)," ")</f>
        <v>FCW campus</v>
      </c>
      <c r="B3929" s="366" t="str">
        <f>VLOOKUP(VALUE(D3929),$D$3:F$106,3,FALSE)</f>
        <v>Security</v>
      </c>
      <c r="C3929" t="s">
        <v>314</v>
      </c>
      <c r="D3929">
        <v>883</v>
      </c>
      <c r="E3929" t="s">
        <v>1144</v>
      </c>
      <c r="F3929" t="s">
        <v>316</v>
      </c>
      <c r="G3929">
        <v>4</v>
      </c>
      <c r="H3929" s="502">
        <v>51000</v>
      </c>
      <c r="I3929" s="415">
        <v>284384.88</v>
      </c>
      <c r="J3929" s="415">
        <v>223194.64</v>
      </c>
      <c r="K3929" s="415">
        <v>236478.37</v>
      </c>
      <c r="L3929" s="415">
        <v>226374.52</v>
      </c>
      <c r="M3929" s="415">
        <v>255969.72</v>
      </c>
      <c r="N3929" s="415">
        <v>244448.84</v>
      </c>
      <c r="O3929" s="415">
        <v>214005.03</v>
      </c>
      <c r="P3929" s="415">
        <v>294039.18</v>
      </c>
      <c r="Q3929" s="481">
        <f t="shared" si="107"/>
        <v>-61190.239999999991</v>
      </c>
    </row>
    <row r="3930" spans="1:17" x14ac:dyDescent="0.3">
      <c r="A3930" s="366" t="str">
        <f>IFERROR(VLOOKUP(RIGHT(E3930,3)+0,[1]SchLocTable!$A$2:$B$47,2,FALSE)," ")</f>
        <v>FCW campus</v>
      </c>
      <c r="B3930" s="366" t="str">
        <f>VLOOKUP(VALUE(D3930),$D$3:F$106,3,FALSE)</f>
        <v>Security</v>
      </c>
      <c r="C3930" t="s">
        <v>314</v>
      </c>
      <c r="D3930">
        <v>883</v>
      </c>
      <c r="E3930" t="s">
        <v>1144</v>
      </c>
      <c r="F3930" t="s">
        <v>360</v>
      </c>
      <c r="G3930" t="s">
        <v>319</v>
      </c>
      <c r="H3930" s="502">
        <v>52920</v>
      </c>
      <c r="I3930" s="415">
        <v>2000</v>
      </c>
      <c r="J3930" s="415">
        <v>2000</v>
      </c>
      <c r="K3930" s="415">
        <v>4000</v>
      </c>
      <c r="L3930" s="415">
        <v>3833.35</v>
      </c>
      <c r="M3930" s="415">
        <v>2000</v>
      </c>
      <c r="N3930" s="415">
        <v>4166.67</v>
      </c>
      <c r="O3930" s="415">
        <v>166.67</v>
      </c>
      <c r="P3930" s="415">
        <v>2000</v>
      </c>
      <c r="Q3930" s="481">
        <f t="shared" si="107"/>
        <v>0</v>
      </c>
    </row>
    <row r="3931" spans="1:17" x14ac:dyDescent="0.3">
      <c r="A3931" s="366" t="str">
        <f>IFERROR(VLOOKUP(RIGHT(E3931,3)+0,[1]SchLocTable!$A$2:$B$47,2,FALSE)," ")</f>
        <v>FCW campus</v>
      </c>
      <c r="B3931" s="366" t="str">
        <f>VLOOKUP(VALUE(D3931),$D$3:F$106,3,FALSE)</f>
        <v>Security</v>
      </c>
      <c r="C3931" t="s">
        <v>314</v>
      </c>
      <c r="D3931">
        <v>883</v>
      </c>
      <c r="E3931" t="s">
        <v>1144</v>
      </c>
      <c r="F3931" t="s">
        <v>321</v>
      </c>
      <c r="G3931" t="s">
        <v>319</v>
      </c>
      <c r="H3931" s="502">
        <v>52917</v>
      </c>
      <c r="I3931" s="415">
        <v>74387.664000000004</v>
      </c>
      <c r="J3931" s="415">
        <v>27027.06</v>
      </c>
      <c r="K3931" s="415">
        <v>52476.49</v>
      </c>
      <c r="L3931" s="415">
        <v>61250.36</v>
      </c>
      <c r="M3931" s="415">
        <v>93640.12</v>
      </c>
      <c r="N3931" s="415">
        <v>69803.39</v>
      </c>
      <c r="O3931" s="415">
        <v>84943.96</v>
      </c>
      <c r="P3931" s="415">
        <v>116175.14</v>
      </c>
      <c r="Q3931" s="481">
        <f t="shared" si="107"/>
        <v>-47360.604000000007</v>
      </c>
    </row>
    <row r="3932" spans="1:17" x14ac:dyDescent="0.3">
      <c r="A3932" s="366" t="str">
        <f>IFERROR(VLOOKUP(RIGHT(E3932,3)+0,[1]SchLocTable!$A$2:$B$47,2,FALSE)," ")</f>
        <v>FCW campus</v>
      </c>
      <c r="B3932" s="366" t="str">
        <f>VLOOKUP(VALUE(D3932),$D$3:F$106,3,FALSE)</f>
        <v>Security</v>
      </c>
      <c r="C3932" t="s">
        <v>314</v>
      </c>
      <c r="D3932">
        <v>883</v>
      </c>
      <c r="E3932" t="s">
        <v>1144</v>
      </c>
      <c r="F3932" t="s">
        <v>318</v>
      </c>
      <c r="G3932" t="s">
        <v>319</v>
      </c>
      <c r="H3932" s="502">
        <v>51140</v>
      </c>
      <c r="I3932" s="415">
        <v>5295</v>
      </c>
      <c r="J3932" s="415">
        <v>4125</v>
      </c>
      <c r="K3932" s="415">
        <v>6067.5</v>
      </c>
      <c r="L3932" s="415">
        <v>5475</v>
      </c>
      <c r="M3932" s="415">
        <v>2100</v>
      </c>
      <c r="N3932" s="415">
        <v>1950</v>
      </c>
      <c r="O3932" s="415">
        <v>5337.5</v>
      </c>
      <c r="P3932" s="415">
        <v>4425</v>
      </c>
      <c r="Q3932" s="481">
        <f t="shared" si="107"/>
        <v>-1170</v>
      </c>
    </row>
    <row r="3933" spans="1:17" x14ac:dyDescent="0.3">
      <c r="A3933" s="366" t="str">
        <f>IFERROR(VLOOKUP(RIGHT(E3933,3)+0,[1]SchLocTable!$A$2:$B$47,2,FALSE)," ")</f>
        <v>FCW campus</v>
      </c>
      <c r="B3933" s="366" t="str">
        <f>VLOOKUP(VALUE(D3933),$D$3:F$106,3,FALSE)</f>
        <v>Security</v>
      </c>
      <c r="C3933" t="s">
        <v>314</v>
      </c>
      <c r="D3933">
        <v>883</v>
      </c>
      <c r="E3933" t="s">
        <v>1144</v>
      </c>
      <c r="F3933" t="s">
        <v>320</v>
      </c>
      <c r="G3933" t="s">
        <v>319</v>
      </c>
      <c r="H3933" s="502">
        <v>52360</v>
      </c>
      <c r="I3933" s="415">
        <v>4152.5807599999998</v>
      </c>
      <c r="J3933" s="415">
        <v>3081</v>
      </c>
      <c r="K3933" s="415">
        <v>3371.93</v>
      </c>
      <c r="L3933" s="415">
        <v>3147.83</v>
      </c>
      <c r="M3933" s="415">
        <v>3357.94</v>
      </c>
      <c r="N3933" s="415">
        <v>3291.84</v>
      </c>
      <c r="O3933" s="415">
        <v>2817.48</v>
      </c>
      <c r="P3933" s="415">
        <v>3873.74</v>
      </c>
      <c r="Q3933" s="481">
        <f t="shared" si="107"/>
        <v>-1071.5807599999998</v>
      </c>
    </row>
    <row r="3934" spans="1:17" x14ac:dyDescent="0.3">
      <c r="A3934" s="366" t="str">
        <f>IFERROR(VLOOKUP(RIGHT(E3934,3)+0,[1]SchLocTable!$A$2:$B$47,2,FALSE)," ")</f>
        <v>FCW campus</v>
      </c>
      <c r="B3934" s="366" t="str">
        <f>VLOOKUP(VALUE(D3934),$D$3:F$106,3,FALSE)</f>
        <v>Security</v>
      </c>
      <c r="C3934" t="s">
        <v>314</v>
      </c>
      <c r="D3934">
        <v>883</v>
      </c>
      <c r="E3934" t="s">
        <v>1144</v>
      </c>
      <c r="F3934" t="s">
        <v>392</v>
      </c>
      <c r="G3934" t="s">
        <v>319</v>
      </c>
      <c r="H3934" s="502">
        <v>52504</v>
      </c>
      <c r="I3934" s="415">
        <v>59510.778063999998</v>
      </c>
      <c r="J3934" s="415">
        <v>47480.24</v>
      </c>
      <c r="K3934" s="415">
        <v>50081.69</v>
      </c>
      <c r="L3934" s="415">
        <v>41838.28</v>
      </c>
      <c r="M3934" s="415">
        <v>56050.6</v>
      </c>
      <c r="N3934" s="415">
        <v>47327.66</v>
      </c>
      <c r="O3934" s="415">
        <v>36200.29</v>
      </c>
      <c r="P3934" s="415">
        <v>42483.02</v>
      </c>
      <c r="Q3934" s="481">
        <f t="shared" si="107"/>
        <v>-12030.538064</v>
      </c>
    </row>
    <row r="3935" spans="1:17" x14ac:dyDescent="0.3">
      <c r="A3935" s="366" t="str">
        <f>IFERROR(VLOOKUP(RIGHT(E3935,3)+0,[1]SchLocTable!$A$2:$B$47,2,FALSE)," ")</f>
        <v>FCW campus</v>
      </c>
      <c r="B3935" s="366" t="str">
        <f>VLOOKUP(VALUE(D3935),$D$3:F$106,3,FALSE)</f>
        <v>Security</v>
      </c>
      <c r="C3935" t="s">
        <v>314</v>
      </c>
      <c r="D3935">
        <v>883</v>
      </c>
      <c r="E3935" t="s">
        <v>1144</v>
      </c>
      <c r="F3935" t="s">
        <v>419</v>
      </c>
      <c r="G3935" t="s">
        <v>319</v>
      </c>
      <c r="H3935" s="502">
        <v>51318</v>
      </c>
      <c r="I3935" s="415">
        <v>0</v>
      </c>
      <c r="J3935" s="415">
        <v>0</v>
      </c>
      <c r="K3935" s="415">
        <v>0</v>
      </c>
      <c r="L3935" s="415">
        <v>0</v>
      </c>
      <c r="M3935" s="415">
        <v>481.68</v>
      </c>
      <c r="N3935" s="415">
        <v>157.44</v>
      </c>
      <c r="O3935" s="415">
        <v>236.16</v>
      </c>
      <c r="P3935" s="415">
        <v>0</v>
      </c>
      <c r="Q3935" s="481">
        <f t="shared" si="107"/>
        <v>0</v>
      </c>
    </row>
    <row r="3936" spans="1:17" x14ac:dyDescent="0.3">
      <c r="A3936" s="366" t="str">
        <f>IFERROR(VLOOKUP(RIGHT(E3936,3)+0,[1]SchLocTable!$A$2:$B$47,2,FALSE)," ")</f>
        <v>FCW campus</v>
      </c>
      <c r="B3936" s="366" t="str">
        <f>VLOOKUP(VALUE(D3936),$D$3:F$106,3,FALSE)</f>
        <v>Security</v>
      </c>
      <c r="C3936" t="s">
        <v>314</v>
      </c>
      <c r="D3936">
        <v>883</v>
      </c>
      <c r="E3936" t="s">
        <v>1144</v>
      </c>
      <c r="F3936" t="s">
        <v>452</v>
      </c>
      <c r="G3936" t="s">
        <v>319</v>
      </c>
      <c r="H3936" s="502">
        <v>51108</v>
      </c>
      <c r="I3936" s="415">
        <v>0</v>
      </c>
      <c r="J3936" s="415">
        <v>0</v>
      </c>
      <c r="K3936" s="415">
        <v>361.85</v>
      </c>
      <c r="L3936" s="415">
        <v>921.47</v>
      </c>
      <c r="M3936" s="415">
        <v>240.84</v>
      </c>
      <c r="N3936" s="415">
        <v>570.42999999999995</v>
      </c>
      <c r="O3936" s="415">
        <v>43.41</v>
      </c>
      <c r="P3936" s="415">
        <v>0</v>
      </c>
      <c r="Q3936" s="481">
        <f t="shared" si="107"/>
        <v>0</v>
      </c>
    </row>
    <row r="3937" spans="1:17" x14ac:dyDescent="0.3">
      <c r="A3937" s="366" t="str">
        <f>IFERROR(VLOOKUP(RIGHT(E3937,3)+0,[1]SchLocTable!$A$2:$B$47,2,FALSE)," ")</f>
        <v>FCW campus</v>
      </c>
      <c r="B3937" s="366" t="str">
        <f>VLOOKUP(VALUE(D3937),$D$3:F$106,3,FALSE)</f>
        <v>Security</v>
      </c>
      <c r="C3937" t="s">
        <v>314</v>
      </c>
      <c r="D3937">
        <v>883</v>
      </c>
      <c r="E3937" t="s">
        <v>1144</v>
      </c>
      <c r="F3937" t="s">
        <v>483</v>
      </c>
      <c r="G3937" t="s">
        <v>319</v>
      </c>
      <c r="H3937" s="502">
        <v>51122</v>
      </c>
      <c r="I3937" s="415">
        <v>89.627200000000016</v>
      </c>
      <c r="J3937" s="415">
        <v>0</v>
      </c>
      <c r="K3937" s="415">
        <v>272.58</v>
      </c>
      <c r="L3937" s="415">
        <v>1709.74</v>
      </c>
      <c r="M3937" s="415">
        <v>1201.19</v>
      </c>
      <c r="N3937" s="415">
        <v>511.01</v>
      </c>
      <c r="O3937" s="415">
        <v>446.75</v>
      </c>
      <c r="P3937" s="415">
        <v>117.84</v>
      </c>
      <c r="Q3937" s="481">
        <f t="shared" si="107"/>
        <v>-89.627200000000016</v>
      </c>
    </row>
    <row r="3938" spans="1:17" x14ac:dyDescent="0.3">
      <c r="A3938" s="366" t="str">
        <f>IFERROR(VLOOKUP(RIGHT(E3938,3)+0,[1]SchLocTable!$A$2:$B$47,2,FALSE)," ")</f>
        <v>FCW campus</v>
      </c>
      <c r="B3938" s="366" t="str">
        <f>VLOOKUP(VALUE(D3938),$D$3:F$106,3,FALSE)</f>
        <v>Security</v>
      </c>
      <c r="C3938" t="s">
        <v>314</v>
      </c>
      <c r="D3938">
        <v>883</v>
      </c>
      <c r="E3938" t="s">
        <v>1144</v>
      </c>
      <c r="F3938" t="s">
        <v>324</v>
      </c>
      <c r="G3938" t="s">
        <v>319</v>
      </c>
      <c r="H3938" s="502">
        <v>52385</v>
      </c>
      <c r="I3938" s="415">
        <v>0</v>
      </c>
      <c r="J3938" s="415">
        <v>0</v>
      </c>
      <c r="K3938" s="415">
        <v>0</v>
      </c>
      <c r="L3938" s="415">
        <v>1876.02</v>
      </c>
      <c r="M3938" s="415">
        <v>0</v>
      </c>
      <c r="N3938" s="415">
        <v>0</v>
      </c>
      <c r="O3938" s="415">
        <v>0</v>
      </c>
      <c r="P3938" s="415">
        <v>0</v>
      </c>
      <c r="Q3938" s="481">
        <f t="shared" si="107"/>
        <v>0</v>
      </c>
    </row>
    <row r="3939" spans="1:17" x14ac:dyDescent="0.3">
      <c r="A3939" s="366" t="str">
        <f>IFERROR(VLOOKUP(RIGHT(E3939,3)+0,[1]SchLocTable!$A$2:$B$47,2,FALSE)," ")</f>
        <v>FCW campus</v>
      </c>
      <c r="B3939" s="366" t="str">
        <f>VLOOKUP(VALUE(D3939),$D$3:F$106,3,FALSE)</f>
        <v>Security</v>
      </c>
      <c r="C3939" t="s">
        <v>314</v>
      </c>
      <c r="D3939">
        <v>883</v>
      </c>
      <c r="E3939" t="s">
        <v>1144</v>
      </c>
      <c r="F3939" t="s">
        <v>418</v>
      </c>
      <c r="G3939" t="s">
        <v>319</v>
      </c>
      <c r="H3939" s="502">
        <v>51314</v>
      </c>
      <c r="I3939" s="415">
        <v>0</v>
      </c>
      <c r="J3939" s="415">
        <v>0</v>
      </c>
      <c r="K3939" s="415">
        <v>0</v>
      </c>
      <c r="L3939" s="415">
        <v>0</v>
      </c>
      <c r="M3939" s="415">
        <v>1766.16</v>
      </c>
      <c r="N3939" s="415">
        <v>944.64</v>
      </c>
      <c r="O3939" s="415">
        <v>3163.56</v>
      </c>
      <c r="P3939" s="415">
        <v>0</v>
      </c>
      <c r="Q3939" s="481">
        <f t="shared" si="107"/>
        <v>0</v>
      </c>
    </row>
    <row r="3940" spans="1:17" x14ac:dyDescent="0.3">
      <c r="A3940" s="366" t="str">
        <f>IFERROR(VLOOKUP(RIGHT(E3940,3)+0,[1]SchLocTable!$A$2:$B$47,2,FALSE)," ")</f>
        <v>FCW campus</v>
      </c>
      <c r="B3940" s="366" t="str">
        <f>VLOOKUP(VALUE(D3940),$D$3:F$106,3,FALSE)</f>
        <v>Security</v>
      </c>
      <c r="C3940" t="s">
        <v>314</v>
      </c>
      <c r="D3940">
        <v>883</v>
      </c>
      <c r="E3940" t="s">
        <v>1144</v>
      </c>
      <c r="F3940" t="s">
        <v>356</v>
      </c>
      <c r="G3940" t="s">
        <v>319</v>
      </c>
      <c r="H3940" s="502">
        <v>51156</v>
      </c>
      <c r="I3940" s="415">
        <v>0</v>
      </c>
      <c r="J3940" s="415">
        <v>0</v>
      </c>
      <c r="K3940" s="415">
        <v>877.2</v>
      </c>
      <c r="L3940" s="415">
        <v>802.8</v>
      </c>
      <c r="M3940" s="415">
        <v>802.8</v>
      </c>
      <c r="N3940" s="415">
        <v>787.2</v>
      </c>
      <c r="O3940" s="415">
        <v>771.6</v>
      </c>
      <c r="P3940" s="415">
        <v>741.6</v>
      </c>
      <c r="Q3940" s="481">
        <f t="shared" si="107"/>
        <v>0</v>
      </c>
    </row>
    <row r="3941" spans="1:17" x14ac:dyDescent="0.3">
      <c r="A3941" s="366" t="str">
        <f>IFERROR(VLOOKUP(RIGHT(E3941,3)+0,[1]SchLocTable!$A$2:$B$47,2,FALSE)," ")</f>
        <v xml:space="preserve"> </v>
      </c>
      <c r="B3941" s="366" t="str">
        <f>VLOOKUP(VALUE(D3941),$D$3:F$106,3,FALSE)</f>
        <v>Facilities Administration</v>
      </c>
      <c r="C3941" t="s">
        <v>314</v>
      </c>
      <c r="D3941">
        <v>884</v>
      </c>
      <c r="E3941" t="s">
        <v>1145</v>
      </c>
      <c r="F3941" t="s">
        <v>316</v>
      </c>
      <c r="G3941">
        <v>3</v>
      </c>
      <c r="H3941" s="502">
        <v>51000</v>
      </c>
      <c r="I3941" s="415">
        <v>395235.78119999997</v>
      </c>
      <c r="J3941" s="415">
        <v>384960.72</v>
      </c>
      <c r="K3941" s="415">
        <v>398995</v>
      </c>
      <c r="L3941" s="415">
        <v>319137.05</v>
      </c>
      <c r="M3941" s="415">
        <v>262966.65000000002</v>
      </c>
      <c r="N3941" s="415">
        <v>194165.94</v>
      </c>
      <c r="O3941" s="415">
        <v>211112.43</v>
      </c>
      <c r="P3941" s="415">
        <v>193523.23</v>
      </c>
      <c r="Q3941" s="481">
        <f t="shared" si="107"/>
        <v>-10275.061199999996</v>
      </c>
    </row>
    <row r="3942" spans="1:17" x14ac:dyDescent="0.3">
      <c r="A3942" s="366" t="str">
        <f>IFERROR(VLOOKUP(RIGHT(E3942,3)+0,[1]SchLocTable!$A$2:$B$47,2,FALSE)," ")</f>
        <v xml:space="preserve"> </v>
      </c>
      <c r="B3942" s="366" t="str">
        <f>VLOOKUP(VALUE(D3942),$D$3:F$106,3,FALSE)</f>
        <v>Facilities Administration</v>
      </c>
      <c r="C3942" t="s">
        <v>314</v>
      </c>
      <c r="D3942">
        <v>884</v>
      </c>
      <c r="E3942" t="s">
        <v>1145</v>
      </c>
      <c r="F3942" t="s">
        <v>321</v>
      </c>
      <c r="G3942" t="s">
        <v>319</v>
      </c>
      <c r="H3942" s="502">
        <v>52917</v>
      </c>
      <c r="I3942" s="415">
        <v>117934.128</v>
      </c>
      <c r="J3942" s="415">
        <v>97749</v>
      </c>
      <c r="K3942" s="415">
        <v>89314.63</v>
      </c>
      <c r="L3942" s="415">
        <v>69595.240000000005</v>
      </c>
      <c r="M3942" s="415">
        <v>61899.56</v>
      </c>
      <c r="N3942" s="415">
        <v>50544.09</v>
      </c>
      <c r="O3942" s="415">
        <v>19916.240000000002</v>
      </c>
      <c r="P3942" s="415">
        <v>445.85</v>
      </c>
      <c r="Q3942" s="481">
        <f t="shared" si="107"/>
        <v>-20185.127999999997</v>
      </c>
    </row>
    <row r="3943" spans="1:17" x14ac:dyDescent="0.3">
      <c r="A3943" s="366" t="str">
        <f>IFERROR(VLOOKUP(RIGHT(E3943,3)+0,[1]SchLocTable!$A$2:$B$47,2,FALSE)," ")</f>
        <v xml:space="preserve"> </v>
      </c>
      <c r="B3943" s="366" t="str">
        <f>VLOOKUP(VALUE(D3943),$D$3:F$106,3,FALSE)</f>
        <v>Facilities Administration</v>
      </c>
      <c r="C3943" t="s">
        <v>314</v>
      </c>
      <c r="D3943">
        <v>884</v>
      </c>
      <c r="E3943" t="s">
        <v>1145</v>
      </c>
      <c r="F3943" t="s">
        <v>318</v>
      </c>
      <c r="G3943" t="s">
        <v>319</v>
      </c>
      <c r="H3943" s="502">
        <v>51140</v>
      </c>
      <c r="I3943" s="415">
        <v>3525</v>
      </c>
      <c r="J3943" s="415">
        <v>0</v>
      </c>
      <c r="K3943" s="415">
        <v>3375</v>
      </c>
      <c r="L3943" s="415">
        <v>3225</v>
      </c>
      <c r="M3943" s="415">
        <v>3075</v>
      </c>
      <c r="N3943" s="415">
        <v>3000</v>
      </c>
      <c r="O3943" s="415">
        <v>1425</v>
      </c>
      <c r="P3943" s="415">
        <v>1350</v>
      </c>
      <c r="Q3943" s="481">
        <f t="shared" si="107"/>
        <v>-3525</v>
      </c>
    </row>
    <row r="3944" spans="1:17" x14ac:dyDescent="0.3">
      <c r="A3944" s="366" t="str">
        <f>IFERROR(VLOOKUP(RIGHT(E3944,3)+0,[1]SchLocTable!$A$2:$B$47,2,FALSE)," ")</f>
        <v xml:space="preserve"> </v>
      </c>
      <c r="B3944" s="366" t="str">
        <f>VLOOKUP(VALUE(D3944),$D$3:F$106,3,FALSE)</f>
        <v>Facilities Administration</v>
      </c>
      <c r="C3944" t="s">
        <v>314</v>
      </c>
      <c r="D3944">
        <v>884</v>
      </c>
      <c r="E3944" t="s">
        <v>1145</v>
      </c>
      <c r="F3944" t="s">
        <v>320</v>
      </c>
      <c r="G3944" t="s">
        <v>319</v>
      </c>
      <c r="H3944" s="502">
        <v>52360</v>
      </c>
      <c r="I3944" s="415">
        <v>6777.5856992999998</v>
      </c>
      <c r="J3944" s="415">
        <v>5485.85</v>
      </c>
      <c r="K3944" s="415">
        <v>5938.54</v>
      </c>
      <c r="L3944" s="415">
        <v>4974.3500000000004</v>
      </c>
      <c r="M3944" s="415">
        <v>4131.1400000000003</v>
      </c>
      <c r="N3944" s="415">
        <v>2991.07</v>
      </c>
      <c r="O3944" s="415">
        <v>3072.23</v>
      </c>
      <c r="P3944" s="415">
        <v>3122.28</v>
      </c>
      <c r="Q3944" s="481">
        <f t="shared" si="107"/>
        <v>-1291.7356992999994</v>
      </c>
    </row>
    <row r="3945" spans="1:17" x14ac:dyDescent="0.3">
      <c r="A3945" s="366" t="str">
        <f>IFERROR(VLOOKUP(RIGHT(E3945,3)+0,[1]SchLocTable!$A$2:$B$47,2,FALSE)," ")</f>
        <v xml:space="preserve"> </v>
      </c>
      <c r="B3945" s="366" t="str">
        <f>VLOOKUP(VALUE(D3945),$D$3:F$106,3,FALSE)</f>
        <v>Facilities Administration</v>
      </c>
      <c r="C3945" t="s">
        <v>314</v>
      </c>
      <c r="D3945">
        <v>884</v>
      </c>
      <c r="E3945" t="s">
        <v>1145</v>
      </c>
      <c r="F3945" t="s">
        <v>392</v>
      </c>
      <c r="G3945" t="s">
        <v>319</v>
      </c>
      <c r="H3945" s="502">
        <v>52504</v>
      </c>
      <c r="I3945" s="415">
        <v>82129.995333359999</v>
      </c>
      <c r="J3945" s="415">
        <v>80120.429999999993</v>
      </c>
      <c r="K3945" s="415">
        <v>87515.32</v>
      </c>
      <c r="L3945" s="415">
        <v>72658.149999999994</v>
      </c>
      <c r="M3945" s="415">
        <v>59219.18</v>
      </c>
      <c r="N3945" s="415">
        <v>42452.959999999999</v>
      </c>
      <c r="O3945" s="415">
        <v>22266.080000000002</v>
      </c>
      <c r="P3945" s="415">
        <v>13960.96</v>
      </c>
      <c r="Q3945" s="481">
        <f t="shared" si="107"/>
        <v>-2009.5653333600058</v>
      </c>
    </row>
    <row r="3946" spans="1:17" x14ac:dyDescent="0.3">
      <c r="A3946" s="366" t="str">
        <f>IFERROR(VLOOKUP(RIGHT(E3946,3)+0,[1]SchLocTable!$A$2:$B$47,2,FALSE)," ")</f>
        <v xml:space="preserve"> </v>
      </c>
      <c r="B3946" s="366" t="str">
        <f>VLOOKUP(VALUE(D3946),$D$3:F$106,3,FALSE)</f>
        <v>Facilities Administration</v>
      </c>
      <c r="C3946" t="s">
        <v>314</v>
      </c>
      <c r="D3946">
        <v>884</v>
      </c>
      <c r="E3946" t="s">
        <v>1145</v>
      </c>
      <c r="F3946" t="s">
        <v>317</v>
      </c>
      <c r="G3946" t="s">
        <v>319</v>
      </c>
      <c r="H3946" s="502">
        <v>51100</v>
      </c>
      <c r="I3946" s="415">
        <v>72183.922199999986</v>
      </c>
      <c r="J3946" s="415">
        <v>0</v>
      </c>
      <c r="K3946" s="415">
        <v>0</v>
      </c>
      <c r="L3946" s="415">
        <v>0</v>
      </c>
      <c r="M3946" s="415">
        <v>0</v>
      </c>
      <c r="N3946" s="415">
        <v>0</v>
      </c>
      <c r="O3946" s="415">
        <v>0</v>
      </c>
      <c r="P3946" s="415">
        <v>0</v>
      </c>
      <c r="Q3946" s="481">
        <f t="shared" si="107"/>
        <v>-72183.922199999986</v>
      </c>
    </row>
    <row r="3947" spans="1:17" x14ac:dyDescent="0.3">
      <c r="A3947" s="366" t="str">
        <f>IFERROR(VLOOKUP(RIGHT(E3947,3)+0,[1]SchLocTable!$A$2:$B$47,2,FALSE)," ")</f>
        <v xml:space="preserve"> </v>
      </c>
      <c r="B3947" s="366" t="str">
        <f>VLOOKUP(VALUE(D3947),$D$3:F$106,3,FALSE)</f>
        <v>Facilities Administration</v>
      </c>
      <c r="C3947" t="s">
        <v>314</v>
      </c>
      <c r="D3947">
        <v>884</v>
      </c>
      <c r="E3947" t="s">
        <v>1145</v>
      </c>
      <c r="F3947" t="s">
        <v>452</v>
      </c>
      <c r="G3947" t="s">
        <v>319</v>
      </c>
      <c r="H3947" s="502">
        <v>51108</v>
      </c>
      <c r="I3947" s="415">
        <v>0</v>
      </c>
      <c r="J3947" s="415">
        <v>1383.65</v>
      </c>
      <c r="K3947" s="415">
        <v>7911.53</v>
      </c>
      <c r="L3947" s="415">
        <v>16877.7</v>
      </c>
      <c r="M3947" s="415">
        <v>15828.28</v>
      </c>
      <c r="N3947" s="415">
        <v>8813.25</v>
      </c>
      <c r="O3947" s="415">
        <v>2091.5100000000002</v>
      </c>
      <c r="P3947" s="415">
        <v>2437.06</v>
      </c>
      <c r="Q3947" s="481">
        <f t="shared" si="107"/>
        <v>1383.65</v>
      </c>
    </row>
    <row r="3948" spans="1:17" x14ac:dyDescent="0.3">
      <c r="A3948" s="366" t="str">
        <f>IFERROR(VLOOKUP(RIGHT(E3948,3)+0,[1]SchLocTable!$A$2:$B$47,2,FALSE)," ")</f>
        <v xml:space="preserve"> </v>
      </c>
      <c r="B3948" s="366" t="str">
        <f>VLOOKUP(VALUE(D3948),$D$3:F$106,3,FALSE)</f>
        <v>Facilities Administration</v>
      </c>
      <c r="C3948" t="s">
        <v>314</v>
      </c>
      <c r="D3948">
        <v>884</v>
      </c>
      <c r="E3948" t="s">
        <v>1145</v>
      </c>
      <c r="F3948" t="s">
        <v>483</v>
      </c>
      <c r="G3948" t="s">
        <v>319</v>
      </c>
      <c r="H3948" s="502">
        <v>51122</v>
      </c>
      <c r="I3948" s="415">
        <v>0</v>
      </c>
      <c r="J3948" s="415">
        <v>0</v>
      </c>
      <c r="K3948" s="415">
        <v>452.17</v>
      </c>
      <c r="L3948" s="415">
        <v>623.5</v>
      </c>
      <c r="M3948" s="415">
        <v>0</v>
      </c>
      <c r="N3948" s="415">
        <v>524.6</v>
      </c>
      <c r="O3948" s="415">
        <v>240.01</v>
      </c>
      <c r="P3948" s="415">
        <v>0</v>
      </c>
      <c r="Q3948" s="481">
        <f t="shared" si="107"/>
        <v>0</v>
      </c>
    </row>
    <row r="3949" spans="1:17" x14ac:dyDescent="0.3">
      <c r="A3949" s="366" t="str">
        <f>IFERROR(VLOOKUP(RIGHT(E3949,3)+0,[1]SchLocTable!$A$2:$B$47,2,FALSE)," ")</f>
        <v xml:space="preserve"> </v>
      </c>
      <c r="B3949" s="366" t="str">
        <f>VLOOKUP(VALUE(D3949),$D$3:F$106,3,FALSE)</f>
        <v>Facilities Administration</v>
      </c>
      <c r="C3949" t="s">
        <v>314</v>
      </c>
      <c r="D3949">
        <v>884</v>
      </c>
      <c r="E3949" t="s">
        <v>1145</v>
      </c>
      <c r="F3949" t="s">
        <v>324</v>
      </c>
      <c r="G3949" t="s">
        <v>319</v>
      </c>
      <c r="H3949" s="502">
        <v>52385</v>
      </c>
      <c r="I3949" s="415">
        <v>0</v>
      </c>
      <c r="J3949" s="415">
        <v>0</v>
      </c>
      <c r="K3949" s="415">
        <v>0</v>
      </c>
      <c r="L3949" s="415">
        <v>0</v>
      </c>
      <c r="M3949" s="415">
        <v>1384.02</v>
      </c>
      <c r="N3949" s="415">
        <v>0</v>
      </c>
      <c r="O3949" s="415">
        <v>0</v>
      </c>
      <c r="P3949" s="415">
        <v>0</v>
      </c>
      <c r="Q3949" s="481">
        <f t="shared" si="107"/>
        <v>0</v>
      </c>
    </row>
    <row r="3950" spans="1:17" x14ac:dyDescent="0.3">
      <c r="A3950" s="366" t="str">
        <f>IFERROR(VLOOKUP(RIGHT(E3950,3)+0,[1]SchLocTable!$A$2:$B$47,2,FALSE)," ")</f>
        <v xml:space="preserve"> </v>
      </c>
      <c r="B3950" s="366" t="str">
        <f>VLOOKUP(VALUE(D3950),$D$3:F$106,3,FALSE)</f>
        <v>Facilities Administration</v>
      </c>
      <c r="C3950" t="s">
        <v>314</v>
      </c>
      <c r="D3950">
        <v>884</v>
      </c>
      <c r="E3950" t="s">
        <v>1145</v>
      </c>
      <c r="F3950" t="s">
        <v>560</v>
      </c>
      <c r="G3950" t="s">
        <v>319</v>
      </c>
      <c r="H3950" s="502">
        <v>51404</v>
      </c>
      <c r="I3950" s="415">
        <v>0</v>
      </c>
      <c r="J3950" s="415">
        <v>0</v>
      </c>
      <c r="K3950" s="415">
        <v>0</v>
      </c>
      <c r="L3950" s="415">
        <v>0</v>
      </c>
      <c r="M3950" s="415">
        <v>885.27</v>
      </c>
      <c r="N3950" s="415">
        <v>0</v>
      </c>
      <c r="O3950" s="415">
        <v>0</v>
      </c>
      <c r="P3950" s="415">
        <v>0</v>
      </c>
      <c r="Q3950" s="481">
        <f t="shared" si="107"/>
        <v>0</v>
      </c>
    </row>
    <row r="3951" spans="1:17" x14ac:dyDescent="0.3">
      <c r="A3951" s="366" t="str">
        <f>IFERROR(VLOOKUP(RIGHT(E3951,3)+0,[1]SchLocTable!$A$2:$B$47,2,FALSE)," ")</f>
        <v xml:space="preserve"> </v>
      </c>
      <c r="B3951" s="366" t="str">
        <f>VLOOKUP(VALUE(D3951),$D$3:F$106,3,FALSE)</f>
        <v>Facilities Administration</v>
      </c>
      <c r="C3951" t="s">
        <v>314</v>
      </c>
      <c r="D3951">
        <v>884</v>
      </c>
      <c r="E3951" t="s">
        <v>1145</v>
      </c>
      <c r="F3951" t="s">
        <v>1082</v>
      </c>
      <c r="G3951" t="s">
        <v>319</v>
      </c>
      <c r="H3951" s="502">
        <v>51155</v>
      </c>
      <c r="I3951" s="415">
        <v>0</v>
      </c>
      <c r="J3951" s="415">
        <v>0</v>
      </c>
      <c r="K3951" s="415">
        <v>1237.19</v>
      </c>
      <c r="L3951" s="415">
        <v>0</v>
      </c>
      <c r="M3951" s="415">
        <v>0</v>
      </c>
      <c r="N3951" s="415">
        <v>0</v>
      </c>
      <c r="O3951" s="415">
        <v>0</v>
      </c>
      <c r="P3951" s="415">
        <v>0</v>
      </c>
      <c r="Q3951" s="481">
        <f t="shared" si="107"/>
        <v>0</v>
      </c>
    </row>
    <row r="3952" spans="1:17" x14ac:dyDescent="0.3">
      <c r="A3952" s="366" t="str">
        <f>IFERROR(VLOOKUP(RIGHT(E3952,3)+0,[1]SchLocTable!$A$2:$B$47,2,FALSE)," ")</f>
        <v xml:space="preserve"> </v>
      </c>
      <c r="B3952" s="366" t="str">
        <f>VLOOKUP(VALUE(D3952),$D$3:F$106,3,FALSE)</f>
        <v>Facilities Administration</v>
      </c>
      <c r="C3952" t="s">
        <v>314</v>
      </c>
      <c r="D3952">
        <v>884</v>
      </c>
      <c r="E3952" t="s">
        <v>1145</v>
      </c>
      <c r="F3952" t="s">
        <v>356</v>
      </c>
      <c r="G3952" t="s">
        <v>319</v>
      </c>
      <c r="H3952" s="502">
        <v>51156</v>
      </c>
      <c r="I3952" s="415">
        <v>0</v>
      </c>
      <c r="J3952" s="415">
        <v>0</v>
      </c>
      <c r="K3952" s="415">
        <v>12371.9</v>
      </c>
      <c r="L3952" s="415">
        <v>11661.68</v>
      </c>
      <c r="M3952" s="415">
        <v>8948.98</v>
      </c>
      <c r="N3952" s="415">
        <v>5676</v>
      </c>
      <c r="O3952" s="415">
        <v>3657.3</v>
      </c>
      <c r="P3952" s="415">
        <v>3550.43</v>
      </c>
      <c r="Q3952" s="481">
        <f t="shared" si="107"/>
        <v>0</v>
      </c>
    </row>
    <row r="3953" spans="1:17" x14ac:dyDescent="0.3">
      <c r="A3953" s="366" t="str">
        <f>IFERROR(VLOOKUP(RIGHT(E3953,3)+0,[1]SchLocTable!$A$2:$B$47,2,FALSE)," ")</f>
        <v xml:space="preserve"> </v>
      </c>
      <c r="B3953" s="366" t="str">
        <f>VLOOKUP(VALUE(D3953),$D$3:F$106,3,FALSE)</f>
        <v>Facilities Clericals</v>
      </c>
      <c r="C3953" t="s">
        <v>314</v>
      </c>
      <c r="D3953">
        <v>885</v>
      </c>
      <c r="E3953" t="s">
        <v>1146</v>
      </c>
      <c r="F3953" t="s">
        <v>316</v>
      </c>
      <c r="G3953">
        <v>2</v>
      </c>
      <c r="H3953" s="502">
        <v>51000</v>
      </c>
      <c r="I3953" s="415">
        <v>204376.39559999999</v>
      </c>
      <c r="J3953" s="415">
        <v>191483</v>
      </c>
      <c r="K3953" s="415">
        <v>182436.11</v>
      </c>
      <c r="L3953" s="415">
        <v>159505.5</v>
      </c>
      <c r="M3953" s="415">
        <v>147510.87</v>
      </c>
      <c r="N3953" s="415">
        <v>163059.69</v>
      </c>
      <c r="O3953" s="415">
        <v>183035.49</v>
      </c>
      <c r="P3953" s="415">
        <v>142782.99</v>
      </c>
      <c r="Q3953" s="481">
        <f t="shared" si="107"/>
        <v>-12893.395599999989</v>
      </c>
    </row>
    <row r="3954" spans="1:17" x14ac:dyDescent="0.3">
      <c r="A3954" s="366" t="str">
        <f>IFERROR(VLOOKUP(RIGHT(E3954,3)+0,[1]SchLocTable!$A$2:$B$47,2,FALSE)," ")</f>
        <v xml:space="preserve"> </v>
      </c>
      <c r="B3954" s="366" t="str">
        <f>VLOOKUP(VALUE(D3954),$D$3:F$106,3,FALSE)</f>
        <v>Facilities Clericals</v>
      </c>
      <c r="C3954" t="s">
        <v>314</v>
      </c>
      <c r="D3954">
        <v>885</v>
      </c>
      <c r="E3954" t="s">
        <v>1146</v>
      </c>
      <c r="F3954" t="s">
        <v>321</v>
      </c>
      <c r="G3954" t="s">
        <v>319</v>
      </c>
      <c r="H3954" s="502">
        <v>52917</v>
      </c>
      <c r="I3954" s="415">
        <v>80690.687999999995</v>
      </c>
      <c r="J3954" s="415">
        <v>66897</v>
      </c>
      <c r="K3954" s="415">
        <v>61382.02</v>
      </c>
      <c r="L3954" s="415">
        <v>60338.98</v>
      </c>
      <c r="M3954" s="415">
        <v>55095.71</v>
      </c>
      <c r="N3954" s="415">
        <v>64151.31</v>
      </c>
      <c r="O3954" s="415">
        <v>65200.99</v>
      </c>
      <c r="P3954" s="415">
        <v>42398.25</v>
      </c>
      <c r="Q3954" s="481">
        <f t="shared" si="107"/>
        <v>-13793.687999999995</v>
      </c>
    </row>
    <row r="3955" spans="1:17" x14ac:dyDescent="0.3">
      <c r="A3955" s="366" t="str">
        <f>IFERROR(VLOOKUP(RIGHT(E3955,3)+0,[1]SchLocTable!$A$2:$B$47,2,FALSE)," ")</f>
        <v xml:space="preserve"> </v>
      </c>
      <c r="B3955" s="366" t="str">
        <f>VLOOKUP(VALUE(D3955),$D$3:F$106,3,FALSE)</f>
        <v>Facilities Clericals</v>
      </c>
      <c r="C3955" t="s">
        <v>314</v>
      </c>
      <c r="D3955">
        <v>885</v>
      </c>
      <c r="E3955" t="s">
        <v>1146</v>
      </c>
      <c r="F3955" t="s">
        <v>318</v>
      </c>
      <c r="G3955" t="s">
        <v>319</v>
      </c>
      <c r="H3955" s="502">
        <v>51140</v>
      </c>
      <c r="I3955" s="415">
        <v>2700</v>
      </c>
      <c r="J3955" s="415">
        <v>900</v>
      </c>
      <c r="K3955" s="415">
        <v>2625</v>
      </c>
      <c r="L3955" s="415">
        <v>2550</v>
      </c>
      <c r="M3955" s="415">
        <v>3270</v>
      </c>
      <c r="N3955" s="415">
        <v>3200</v>
      </c>
      <c r="O3955" s="415">
        <v>3130</v>
      </c>
      <c r="P3955" s="415">
        <v>3060</v>
      </c>
      <c r="Q3955" s="481">
        <f t="shared" si="107"/>
        <v>-1800</v>
      </c>
    </row>
    <row r="3956" spans="1:17" x14ac:dyDescent="0.3">
      <c r="A3956" s="366" t="str">
        <f>IFERROR(VLOOKUP(RIGHT(E3956,3)+0,[1]SchLocTable!$A$2:$B$47,2,FALSE)," ")</f>
        <v xml:space="preserve"> </v>
      </c>
      <c r="B3956" s="366" t="str">
        <f>VLOOKUP(VALUE(D3956),$D$3:F$106,3,FALSE)</f>
        <v>Facilities Clericals</v>
      </c>
      <c r="C3956" t="s">
        <v>314</v>
      </c>
      <c r="D3956">
        <v>885</v>
      </c>
      <c r="E3956" t="s">
        <v>1146</v>
      </c>
      <c r="F3956" t="s">
        <v>320</v>
      </c>
      <c r="G3956" t="s">
        <v>319</v>
      </c>
      <c r="H3956" s="502">
        <v>52360</v>
      </c>
      <c r="I3956" s="415">
        <v>2963.4577362</v>
      </c>
      <c r="J3956" s="415">
        <v>2618</v>
      </c>
      <c r="K3956" s="415">
        <v>2735.9</v>
      </c>
      <c r="L3956" s="415">
        <v>2732.58</v>
      </c>
      <c r="M3956" s="415">
        <v>2562.41</v>
      </c>
      <c r="N3956" s="415">
        <v>2483.2800000000002</v>
      </c>
      <c r="O3956" s="415">
        <v>2486.17</v>
      </c>
      <c r="P3956" s="415">
        <v>2271.6799999999998</v>
      </c>
      <c r="Q3956" s="481">
        <f t="shared" si="107"/>
        <v>-345.4577362</v>
      </c>
    </row>
    <row r="3957" spans="1:17" x14ac:dyDescent="0.3">
      <c r="A3957" s="366" t="str">
        <f>IFERROR(VLOOKUP(RIGHT(E3957,3)+0,[1]SchLocTable!$A$2:$B$47,2,FALSE)," ")</f>
        <v xml:space="preserve"> </v>
      </c>
      <c r="B3957" s="366" t="str">
        <f>VLOOKUP(VALUE(D3957),$D$3:F$106,3,FALSE)</f>
        <v>Facilities Clericals</v>
      </c>
      <c r="C3957" t="s">
        <v>314</v>
      </c>
      <c r="D3957">
        <v>885</v>
      </c>
      <c r="E3957" t="s">
        <v>1146</v>
      </c>
      <c r="F3957" t="s">
        <v>392</v>
      </c>
      <c r="G3957" t="s">
        <v>319</v>
      </c>
      <c r="H3957" s="502">
        <v>52504</v>
      </c>
      <c r="I3957" s="415">
        <v>42469.415005679999</v>
      </c>
      <c r="J3957" s="415">
        <v>40351</v>
      </c>
      <c r="K3957" s="415">
        <v>40552.800000000003</v>
      </c>
      <c r="L3957" s="415">
        <v>40048.58</v>
      </c>
      <c r="M3957" s="415">
        <v>40124.74</v>
      </c>
      <c r="N3957" s="415">
        <v>35260.83</v>
      </c>
      <c r="O3957" s="415">
        <v>29226.69</v>
      </c>
      <c r="P3957" s="415">
        <v>18260.919999999998</v>
      </c>
      <c r="Q3957" s="481">
        <f t="shared" si="107"/>
        <v>-2118.415005679999</v>
      </c>
    </row>
    <row r="3958" spans="1:17" x14ac:dyDescent="0.3">
      <c r="A3958" s="366" t="str">
        <f>IFERROR(VLOOKUP(RIGHT(E3958,3)+0,[1]SchLocTable!$A$2:$B$47,2,FALSE)," ")</f>
        <v xml:space="preserve"> </v>
      </c>
      <c r="B3958" s="366" t="str">
        <f>VLOOKUP(VALUE(D3958),$D$3:F$106,3,FALSE)</f>
        <v>Facilities Clericals</v>
      </c>
      <c r="C3958" t="s">
        <v>314</v>
      </c>
      <c r="D3958">
        <v>885</v>
      </c>
      <c r="E3958" t="s">
        <v>1146</v>
      </c>
      <c r="F3958" t="s">
        <v>452</v>
      </c>
      <c r="G3958" t="s">
        <v>319</v>
      </c>
      <c r="H3958" s="502">
        <v>51108</v>
      </c>
      <c r="I3958" s="415">
        <v>0</v>
      </c>
      <c r="J3958" s="415">
        <v>9867.8799999999992</v>
      </c>
      <c r="K3958" s="415">
        <v>3413.96</v>
      </c>
      <c r="L3958" s="415">
        <v>14831.64</v>
      </c>
      <c r="M3958" s="415">
        <v>19510.72</v>
      </c>
      <c r="N3958" s="415">
        <v>5667</v>
      </c>
      <c r="O3958" s="415">
        <v>876.98</v>
      </c>
      <c r="P3958" s="415">
        <v>2619.48</v>
      </c>
      <c r="Q3958" s="481">
        <f t="shared" si="107"/>
        <v>9867.8799999999992</v>
      </c>
    </row>
    <row r="3959" spans="1:17" x14ac:dyDescent="0.3">
      <c r="A3959" s="366" t="str">
        <f>IFERROR(VLOOKUP(RIGHT(E3959,3)+0,[1]SchLocTable!$A$2:$B$47,2,FALSE)," ")</f>
        <v xml:space="preserve"> </v>
      </c>
      <c r="B3959" s="366" t="str">
        <f>VLOOKUP(VALUE(D3959),$D$3:F$106,3,FALSE)</f>
        <v>Facilities Clericals</v>
      </c>
      <c r="C3959" t="s">
        <v>314</v>
      </c>
      <c r="D3959">
        <v>885</v>
      </c>
      <c r="E3959" t="s">
        <v>1146</v>
      </c>
      <c r="F3959" t="s">
        <v>427</v>
      </c>
      <c r="G3959" t="s">
        <v>319</v>
      </c>
      <c r="H3959" s="502">
        <v>51106</v>
      </c>
      <c r="I3959" s="415">
        <v>0</v>
      </c>
      <c r="J3959" s="415">
        <v>0</v>
      </c>
      <c r="K3959" s="415">
        <v>0</v>
      </c>
      <c r="L3959" s="415">
        <v>9751.1299999999992</v>
      </c>
      <c r="M3959" s="415">
        <v>4498.2700000000004</v>
      </c>
      <c r="N3959" s="415">
        <v>115.6</v>
      </c>
      <c r="O3959" s="415">
        <v>0</v>
      </c>
      <c r="P3959" s="415">
        <v>2440.65</v>
      </c>
      <c r="Q3959" s="481">
        <f t="shared" si="107"/>
        <v>0</v>
      </c>
    </row>
    <row r="3960" spans="1:17" x14ac:dyDescent="0.3">
      <c r="A3960" s="366" t="str">
        <f>IFERROR(VLOOKUP(RIGHT(E3960,3)+0,[1]SchLocTable!$A$2:$B$47,2,FALSE)," ")</f>
        <v xml:space="preserve"> </v>
      </c>
      <c r="B3960" s="366" t="str">
        <f>VLOOKUP(VALUE(D3960),$D$3:F$106,3,FALSE)</f>
        <v>Facilities Clericals</v>
      </c>
      <c r="C3960" t="s">
        <v>314</v>
      </c>
      <c r="D3960">
        <v>885</v>
      </c>
      <c r="E3960" t="s">
        <v>1146</v>
      </c>
      <c r="F3960" t="s">
        <v>356</v>
      </c>
      <c r="G3960" t="s">
        <v>319</v>
      </c>
      <c r="H3960" s="502">
        <v>51156</v>
      </c>
      <c r="I3960" s="415">
        <v>0</v>
      </c>
      <c r="J3960" s="415">
        <v>0</v>
      </c>
      <c r="K3960" s="415">
        <v>3656.85</v>
      </c>
      <c r="L3960" s="415">
        <v>3203.81</v>
      </c>
      <c r="M3960" s="415">
        <v>2649.03</v>
      </c>
      <c r="N3960" s="415">
        <v>1302.75</v>
      </c>
      <c r="O3960" s="415">
        <v>1302.8800000000001</v>
      </c>
      <c r="P3960" s="415">
        <v>1302.8800000000001</v>
      </c>
      <c r="Q3960" s="481">
        <f t="shared" si="107"/>
        <v>0</v>
      </c>
    </row>
    <row r="3961" spans="1:17" x14ac:dyDescent="0.3">
      <c r="A3961" s="366" t="str">
        <f>IFERROR(VLOOKUP(RIGHT(E3961,3)+0,[1]SchLocTable!$A$2:$B$47,2,FALSE)," ")</f>
        <v xml:space="preserve"> </v>
      </c>
      <c r="B3961" s="366" t="str">
        <f>VLOOKUP(VALUE(D3961),$D$3:F$106,3,FALSE)</f>
        <v>Trades</v>
      </c>
      <c r="C3961" t="s">
        <v>314</v>
      </c>
      <c r="D3961">
        <v>886</v>
      </c>
      <c r="E3961" t="s">
        <v>1147</v>
      </c>
      <c r="F3961" t="s">
        <v>1089</v>
      </c>
      <c r="G3961" t="s">
        <v>319</v>
      </c>
      <c r="H3961" s="502">
        <v>51102</v>
      </c>
      <c r="I3961" s="415">
        <v>0</v>
      </c>
      <c r="J3961" s="415">
        <v>0</v>
      </c>
      <c r="K3961" s="415">
        <v>0</v>
      </c>
      <c r="L3961" s="415">
        <v>0</v>
      </c>
      <c r="M3961" s="415">
        <v>10.64</v>
      </c>
      <c r="N3961" s="415">
        <v>680.96</v>
      </c>
      <c r="O3961" s="415">
        <v>0</v>
      </c>
      <c r="P3961" s="415">
        <v>0</v>
      </c>
      <c r="Q3961" s="481">
        <f t="shared" si="107"/>
        <v>0</v>
      </c>
    </row>
    <row r="3962" spans="1:17" x14ac:dyDescent="0.3">
      <c r="A3962" s="366" t="str">
        <f>IFERROR(VLOOKUP(RIGHT(E3962,3)+0,[1]SchLocTable!$A$2:$B$47,2,FALSE)," ")</f>
        <v xml:space="preserve"> </v>
      </c>
      <c r="B3962" s="366" t="str">
        <f>VLOOKUP(VALUE(D3962),$D$3:F$106,3,FALSE)</f>
        <v>Trades</v>
      </c>
      <c r="C3962" t="s">
        <v>314</v>
      </c>
      <c r="D3962">
        <v>886</v>
      </c>
      <c r="E3962" t="s">
        <v>1147</v>
      </c>
      <c r="F3962" t="s">
        <v>316</v>
      </c>
      <c r="G3962">
        <v>17</v>
      </c>
      <c r="H3962" s="502">
        <v>51000</v>
      </c>
      <c r="I3962" s="415">
        <v>1574403.6879999998</v>
      </c>
      <c r="J3962" s="415">
        <v>1427908.36</v>
      </c>
      <c r="K3962" s="415">
        <v>1568778.65</v>
      </c>
      <c r="L3962" s="415">
        <v>1574604.97</v>
      </c>
      <c r="M3962" s="415">
        <v>1506462.54</v>
      </c>
      <c r="N3962" s="415">
        <v>1494197.85</v>
      </c>
      <c r="O3962" s="415">
        <v>1706934.27</v>
      </c>
      <c r="P3962" s="415">
        <v>1717571.87</v>
      </c>
      <c r="Q3962" s="481">
        <f t="shared" si="107"/>
        <v>-146495.32799999975</v>
      </c>
    </row>
    <row r="3963" spans="1:17" x14ac:dyDescent="0.3">
      <c r="A3963" s="366" t="str">
        <f>IFERROR(VLOOKUP(RIGHT(E3963,3)+0,[1]SchLocTable!$A$2:$B$47,2,FALSE)," ")</f>
        <v xml:space="preserve"> </v>
      </c>
      <c r="B3963" s="366" t="str">
        <f>VLOOKUP(VALUE(D3963),$D$3:F$106,3,FALSE)</f>
        <v>Trades</v>
      </c>
      <c r="C3963" t="s">
        <v>314</v>
      </c>
      <c r="D3963">
        <v>886</v>
      </c>
      <c r="E3963" t="s">
        <v>1147</v>
      </c>
      <c r="F3963" t="s">
        <v>360</v>
      </c>
      <c r="G3963" t="s">
        <v>319</v>
      </c>
      <c r="H3963" s="502">
        <v>52920</v>
      </c>
      <c r="I3963" s="415">
        <v>1500</v>
      </c>
      <c r="J3963" s="415">
        <v>1750</v>
      </c>
      <c r="K3963" s="415">
        <v>1750</v>
      </c>
      <c r="L3963" s="415">
        <v>5250</v>
      </c>
      <c r="M3963" s="415">
        <v>6750</v>
      </c>
      <c r="N3963" s="415">
        <v>2250</v>
      </c>
      <c r="O3963" s="415">
        <v>3000</v>
      </c>
      <c r="P3963" s="415">
        <v>3000</v>
      </c>
      <c r="Q3963" s="481">
        <f t="shared" si="107"/>
        <v>250</v>
      </c>
    </row>
    <row r="3964" spans="1:17" x14ac:dyDescent="0.3">
      <c r="A3964" s="366" t="str">
        <f>IFERROR(VLOOKUP(RIGHT(E3964,3)+0,[1]SchLocTable!$A$2:$B$47,2,FALSE)," ")</f>
        <v xml:space="preserve"> </v>
      </c>
      <c r="B3964" s="366" t="str">
        <f>VLOOKUP(VALUE(D3964),$D$3:F$106,3,FALSE)</f>
        <v>Trades</v>
      </c>
      <c r="C3964" t="s">
        <v>314</v>
      </c>
      <c r="D3964">
        <v>886</v>
      </c>
      <c r="E3964" t="s">
        <v>1147</v>
      </c>
      <c r="F3964" t="s">
        <v>321</v>
      </c>
      <c r="G3964" t="s">
        <v>319</v>
      </c>
      <c r="H3964" s="502">
        <v>52917</v>
      </c>
      <c r="I3964" s="415">
        <v>500871.69599999994</v>
      </c>
      <c r="J3964" s="415">
        <v>403779.17</v>
      </c>
      <c r="K3964" s="415">
        <v>426706.46</v>
      </c>
      <c r="L3964" s="415">
        <v>433555.68</v>
      </c>
      <c r="M3964" s="415">
        <v>367888.4</v>
      </c>
      <c r="N3964" s="415">
        <v>374831.61</v>
      </c>
      <c r="O3964" s="415">
        <v>409586.13</v>
      </c>
      <c r="P3964" s="415">
        <v>412241.03</v>
      </c>
      <c r="Q3964" s="481">
        <f t="shared" si="107"/>
        <v>-97092.525999999954</v>
      </c>
    </row>
    <row r="3965" spans="1:17" x14ac:dyDescent="0.3">
      <c r="A3965" s="366" t="str">
        <f>IFERROR(VLOOKUP(RIGHT(E3965,3)+0,[1]SchLocTable!$A$2:$B$47,2,FALSE)," ")</f>
        <v xml:space="preserve"> </v>
      </c>
      <c r="B3965" s="366" t="str">
        <f>VLOOKUP(VALUE(D3965),$D$3:F$106,3,FALSE)</f>
        <v>Trades</v>
      </c>
      <c r="C3965" t="s">
        <v>314</v>
      </c>
      <c r="D3965">
        <v>886</v>
      </c>
      <c r="E3965" t="s">
        <v>1147</v>
      </c>
      <c r="F3965" t="s">
        <v>1087</v>
      </c>
      <c r="G3965" t="s">
        <v>319</v>
      </c>
      <c r="H3965" s="502">
        <v>51116</v>
      </c>
      <c r="I3965" s="415">
        <v>0</v>
      </c>
      <c r="J3965" s="415">
        <v>0</v>
      </c>
      <c r="K3965" s="415">
        <v>0</v>
      </c>
      <c r="L3965" s="415">
        <v>1722.12</v>
      </c>
      <c r="M3965" s="415">
        <v>560.91</v>
      </c>
      <c r="N3965" s="415">
        <v>2527.67</v>
      </c>
      <c r="O3965" s="415">
        <v>0</v>
      </c>
      <c r="P3965" s="415">
        <v>0</v>
      </c>
      <c r="Q3965" s="481">
        <f t="shared" si="107"/>
        <v>0</v>
      </c>
    </row>
    <row r="3966" spans="1:17" x14ac:dyDescent="0.3">
      <c r="A3966" s="366" t="str">
        <f>IFERROR(VLOOKUP(RIGHT(E3966,3)+0,[1]SchLocTable!$A$2:$B$47,2,FALSE)," ")</f>
        <v xml:space="preserve"> </v>
      </c>
      <c r="B3966" s="366" t="str">
        <f>VLOOKUP(VALUE(D3966),$D$3:F$106,3,FALSE)</f>
        <v>Trades</v>
      </c>
      <c r="C3966" t="s">
        <v>314</v>
      </c>
      <c r="D3966">
        <v>886</v>
      </c>
      <c r="E3966" t="s">
        <v>1147</v>
      </c>
      <c r="F3966" t="s">
        <v>318</v>
      </c>
      <c r="G3966" t="s">
        <v>319</v>
      </c>
      <c r="H3966" s="502">
        <v>51140</v>
      </c>
      <c r="I3966" s="415">
        <v>14492</v>
      </c>
      <c r="J3966" s="415">
        <v>572</v>
      </c>
      <c r="K3966" s="415">
        <v>14243</v>
      </c>
      <c r="L3966" s="415">
        <v>13560</v>
      </c>
      <c r="M3966" s="415">
        <v>13020</v>
      </c>
      <c r="N3966" s="415">
        <v>17470</v>
      </c>
      <c r="O3966" s="415">
        <v>18810</v>
      </c>
      <c r="P3966" s="415">
        <v>16380</v>
      </c>
      <c r="Q3966" s="481">
        <f t="shared" si="107"/>
        <v>-13920</v>
      </c>
    </row>
    <row r="3967" spans="1:17" x14ac:dyDescent="0.3">
      <c r="A3967" s="366" t="str">
        <f>IFERROR(VLOOKUP(RIGHT(E3967,3)+0,[1]SchLocTable!$A$2:$B$47,2,FALSE)," ")</f>
        <v xml:space="preserve"> </v>
      </c>
      <c r="B3967" s="366" t="str">
        <f>VLOOKUP(VALUE(D3967),$D$3:F$106,3,FALSE)</f>
        <v>Trades</v>
      </c>
      <c r="C3967" t="s">
        <v>314</v>
      </c>
      <c r="D3967">
        <v>886</v>
      </c>
      <c r="E3967" t="s">
        <v>1147</v>
      </c>
      <c r="F3967" t="s">
        <v>320</v>
      </c>
      <c r="G3967" t="s">
        <v>319</v>
      </c>
      <c r="H3967" s="502">
        <v>52360</v>
      </c>
      <c r="I3967" s="415">
        <v>26832.95588899999</v>
      </c>
      <c r="J3967" s="415">
        <v>22445</v>
      </c>
      <c r="K3967" s="415">
        <v>24986.13</v>
      </c>
      <c r="L3967" s="415">
        <v>25964.07</v>
      </c>
      <c r="M3967" s="415">
        <v>25291.34</v>
      </c>
      <c r="N3967" s="415">
        <v>27015.17</v>
      </c>
      <c r="O3967" s="415">
        <v>27014.86</v>
      </c>
      <c r="P3967" s="415">
        <v>26397.09</v>
      </c>
      <c r="Q3967" s="481">
        <f t="shared" ref="Q3967:Q4030" si="108">J3967-I3967</f>
        <v>-4387.9558889999898</v>
      </c>
    </row>
    <row r="3968" spans="1:17" x14ac:dyDescent="0.3">
      <c r="A3968" s="366" t="str">
        <f>IFERROR(VLOOKUP(RIGHT(E3968,3)+0,[1]SchLocTable!$A$2:$B$47,2,FALSE)," ")</f>
        <v xml:space="preserve"> </v>
      </c>
      <c r="B3968" s="366" t="str">
        <f>VLOOKUP(VALUE(D3968),$D$3:F$106,3,FALSE)</f>
        <v>Trades</v>
      </c>
      <c r="C3968" t="s">
        <v>314</v>
      </c>
      <c r="D3968">
        <v>886</v>
      </c>
      <c r="E3968" t="s">
        <v>1147</v>
      </c>
      <c r="F3968" t="s">
        <v>392</v>
      </c>
      <c r="G3968" t="s">
        <v>319</v>
      </c>
      <c r="H3968" s="502">
        <v>52504</v>
      </c>
      <c r="I3968" s="415">
        <v>384544.01611959998</v>
      </c>
      <c r="J3968" s="415">
        <v>349152.22</v>
      </c>
      <c r="K3968" s="415">
        <v>400150.97</v>
      </c>
      <c r="L3968" s="415">
        <v>404138.72</v>
      </c>
      <c r="M3968" s="415">
        <v>391129.77</v>
      </c>
      <c r="N3968" s="415">
        <v>380915.6</v>
      </c>
      <c r="O3968" s="415">
        <v>328056.23</v>
      </c>
      <c r="P3968" s="415">
        <v>287054.59999999998</v>
      </c>
      <c r="Q3968" s="481">
        <f t="shared" si="108"/>
        <v>-35391.796119600011</v>
      </c>
    </row>
    <row r="3969" spans="1:17" x14ac:dyDescent="0.3">
      <c r="A3969" s="366" t="str">
        <f>IFERROR(VLOOKUP(RIGHT(E3969,3)+0,[1]SchLocTable!$A$2:$B$47,2,FALSE)," ")</f>
        <v xml:space="preserve"> </v>
      </c>
      <c r="B3969" s="366" t="str">
        <f>VLOOKUP(VALUE(D3969),$D$3:F$106,3,FALSE)</f>
        <v>Trades</v>
      </c>
      <c r="C3969" t="s">
        <v>314</v>
      </c>
      <c r="D3969">
        <v>886</v>
      </c>
      <c r="E3969" t="s">
        <v>1147</v>
      </c>
      <c r="F3969" t="s">
        <v>419</v>
      </c>
      <c r="G3969" t="s">
        <v>319</v>
      </c>
      <c r="H3969" s="502">
        <v>51318</v>
      </c>
      <c r="I3969" s="415">
        <v>0</v>
      </c>
      <c r="J3969" s="415">
        <v>0</v>
      </c>
      <c r="K3969" s="415">
        <v>75.3</v>
      </c>
      <c r="L3969" s="415">
        <v>0</v>
      </c>
      <c r="M3969" s="415">
        <v>0</v>
      </c>
      <c r="N3969" s="415">
        <v>3037.16</v>
      </c>
      <c r="O3969" s="415">
        <v>425.82</v>
      </c>
      <c r="P3969" s="415">
        <v>0</v>
      </c>
      <c r="Q3969" s="481">
        <f t="shared" si="108"/>
        <v>0</v>
      </c>
    </row>
    <row r="3970" spans="1:17" x14ac:dyDescent="0.3">
      <c r="A3970" s="366" t="str">
        <f>IFERROR(VLOOKUP(RIGHT(E3970,3)+0,[1]SchLocTable!$A$2:$B$47,2,FALSE)," ")</f>
        <v xml:space="preserve"> </v>
      </c>
      <c r="B3970" s="366" t="str">
        <f>VLOOKUP(VALUE(D3970),$D$3:F$106,3,FALSE)</f>
        <v>Trades</v>
      </c>
      <c r="C3970" t="s">
        <v>314</v>
      </c>
      <c r="D3970">
        <v>886</v>
      </c>
      <c r="E3970" t="s">
        <v>1147</v>
      </c>
      <c r="F3970" t="s">
        <v>317</v>
      </c>
      <c r="G3970" t="s">
        <v>319</v>
      </c>
      <c r="H3970" s="502">
        <v>51100</v>
      </c>
      <c r="I3970" s="415">
        <v>0</v>
      </c>
      <c r="J3970" s="415">
        <v>0</v>
      </c>
      <c r="K3970" s="415">
        <v>24272.400000000001</v>
      </c>
      <c r="L3970" s="415">
        <v>19255.2</v>
      </c>
      <c r="M3970" s="415">
        <v>13806.43</v>
      </c>
      <c r="N3970" s="415">
        <v>39279.08</v>
      </c>
      <c r="O3970" s="415">
        <v>67408.42</v>
      </c>
      <c r="P3970" s="415">
        <v>36766.03</v>
      </c>
      <c r="Q3970" s="481">
        <f t="shared" si="108"/>
        <v>0</v>
      </c>
    </row>
    <row r="3971" spans="1:17" x14ac:dyDescent="0.3">
      <c r="A3971" s="366" t="str">
        <f>IFERROR(VLOOKUP(RIGHT(E3971,3)+0,[1]SchLocTable!$A$2:$B$47,2,FALSE)," ")</f>
        <v xml:space="preserve"> </v>
      </c>
      <c r="B3971" s="366" t="str">
        <f>VLOOKUP(VALUE(D3971),$D$3:F$106,3,FALSE)</f>
        <v>Trades</v>
      </c>
      <c r="C3971" t="s">
        <v>314</v>
      </c>
      <c r="D3971">
        <v>886</v>
      </c>
      <c r="E3971" t="s">
        <v>1147</v>
      </c>
      <c r="F3971" t="s">
        <v>452</v>
      </c>
      <c r="G3971" t="s">
        <v>319</v>
      </c>
      <c r="H3971" s="502">
        <v>51108</v>
      </c>
      <c r="I3971" s="415">
        <v>249602.00980000003</v>
      </c>
      <c r="J3971" s="415">
        <v>228433.31</v>
      </c>
      <c r="K3971" s="415">
        <v>216311.29</v>
      </c>
      <c r="L3971" s="415">
        <v>249105.77</v>
      </c>
      <c r="M3971" s="415">
        <v>282973.8</v>
      </c>
      <c r="N3971" s="415">
        <v>324138.77</v>
      </c>
      <c r="O3971" s="415">
        <v>248538.25</v>
      </c>
      <c r="P3971" s="415">
        <v>257960.07</v>
      </c>
      <c r="Q3971" s="481">
        <f t="shared" si="108"/>
        <v>-21168.699800000031</v>
      </c>
    </row>
    <row r="3972" spans="1:17" x14ac:dyDescent="0.3">
      <c r="A3972" s="366" t="str">
        <f>IFERROR(VLOOKUP(RIGHT(E3972,3)+0,[1]SchLocTable!$A$2:$B$47,2,FALSE)," ")</f>
        <v xml:space="preserve"> </v>
      </c>
      <c r="B3972" s="366" t="str">
        <f>VLOOKUP(VALUE(D3972),$D$3:F$106,3,FALSE)</f>
        <v>Trades</v>
      </c>
      <c r="C3972" t="s">
        <v>314</v>
      </c>
      <c r="D3972">
        <v>886</v>
      </c>
      <c r="E3972" t="s">
        <v>1147</v>
      </c>
      <c r="F3972" t="s">
        <v>483</v>
      </c>
      <c r="G3972" t="s">
        <v>319</v>
      </c>
      <c r="H3972" s="502">
        <v>51122</v>
      </c>
      <c r="I3972" s="415">
        <v>21470.284160000003</v>
      </c>
      <c r="J3972" s="415">
        <v>23318.6</v>
      </c>
      <c r="K3972" s="415">
        <v>15126.81</v>
      </c>
      <c r="L3972" s="415">
        <v>26167.119999999999</v>
      </c>
      <c r="M3972" s="415">
        <v>15386.36</v>
      </c>
      <c r="N3972" s="415">
        <v>21269.919999999998</v>
      </c>
      <c r="O3972" s="415">
        <v>14812.32</v>
      </c>
      <c r="P3972" s="415">
        <v>6078.31</v>
      </c>
      <c r="Q3972" s="481">
        <f t="shared" si="108"/>
        <v>1848.3158399999957</v>
      </c>
    </row>
    <row r="3973" spans="1:17" x14ac:dyDescent="0.3">
      <c r="A3973" s="366" t="str">
        <f>IFERROR(VLOOKUP(RIGHT(E3973,3)+0,[1]SchLocTable!$A$2:$B$47,2,FALSE)," ")</f>
        <v xml:space="preserve"> </v>
      </c>
      <c r="B3973" s="366" t="str">
        <f>VLOOKUP(VALUE(D3973),$D$3:F$106,3,FALSE)</f>
        <v>Trades</v>
      </c>
      <c r="C3973" t="s">
        <v>314</v>
      </c>
      <c r="D3973">
        <v>886</v>
      </c>
      <c r="E3973" t="s">
        <v>1147</v>
      </c>
      <c r="F3973" t="s">
        <v>1148</v>
      </c>
      <c r="G3973" t="s">
        <v>319</v>
      </c>
      <c r="H3973" s="502">
        <v>51124</v>
      </c>
      <c r="I3973" s="415">
        <v>0</v>
      </c>
      <c r="J3973" s="415">
        <v>0</v>
      </c>
      <c r="K3973" s="415">
        <v>0</v>
      </c>
      <c r="L3973" s="415">
        <v>288.8</v>
      </c>
      <c r="M3973" s="415">
        <v>370.48</v>
      </c>
      <c r="N3973" s="415">
        <v>154.72</v>
      </c>
      <c r="O3973" s="415">
        <v>0</v>
      </c>
      <c r="P3973" s="415">
        <v>0</v>
      </c>
      <c r="Q3973" s="481">
        <f t="shared" si="108"/>
        <v>0</v>
      </c>
    </row>
    <row r="3974" spans="1:17" x14ac:dyDescent="0.3">
      <c r="A3974" s="366" t="str">
        <f>IFERROR(VLOOKUP(RIGHT(E3974,3)+0,[1]SchLocTable!$A$2:$B$47,2,FALSE)," ")</f>
        <v xml:space="preserve"> </v>
      </c>
      <c r="B3974" s="366" t="str">
        <f>VLOOKUP(VALUE(D3974),$D$3:F$106,3,FALSE)</f>
        <v>Trades</v>
      </c>
      <c r="C3974" t="s">
        <v>314</v>
      </c>
      <c r="D3974">
        <v>886</v>
      </c>
      <c r="E3974" t="s">
        <v>1147</v>
      </c>
      <c r="F3974" t="s">
        <v>324</v>
      </c>
      <c r="G3974" t="s">
        <v>319</v>
      </c>
      <c r="H3974" s="502">
        <v>52385</v>
      </c>
      <c r="I3974" s="415">
        <v>0</v>
      </c>
      <c r="J3974" s="415">
        <v>0</v>
      </c>
      <c r="K3974" s="415">
        <v>1504.89</v>
      </c>
      <c r="L3974" s="415">
        <v>1196.3599999999999</v>
      </c>
      <c r="M3974" s="415">
        <v>5333.45</v>
      </c>
      <c r="N3974" s="415">
        <v>524.89</v>
      </c>
      <c r="O3974" s="415">
        <v>1995.52</v>
      </c>
      <c r="P3974" s="415">
        <v>0</v>
      </c>
      <c r="Q3974" s="481">
        <f t="shared" si="108"/>
        <v>0</v>
      </c>
    </row>
    <row r="3975" spans="1:17" x14ac:dyDescent="0.3">
      <c r="A3975" s="366" t="str">
        <f>IFERROR(VLOOKUP(RIGHT(E3975,3)+0,[1]SchLocTable!$A$2:$B$47,2,FALSE)," ")</f>
        <v xml:space="preserve"> </v>
      </c>
      <c r="B3975" s="366" t="str">
        <f>VLOOKUP(VALUE(D3975),$D$3:F$106,3,FALSE)</f>
        <v>Trades</v>
      </c>
      <c r="C3975" t="s">
        <v>314</v>
      </c>
      <c r="D3975">
        <v>886</v>
      </c>
      <c r="E3975" t="s">
        <v>1147</v>
      </c>
      <c r="F3975" t="s">
        <v>533</v>
      </c>
      <c r="G3975" t="s">
        <v>319</v>
      </c>
      <c r="H3975" s="502">
        <v>52397</v>
      </c>
      <c r="I3975" s="415">
        <v>0</v>
      </c>
      <c r="J3975" s="415">
        <v>0</v>
      </c>
      <c r="K3975" s="415">
        <v>0</v>
      </c>
      <c r="L3975" s="415">
        <v>0</v>
      </c>
      <c r="M3975" s="415">
        <v>4954</v>
      </c>
      <c r="N3975" s="415">
        <v>1976</v>
      </c>
      <c r="O3975" s="415">
        <v>0</v>
      </c>
      <c r="P3975" s="415">
        <v>0</v>
      </c>
      <c r="Q3975" s="481">
        <f t="shared" si="108"/>
        <v>0</v>
      </c>
    </row>
    <row r="3976" spans="1:17" x14ac:dyDescent="0.3">
      <c r="A3976" s="366" t="str">
        <f>IFERROR(VLOOKUP(RIGHT(E3976,3)+0,[1]SchLocTable!$A$2:$B$47,2,FALSE)," ")</f>
        <v xml:space="preserve"> </v>
      </c>
      <c r="B3976" s="366" t="str">
        <f>VLOOKUP(VALUE(D3976),$D$3:F$106,3,FALSE)</f>
        <v>Trades</v>
      </c>
      <c r="C3976" t="s">
        <v>314</v>
      </c>
      <c r="D3976">
        <v>886</v>
      </c>
      <c r="E3976" t="s">
        <v>1147</v>
      </c>
      <c r="F3976" t="s">
        <v>329</v>
      </c>
      <c r="G3976" t="s">
        <v>319</v>
      </c>
      <c r="H3976" s="502">
        <v>51154</v>
      </c>
      <c r="I3976" s="415">
        <v>2869.5284999999999</v>
      </c>
      <c r="J3976" s="415">
        <v>0</v>
      </c>
      <c r="K3976" s="415">
        <v>696.49</v>
      </c>
      <c r="L3976" s="415">
        <v>0</v>
      </c>
      <c r="M3976" s="415">
        <v>0</v>
      </c>
      <c r="N3976" s="415">
        <v>6448.8</v>
      </c>
      <c r="O3976" s="415">
        <v>24955.64</v>
      </c>
      <c r="P3976" s="415">
        <v>0</v>
      </c>
      <c r="Q3976" s="481">
        <f t="shared" si="108"/>
        <v>-2869.5284999999999</v>
      </c>
    </row>
    <row r="3977" spans="1:17" x14ac:dyDescent="0.3">
      <c r="A3977" s="366" t="str">
        <f>IFERROR(VLOOKUP(RIGHT(E3977,3)+0,[1]SchLocTable!$A$2:$B$47,2,FALSE)," ")</f>
        <v xml:space="preserve"> </v>
      </c>
      <c r="B3977" s="366" t="str">
        <f>VLOOKUP(VALUE(D3977),$D$3:F$106,3,FALSE)</f>
        <v>Trades</v>
      </c>
      <c r="C3977" t="s">
        <v>314</v>
      </c>
      <c r="D3977">
        <v>886</v>
      </c>
      <c r="E3977" t="s">
        <v>1147</v>
      </c>
      <c r="F3977" t="s">
        <v>418</v>
      </c>
      <c r="G3977" t="s">
        <v>319</v>
      </c>
      <c r="H3977" s="502">
        <v>51314</v>
      </c>
      <c r="I3977" s="415">
        <v>6824.8315000000002</v>
      </c>
      <c r="J3977" s="415">
        <v>0</v>
      </c>
      <c r="K3977" s="415">
        <v>1656.51</v>
      </c>
      <c r="L3977" s="415">
        <v>0</v>
      </c>
      <c r="M3977" s="415">
        <v>0</v>
      </c>
      <c r="N3977" s="415">
        <v>26158.22</v>
      </c>
      <c r="O3977" s="415">
        <v>4683.9799999999996</v>
      </c>
      <c r="P3977" s="415">
        <v>0</v>
      </c>
      <c r="Q3977" s="481">
        <f t="shared" si="108"/>
        <v>-6824.8315000000002</v>
      </c>
    </row>
    <row r="3978" spans="1:17" x14ac:dyDescent="0.3">
      <c r="A3978" s="366" t="str">
        <f>IFERROR(VLOOKUP(RIGHT(E3978,3)+0,[1]SchLocTable!$A$2:$B$47,2,FALSE)," ")</f>
        <v xml:space="preserve"> </v>
      </c>
      <c r="B3978" s="366" t="str">
        <f>VLOOKUP(VALUE(D3978),$D$3:F$106,3,FALSE)</f>
        <v>Trades</v>
      </c>
      <c r="C3978" t="s">
        <v>314</v>
      </c>
      <c r="D3978">
        <v>886</v>
      </c>
      <c r="E3978" t="s">
        <v>1149</v>
      </c>
      <c r="F3978" t="s">
        <v>1087</v>
      </c>
      <c r="G3978" t="s">
        <v>319</v>
      </c>
      <c r="H3978" s="502">
        <v>51116</v>
      </c>
      <c r="I3978" s="415">
        <v>0</v>
      </c>
      <c r="J3978" s="415">
        <v>0</v>
      </c>
      <c r="K3978" s="415">
        <v>6535.21</v>
      </c>
      <c r="L3978" s="415">
        <v>0</v>
      </c>
      <c r="M3978" s="415">
        <v>0</v>
      </c>
      <c r="N3978" s="415">
        <v>319.83999999999997</v>
      </c>
      <c r="O3978" s="415">
        <v>0</v>
      </c>
      <c r="P3978" s="415">
        <v>0</v>
      </c>
      <c r="Q3978" s="481">
        <f t="shared" si="108"/>
        <v>0</v>
      </c>
    </row>
    <row r="3979" spans="1:17" x14ac:dyDescent="0.3">
      <c r="A3979" s="366" t="str">
        <f>IFERROR(VLOOKUP(RIGHT(E3979,3)+0,[1]SchLocTable!$A$2:$B$47,2,FALSE)," ")</f>
        <v xml:space="preserve"> </v>
      </c>
      <c r="B3979" s="366" t="str">
        <f>VLOOKUP(VALUE(D3979),$D$3:F$106,3,FALSE)</f>
        <v>Trades</v>
      </c>
      <c r="C3979" t="s">
        <v>314</v>
      </c>
      <c r="D3979">
        <v>886</v>
      </c>
      <c r="E3979" t="s">
        <v>1149</v>
      </c>
      <c r="F3979" t="s">
        <v>320</v>
      </c>
      <c r="G3979" t="s">
        <v>319</v>
      </c>
      <c r="H3979" s="502">
        <v>52360</v>
      </c>
      <c r="I3979" s="415">
        <v>340.771137694</v>
      </c>
      <c r="J3979" s="415">
        <v>0</v>
      </c>
      <c r="K3979" s="415">
        <v>234.4</v>
      </c>
      <c r="L3979" s="415">
        <v>179.72</v>
      </c>
      <c r="M3979" s="415">
        <v>26.56</v>
      </c>
      <c r="N3979" s="415">
        <v>207.9</v>
      </c>
      <c r="O3979" s="415">
        <v>345.31</v>
      </c>
      <c r="P3979" s="415">
        <v>132.58000000000001</v>
      </c>
      <c r="Q3979" s="481">
        <f t="shared" si="108"/>
        <v>-340.771137694</v>
      </c>
    </row>
    <row r="3980" spans="1:17" x14ac:dyDescent="0.3">
      <c r="A3980" s="366" t="str">
        <f>IFERROR(VLOOKUP(RIGHT(E3980,3)+0,[1]SchLocTable!$A$2:$B$47,2,FALSE)," ")</f>
        <v xml:space="preserve"> </v>
      </c>
      <c r="B3980" s="366" t="str">
        <f>VLOOKUP(VALUE(D3980),$D$3:F$106,3,FALSE)</f>
        <v>Trades</v>
      </c>
      <c r="C3980" t="s">
        <v>314</v>
      </c>
      <c r="D3980">
        <v>886</v>
      </c>
      <c r="E3980" t="s">
        <v>1149</v>
      </c>
      <c r="F3980" t="s">
        <v>392</v>
      </c>
      <c r="G3980" t="s">
        <v>319</v>
      </c>
      <c r="H3980" s="502">
        <v>52504</v>
      </c>
      <c r="I3980" s="415">
        <v>4883.6029250215997</v>
      </c>
      <c r="J3980" s="415">
        <v>0</v>
      </c>
      <c r="K3980" s="415">
        <v>3336.89</v>
      </c>
      <c r="L3980" s="415">
        <v>2643.7</v>
      </c>
      <c r="M3980" s="415">
        <v>395.52</v>
      </c>
      <c r="N3980" s="415">
        <v>2913.91</v>
      </c>
      <c r="O3980" s="415">
        <v>4153.91</v>
      </c>
      <c r="P3980" s="415">
        <v>1398.18</v>
      </c>
      <c r="Q3980" s="481">
        <f t="shared" si="108"/>
        <v>-4883.6029250215997</v>
      </c>
    </row>
    <row r="3981" spans="1:17" x14ac:dyDescent="0.3">
      <c r="A3981" s="366" t="str">
        <f>IFERROR(VLOOKUP(RIGHT(E3981,3)+0,[1]SchLocTable!$A$2:$B$47,2,FALSE)," ")</f>
        <v xml:space="preserve"> </v>
      </c>
      <c r="B3981" s="366" t="str">
        <f>VLOOKUP(VALUE(D3981),$D$3:F$106,3,FALSE)</f>
        <v>Trades</v>
      </c>
      <c r="C3981" t="s">
        <v>314</v>
      </c>
      <c r="D3981">
        <v>886</v>
      </c>
      <c r="E3981" t="s">
        <v>1149</v>
      </c>
      <c r="F3981" t="s">
        <v>452</v>
      </c>
      <c r="G3981" t="s">
        <v>319</v>
      </c>
      <c r="H3981" s="502">
        <v>51108</v>
      </c>
      <c r="I3981" s="415">
        <v>8788.9515999999985</v>
      </c>
      <c r="J3981" s="415">
        <v>0</v>
      </c>
      <c r="K3981" s="415">
        <v>9671.0400000000009</v>
      </c>
      <c r="L3981" s="415">
        <v>12965.76</v>
      </c>
      <c r="M3981" s="415">
        <v>1832.85</v>
      </c>
      <c r="N3981" s="415">
        <v>12771.41</v>
      </c>
      <c r="O3981" s="415">
        <v>21199.86</v>
      </c>
      <c r="P3981" s="415">
        <v>8649.89</v>
      </c>
      <c r="Q3981" s="481">
        <f t="shared" si="108"/>
        <v>-8788.9515999999985</v>
      </c>
    </row>
    <row r="3982" spans="1:17" x14ac:dyDescent="0.3">
      <c r="A3982" s="366" t="str">
        <f>IFERROR(VLOOKUP(RIGHT(E3982,3)+0,[1]SchLocTable!$A$2:$B$47,2,FALSE)," ")</f>
        <v xml:space="preserve"> </v>
      </c>
      <c r="B3982" s="366" t="str">
        <f>VLOOKUP(VALUE(D3982),$D$3:F$106,3,FALSE)</f>
        <v>Trades</v>
      </c>
      <c r="C3982" t="s">
        <v>314</v>
      </c>
      <c r="D3982">
        <v>886</v>
      </c>
      <c r="E3982" t="s">
        <v>1149</v>
      </c>
      <c r="F3982" t="s">
        <v>483</v>
      </c>
      <c r="G3982" t="s">
        <v>319</v>
      </c>
      <c r="H3982" s="502">
        <v>51122</v>
      </c>
      <c r="I3982" s="415">
        <v>7946.0497584000022</v>
      </c>
      <c r="J3982" s="415">
        <v>0</v>
      </c>
      <c r="K3982" s="415">
        <v>0</v>
      </c>
      <c r="L3982" s="415">
        <v>0</v>
      </c>
      <c r="M3982" s="415">
        <v>0</v>
      </c>
      <c r="N3982" s="415">
        <v>2228.9699999999998</v>
      </c>
      <c r="O3982" s="415">
        <v>3973.14</v>
      </c>
      <c r="P3982" s="415">
        <v>698.93</v>
      </c>
      <c r="Q3982" s="481">
        <f t="shared" si="108"/>
        <v>-7946.0497584000022</v>
      </c>
    </row>
    <row r="3983" spans="1:17" x14ac:dyDescent="0.3">
      <c r="A3983" s="366" t="str">
        <f>IFERROR(VLOOKUP(RIGHT(E3983,3)+0,[1]SchLocTable!$A$2:$B$47,2,FALSE)," ")</f>
        <v xml:space="preserve"> </v>
      </c>
      <c r="B3983" s="366" t="str">
        <f>VLOOKUP(VALUE(D3983),$D$3:F$106,3,FALSE)</f>
        <v>Custodians</v>
      </c>
      <c r="C3983" t="s">
        <v>314</v>
      </c>
      <c r="D3983">
        <v>887</v>
      </c>
      <c r="E3983" t="s">
        <v>1150</v>
      </c>
      <c r="F3983" t="s">
        <v>316</v>
      </c>
      <c r="G3983">
        <v>10</v>
      </c>
      <c r="H3983" s="502">
        <v>51000</v>
      </c>
      <c r="I3983" s="415">
        <v>525328.78382400004</v>
      </c>
      <c r="J3983" s="415">
        <v>113277</v>
      </c>
      <c r="K3983" s="415">
        <v>0</v>
      </c>
      <c r="L3983" s="415">
        <v>138987.97</v>
      </c>
      <c r="M3983" s="415">
        <v>154126.45000000001</v>
      </c>
      <c r="N3983" s="415">
        <v>109423.27</v>
      </c>
      <c r="O3983" s="415">
        <v>196932.51</v>
      </c>
      <c r="P3983" s="415">
        <v>176186.17</v>
      </c>
      <c r="Q3983" s="481">
        <f t="shared" si="108"/>
        <v>-412051.78382400004</v>
      </c>
    </row>
    <row r="3984" spans="1:17" x14ac:dyDescent="0.3">
      <c r="A3984" s="366" t="str">
        <f>IFERROR(VLOOKUP(RIGHT(E3984,3)+0,[1]SchLocTable!$A$2:$B$47,2,FALSE)," ")</f>
        <v xml:space="preserve"> </v>
      </c>
      <c r="B3984" s="366" t="str">
        <f>VLOOKUP(VALUE(D3984),$D$3:F$106,3,FALSE)</f>
        <v>Custodians</v>
      </c>
      <c r="C3984" t="s">
        <v>314</v>
      </c>
      <c r="D3984">
        <v>887</v>
      </c>
      <c r="E3984" t="s">
        <v>1150</v>
      </c>
      <c r="F3984" t="s">
        <v>360</v>
      </c>
      <c r="G3984" t="s">
        <v>319</v>
      </c>
      <c r="H3984" s="502">
        <v>52920</v>
      </c>
      <c r="I3984" s="415">
        <v>7000</v>
      </c>
      <c r="J3984" s="415">
        <v>1000</v>
      </c>
      <c r="K3984" s="415">
        <v>1000</v>
      </c>
      <c r="L3984" s="415">
        <v>500</v>
      </c>
      <c r="M3984" s="415">
        <v>2000.02</v>
      </c>
      <c r="N3984" s="415">
        <v>41.67</v>
      </c>
      <c r="O3984" s="415">
        <v>0</v>
      </c>
      <c r="P3984" s="415">
        <v>0</v>
      </c>
      <c r="Q3984" s="481">
        <f t="shared" si="108"/>
        <v>-6000</v>
      </c>
    </row>
    <row r="3985" spans="1:18" x14ac:dyDescent="0.3">
      <c r="A3985" s="366" t="str">
        <f>IFERROR(VLOOKUP(RIGHT(E3985,3)+0,[1]SchLocTable!$A$2:$B$47,2,FALSE)," ")</f>
        <v xml:space="preserve"> </v>
      </c>
      <c r="B3985" s="366" t="str">
        <f>VLOOKUP(VALUE(D3985),$D$3:F$106,3,FALSE)</f>
        <v>Custodians</v>
      </c>
      <c r="C3985" t="s">
        <v>314</v>
      </c>
      <c r="D3985">
        <v>887</v>
      </c>
      <c r="E3985" t="s">
        <v>1150</v>
      </c>
      <c r="F3985" t="s">
        <v>321</v>
      </c>
      <c r="G3985" t="s">
        <v>319</v>
      </c>
      <c r="H3985" s="502">
        <v>52917</v>
      </c>
      <c r="I3985" s="415">
        <v>121191.40800000001</v>
      </c>
      <c r="J3985" s="415">
        <v>37710</v>
      </c>
      <c r="K3985" s="415">
        <v>34371.18</v>
      </c>
      <c r="L3985" s="415">
        <v>39098.86</v>
      </c>
      <c r="M3985" s="415">
        <v>46475.839999999997</v>
      </c>
      <c r="N3985" s="415">
        <v>45410.38</v>
      </c>
      <c r="O3985" s="415">
        <v>52973.15</v>
      </c>
      <c r="P3985" s="415">
        <v>45673.18</v>
      </c>
      <c r="Q3985" s="481">
        <f t="shared" si="108"/>
        <v>-83481.40800000001</v>
      </c>
    </row>
    <row r="3986" spans="1:18" x14ac:dyDescent="0.3">
      <c r="A3986" s="366" t="str">
        <f>IFERROR(VLOOKUP(RIGHT(E3986,3)+0,[1]SchLocTable!$A$2:$B$47,2,FALSE)," ")</f>
        <v xml:space="preserve"> </v>
      </c>
      <c r="B3986" s="366" t="str">
        <f>VLOOKUP(VALUE(D3986),$D$3:F$106,3,FALSE)</f>
        <v>Custodians</v>
      </c>
      <c r="C3986" t="s">
        <v>314</v>
      </c>
      <c r="D3986">
        <v>887</v>
      </c>
      <c r="E3986" t="s">
        <v>1150</v>
      </c>
      <c r="F3986" t="s">
        <v>1087</v>
      </c>
      <c r="G3986" t="s">
        <v>319</v>
      </c>
      <c r="H3986" s="502">
        <v>51116</v>
      </c>
      <c r="I3986" s="415">
        <v>0</v>
      </c>
      <c r="J3986" s="415">
        <v>0</v>
      </c>
      <c r="K3986" s="415">
        <v>0</v>
      </c>
      <c r="L3986" s="415">
        <v>79.05</v>
      </c>
      <c r="M3986" s="415">
        <v>0</v>
      </c>
      <c r="N3986" s="415">
        <v>0</v>
      </c>
      <c r="O3986" s="415">
        <v>0</v>
      </c>
      <c r="P3986" s="415">
        <v>0</v>
      </c>
      <c r="Q3986" s="481">
        <f t="shared" si="108"/>
        <v>0</v>
      </c>
    </row>
    <row r="3987" spans="1:18" x14ac:dyDescent="0.3">
      <c r="A3987" s="366" t="str">
        <f>IFERROR(VLOOKUP(RIGHT(E3987,3)+0,[1]SchLocTable!$A$2:$B$47,2,FALSE)," ")</f>
        <v xml:space="preserve"> </v>
      </c>
      <c r="B3987" s="366" t="str">
        <f>VLOOKUP(VALUE(D3987),$D$3:F$106,3,FALSE)</f>
        <v>Custodians</v>
      </c>
      <c r="C3987" t="s">
        <v>314</v>
      </c>
      <c r="D3987">
        <v>887</v>
      </c>
      <c r="E3987" t="s">
        <v>1150</v>
      </c>
      <c r="F3987" t="s">
        <v>318</v>
      </c>
      <c r="G3987" t="s">
        <v>319</v>
      </c>
      <c r="H3987" s="502">
        <v>51140</v>
      </c>
      <c r="I3987" s="415">
        <v>4050</v>
      </c>
      <c r="J3987" s="415">
        <v>0</v>
      </c>
      <c r="K3987" s="415">
        <v>2250</v>
      </c>
      <c r="L3987" s="415">
        <v>4425</v>
      </c>
      <c r="M3987" s="415">
        <v>4275</v>
      </c>
      <c r="N3987" s="415">
        <v>4125</v>
      </c>
      <c r="O3987" s="415">
        <v>3975</v>
      </c>
      <c r="P3987" s="415">
        <v>3825</v>
      </c>
      <c r="Q3987" s="481">
        <f t="shared" si="108"/>
        <v>-4050</v>
      </c>
    </row>
    <row r="3988" spans="1:18" x14ac:dyDescent="0.3">
      <c r="A3988" s="366" t="str">
        <f>IFERROR(VLOOKUP(RIGHT(E3988,3)+0,[1]SchLocTable!$A$2:$B$47,2,FALSE)," ")</f>
        <v xml:space="preserve"> </v>
      </c>
      <c r="B3988" s="366" t="str">
        <f>VLOOKUP(VALUE(D3988),$D$3:F$106,3,FALSE)</f>
        <v>Custodians</v>
      </c>
      <c r="C3988" t="s">
        <v>314</v>
      </c>
      <c r="D3988">
        <v>887</v>
      </c>
      <c r="E3988" t="s">
        <v>1150</v>
      </c>
      <c r="F3988" t="s">
        <v>320</v>
      </c>
      <c r="G3988" t="s">
        <v>319</v>
      </c>
      <c r="H3988" s="502">
        <v>52360</v>
      </c>
      <c r="I3988" s="415">
        <v>8993.3614862220002</v>
      </c>
      <c r="J3988" s="415">
        <v>1500</v>
      </c>
      <c r="K3988" s="415">
        <v>2570.44</v>
      </c>
      <c r="L3988" s="415">
        <v>2162.46</v>
      </c>
      <c r="M3988" s="415">
        <v>2615.08</v>
      </c>
      <c r="N3988" s="415">
        <v>2288.0100000000002</v>
      </c>
      <c r="O3988" s="415">
        <v>2803.63</v>
      </c>
      <c r="P3988" s="415">
        <v>3951.23</v>
      </c>
      <c r="Q3988" s="481">
        <f t="shared" si="108"/>
        <v>-7493.3614862220002</v>
      </c>
    </row>
    <row r="3989" spans="1:18" x14ac:dyDescent="0.3">
      <c r="A3989" s="366" t="str">
        <f>IFERROR(VLOOKUP(RIGHT(E3989,3)+0,[1]SchLocTable!$A$2:$B$47,2,FALSE)," ")</f>
        <v xml:space="preserve"> </v>
      </c>
      <c r="B3989" s="366" t="str">
        <f>VLOOKUP(VALUE(D3989),$D$3:F$106,3,FALSE)</f>
        <v>Custodians</v>
      </c>
      <c r="C3989" t="s">
        <v>314</v>
      </c>
      <c r="D3989">
        <v>887</v>
      </c>
      <c r="E3989" t="s">
        <v>1150</v>
      </c>
      <c r="F3989" t="s">
        <v>392</v>
      </c>
      <c r="G3989" t="s">
        <v>319</v>
      </c>
      <c r="H3989" s="502">
        <v>52504</v>
      </c>
      <c r="I3989" s="415">
        <v>128884.17357496083</v>
      </c>
      <c r="J3989" s="415">
        <v>24022</v>
      </c>
      <c r="K3989" s="415">
        <v>37961.01</v>
      </c>
      <c r="L3989" s="415">
        <v>35555.449999999997</v>
      </c>
      <c r="M3989" s="415">
        <v>34036.99</v>
      </c>
      <c r="N3989" s="415">
        <v>28222.31</v>
      </c>
      <c r="O3989" s="415">
        <v>32346.49</v>
      </c>
      <c r="P3989" s="415">
        <v>40739.64</v>
      </c>
      <c r="Q3989" s="481">
        <f t="shared" si="108"/>
        <v>-104862.17357496083</v>
      </c>
    </row>
    <row r="3990" spans="1:18" x14ac:dyDescent="0.3">
      <c r="A3990" s="366" t="str">
        <f>IFERROR(VLOOKUP(RIGHT(E3990,3)+0,[1]SchLocTable!$A$2:$B$47,2,FALSE)," ")</f>
        <v xml:space="preserve"> </v>
      </c>
      <c r="B3990" s="366" t="str">
        <f>VLOOKUP(VALUE(D3990),$D$3:F$106,3,FALSE)</f>
        <v>Custodians</v>
      </c>
      <c r="C3990" t="s">
        <v>314</v>
      </c>
      <c r="D3990">
        <v>887</v>
      </c>
      <c r="E3990" t="s">
        <v>1150</v>
      </c>
      <c r="F3990" t="s">
        <v>1090</v>
      </c>
      <c r="G3990" t="s">
        <v>319</v>
      </c>
      <c r="H3990" s="502">
        <v>51138</v>
      </c>
      <c r="I3990" s="415">
        <v>14392.006200000002</v>
      </c>
      <c r="J3990" s="415">
        <v>4803.05</v>
      </c>
      <c r="K3990" s="415">
        <v>930.6</v>
      </c>
      <c r="L3990" s="415">
        <v>431.5</v>
      </c>
      <c r="M3990" s="415">
        <v>3843.57</v>
      </c>
      <c r="N3990" s="415">
        <v>615.25</v>
      </c>
      <c r="O3990" s="415">
        <v>1068.05</v>
      </c>
      <c r="P3990" s="415">
        <v>1054.81</v>
      </c>
      <c r="Q3990" s="481">
        <f t="shared" si="108"/>
        <v>-9588.9562000000005</v>
      </c>
    </row>
    <row r="3991" spans="1:18" x14ac:dyDescent="0.3">
      <c r="A3991" s="366" t="str">
        <f>IFERROR(VLOOKUP(RIGHT(E3991,3)+0,[1]SchLocTable!$A$2:$B$47,2,FALSE)," ")</f>
        <v xml:space="preserve"> </v>
      </c>
      <c r="B3991" s="366" t="str">
        <f>VLOOKUP(VALUE(D3991),$D$3:F$106,3,FALSE)</f>
        <v>Custodians</v>
      </c>
      <c r="C3991" t="s">
        <v>314</v>
      </c>
      <c r="D3991">
        <v>887</v>
      </c>
      <c r="E3991" t="s">
        <v>1150</v>
      </c>
      <c r="F3991" t="s">
        <v>419</v>
      </c>
      <c r="G3991" t="s">
        <v>319</v>
      </c>
      <c r="H3991" s="502">
        <v>51318</v>
      </c>
      <c r="I3991" s="415">
        <v>0</v>
      </c>
      <c r="J3991" s="415">
        <v>0</v>
      </c>
      <c r="K3991" s="415">
        <v>0</v>
      </c>
      <c r="L3991" s="415">
        <v>0</v>
      </c>
      <c r="M3991" s="415">
        <v>490.05</v>
      </c>
      <c r="N3991" s="415">
        <v>0</v>
      </c>
      <c r="O3991" s="415">
        <v>0</v>
      </c>
      <c r="P3991" s="415">
        <v>0</v>
      </c>
      <c r="Q3991" s="481">
        <f t="shared" si="108"/>
        <v>0</v>
      </c>
    </row>
    <row r="3992" spans="1:18" x14ac:dyDescent="0.3">
      <c r="A3992" s="366" t="str">
        <f>IFERROR(VLOOKUP(RIGHT(E3992,3)+0,[1]SchLocTable!$A$2:$B$47,2,FALSE)," ")</f>
        <v xml:space="preserve"> </v>
      </c>
      <c r="B3992" s="366" t="str">
        <f>VLOOKUP(VALUE(D3992),$D$3:F$106,3,FALSE)</f>
        <v>Custodians</v>
      </c>
      <c r="C3992" t="s">
        <v>314</v>
      </c>
      <c r="D3992">
        <v>887</v>
      </c>
      <c r="E3992" t="s">
        <v>1150</v>
      </c>
      <c r="F3992" t="s">
        <v>452</v>
      </c>
      <c r="G3992" t="s">
        <v>319</v>
      </c>
      <c r="H3992" s="502">
        <v>51108</v>
      </c>
      <c r="I3992" s="415">
        <v>13879.639799999997</v>
      </c>
      <c r="J3992" s="415">
        <v>0</v>
      </c>
      <c r="K3992" s="415">
        <v>0</v>
      </c>
      <c r="L3992" s="415">
        <v>0</v>
      </c>
      <c r="M3992" s="415">
        <v>0</v>
      </c>
      <c r="N3992" s="415">
        <v>0</v>
      </c>
      <c r="O3992" s="415">
        <v>217.28</v>
      </c>
      <c r="P3992" s="415">
        <v>0</v>
      </c>
      <c r="Q3992" s="481">
        <f t="shared" si="108"/>
        <v>-13879.639799999997</v>
      </c>
    </row>
    <row r="3993" spans="1:18" x14ac:dyDescent="0.3">
      <c r="A3993" s="366" t="str">
        <f>IFERROR(VLOOKUP(RIGHT(E3993,3)+0,[1]SchLocTable!$A$2:$B$47,2,FALSE)," ")</f>
        <v xml:space="preserve"> </v>
      </c>
      <c r="B3993" s="366" t="str">
        <f>VLOOKUP(VALUE(D3993),$D$3:F$106,3,FALSE)</f>
        <v>Custodians</v>
      </c>
      <c r="C3993" t="s">
        <v>314</v>
      </c>
      <c r="D3993">
        <v>887</v>
      </c>
      <c r="E3993" t="s">
        <v>1150</v>
      </c>
      <c r="F3993" t="s">
        <v>483</v>
      </c>
      <c r="G3993" t="s">
        <v>319</v>
      </c>
      <c r="H3993" s="502">
        <v>51122</v>
      </c>
      <c r="I3993" s="415">
        <v>21846.007726400003</v>
      </c>
      <c r="J3993" s="415">
        <v>14.52</v>
      </c>
      <c r="K3993" s="415">
        <v>29257.46</v>
      </c>
      <c r="L3993" s="415">
        <v>3305.95</v>
      </c>
      <c r="M3993" s="415">
        <v>15028.25</v>
      </c>
      <c r="N3993" s="415">
        <v>0</v>
      </c>
      <c r="O3993" s="415">
        <v>3907.77</v>
      </c>
      <c r="P3993" s="415">
        <v>38170.79</v>
      </c>
      <c r="Q3993" s="481">
        <f t="shared" si="108"/>
        <v>-21831.487726400002</v>
      </c>
    </row>
    <row r="3994" spans="1:18" x14ac:dyDescent="0.3">
      <c r="A3994" s="366" t="str">
        <f>IFERROR(VLOOKUP(RIGHT(E3994,3)+0,[1]SchLocTable!$A$2:$B$47,2,FALSE)," ")</f>
        <v xml:space="preserve"> </v>
      </c>
      <c r="B3994" s="366" t="str">
        <f>VLOOKUP(VALUE(D3994),$D$3:F$106,3,FALSE)</f>
        <v>Custodians</v>
      </c>
      <c r="C3994" t="s">
        <v>314</v>
      </c>
      <c r="D3994">
        <v>887</v>
      </c>
      <c r="E3994" t="s">
        <v>1150</v>
      </c>
      <c r="F3994" t="s">
        <v>324</v>
      </c>
      <c r="G3994" t="s">
        <v>319</v>
      </c>
      <c r="H3994" s="502">
        <v>52385</v>
      </c>
      <c r="I3994" s="415">
        <v>0</v>
      </c>
      <c r="J3994" s="415">
        <v>0</v>
      </c>
      <c r="K3994" s="415">
        <v>0</v>
      </c>
      <c r="L3994" s="415">
        <v>252.27</v>
      </c>
      <c r="M3994" s="415">
        <v>1339.65</v>
      </c>
      <c r="N3994" s="415">
        <v>293.83999999999997</v>
      </c>
      <c r="O3994" s="415">
        <v>550.55999999999995</v>
      </c>
      <c r="P3994" s="415">
        <v>630.03</v>
      </c>
      <c r="Q3994" s="481">
        <f t="shared" si="108"/>
        <v>0</v>
      </c>
    </row>
    <row r="3995" spans="1:18" x14ac:dyDescent="0.3">
      <c r="A3995" s="366" t="str">
        <f>IFERROR(VLOOKUP(RIGHT(E3995,3)+0,[1]SchLocTable!$A$2:$B$47,2,FALSE)," ")</f>
        <v xml:space="preserve"> </v>
      </c>
      <c r="B3995" s="366" t="str">
        <f>VLOOKUP(VALUE(D3995),$D$3:F$106,3,FALSE)</f>
        <v>Custodians</v>
      </c>
      <c r="C3995" t="s">
        <v>314</v>
      </c>
      <c r="D3995">
        <v>887</v>
      </c>
      <c r="E3995" t="s">
        <v>1150</v>
      </c>
      <c r="F3995" t="s">
        <v>1082</v>
      </c>
      <c r="G3995" t="s">
        <v>319</v>
      </c>
      <c r="H3995" s="502">
        <v>51155</v>
      </c>
      <c r="I3995" s="415">
        <v>0</v>
      </c>
      <c r="J3995" s="415">
        <v>0</v>
      </c>
      <c r="K3995" s="415">
        <v>274.57</v>
      </c>
      <c r="L3995" s="415">
        <v>0</v>
      </c>
      <c r="M3995" s="415">
        <v>0</v>
      </c>
      <c r="N3995" s="415">
        <v>0</v>
      </c>
      <c r="O3995" s="415">
        <v>0</v>
      </c>
      <c r="P3995" s="415">
        <v>0</v>
      </c>
      <c r="Q3995" s="481">
        <f t="shared" si="108"/>
        <v>0</v>
      </c>
    </row>
    <row r="3996" spans="1:18" x14ac:dyDescent="0.3">
      <c r="A3996" s="366" t="str">
        <f>IFERROR(VLOOKUP(RIGHT(E3996,3)+0,[1]SchLocTable!$A$2:$B$47,2,FALSE)," ")</f>
        <v xml:space="preserve"> </v>
      </c>
      <c r="B3996" s="366" t="str">
        <f>VLOOKUP(VALUE(D3996),$D$3:F$106,3,FALSE)</f>
        <v>Custodians</v>
      </c>
      <c r="C3996" t="s">
        <v>314</v>
      </c>
      <c r="D3996">
        <v>887</v>
      </c>
      <c r="E3996" t="s">
        <v>1150</v>
      </c>
      <c r="F3996" t="s">
        <v>356</v>
      </c>
      <c r="G3996" t="s">
        <v>319</v>
      </c>
      <c r="H3996" s="502">
        <v>51156</v>
      </c>
      <c r="I3996" s="415">
        <v>0</v>
      </c>
      <c r="J3996" s="415">
        <v>0</v>
      </c>
      <c r="K3996" s="415">
        <v>2745.66</v>
      </c>
      <c r="L3996" s="415">
        <v>2588.04</v>
      </c>
      <c r="M3996" s="415">
        <v>4981.34</v>
      </c>
      <c r="N3996" s="415">
        <v>3595.46</v>
      </c>
      <c r="O3996" s="415">
        <v>3464.92</v>
      </c>
      <c r="P3996" s="415">
        <v>3392.66</v>
      </c>
      <c r="Q3996" s="481">
        <f t="shared" si="108"/>
        <v>0</v>
      </c>
      <c r="R3996" s="393"/>
    </row>
    <row r="3997" spans="1:18" x14ac:dyDescent="0.3">
      <c r="A3997" s="366" t="str">
        <f>IFERROR(VLOOKUP(RIGHT(E3997,3)+0,[1]SchLocTable!$A$2:$B$47,2,FALSE)," ")</f>
        <v xml:space="preserve"> </v>
      </c>
      <c r="B3997" s="366" t="str">
        <f>VLOOKUP(VALUE(D3997),$D$3:F$106,3,FALSE)</f>
        <v>Custodians</v>
      </c>
      <c r="C3997" t="s">
        <v>314</v>
      </c>
      <c r="D3997">
        <v>887</v>
      </c>
      <c r="E3997" t="s">
        <v>1151</v>
      </c>
      <c r="F3997" t="s">
        <v>1087</v>
      </c>
      <c r="G3997" t="s">
        <v>319</v>
      </c>
      <c r="H3997" s="502">
        <v>51116</v>
      </c>
      <c r="I3997" s="415">
        <v>0</v>
      </c>
      <c r="J3997" s="415">
        <v>0</v>
      </c>
      <c r="K3997" s="415">
        <v>7933.93</v>
      </c>
      <c r="L3997" s="415">
        <v>0</v>
      </c>
      <c r="M3997" s="415">
        <v>0</v>
      </c>
      <c r="N3997" s="415">
        <v>172.76</v>
      </c>
      <c r="O3997" s="415">
        <v>0</v>
      </c>
      <c r="P3997" s="415">
        <v>0</v>
      </c>
      <c r="Q3997" s="481">
        <f t="shared" si="108"/>
        <v>0</v>
      </c>
      <c r="R3997" s="393"/>
    </row>
    <row r="3998" spans="1:18" x14ac:dyDescent="0.3">
      <c r="A3998" s="366" t="str">
        <f>IFERROR(VLOOKUP(RIGHT(E3998,3)+0,[1]SchLocTable!$A$2:$B$47,2,FALSE)," ")</f>
        <v xml:space="preserve"> </v>
      </c>
      <c r="B3998" s="366" t="str">
        <f>VLOOKUP(VALUE(D3998),$D$3:F$106,3,FALSE)</f>
        <v>Custodians</v>
      </c>
      <c r="C3998" t="s">
        <v>314</v>
      </c>
      <c r="D3998">
        <v>887</v>
      </c>
      <c r="E3998" t="s">
        <v>1151</v>
      </c>
      <c r="F3998" t="s">
        <v>320</v>
      </c>
      <c r="G3998" t="s">
        <v>319</v>
      </c>
      <c r="H3998" s="502">
        <v>52360</v>
      </c>
      <c r="I3998" s="415">
        <v>0</v>
      </c>
      <c r="J3998" s="415">
        <v>0</v>
      </c>
      <c r="K3998" s="415">
        <v>695.09</v>
      </c>
      <c r="L3998" s="415">
        <v>227.95</v>
      </c>
      <c r="M3998" s="415">
        <v>25.97</v>
      </c>
      <c r="N3998" s="415">
        <v>253.22</v>
      </c>
      <c r="O3998" s="415">
        <v>208.54</v>
      </c>
      <c r="P3998" s="415">
        <v>152.24</v>
      </c>
      <c r="Q3998" s="481">
        <f t="shared" si="108"/>
        <v>0</v>
      </c>
      <c r="R3998" s="393"/>
    </row>
    <row r="3999" spans="1:18" x14ac:dyDescent="0.3">
      <c r="A3999" s="366" t="str">
        <f>IFERROR(VLOOKUP(RIGHT(E3999,3)+0,[1]SchLocTable!$A$2:$B$47,2,FALSE)," ")</f>
        <v xml:space="preserve"> </v>
      </c>
      <c r="B3999" s="366" t="str">
        <f>VLOOKUP(VALUE(D3999),$D$3:F$106,3,FALSE)</f>
        <v>Custodians</v>
      </c>
      <c r="C3999" t="s">
        <v>314</v>
      </c>
      <c r="D3999">
        <v>887</v>
      </c>
      <c r="E3999" t="s">
        <v>1151</v>
      </c>
      <c r="F3999" t="s">
        <v>392</v>
      </c>
      <c r="G3999" t="s">
        <v>319</v>
      </c>
      <c r="H3999" s="502">
        <v>52504</v>
      </c>
      <c r="I3999" s="415">
        <v>0</v>
      </c>
      <c r="J3999" s="415">
        <v>0</v>
      </c>
      <c r="K3999" s="415">
        <v>9925.58</v>
      </c>
      <c r="L3999" s="415">
        <v>3212.27</v>
      </c>
      <c r="M3999" s="415">
        <v>406.88</v>
      </c>
      <c r="N3999" s="415">
        <v>3131.43</v>
      </c>
      <c r="O3999" s="415">
        <v>2357.12</v>
      </c>
      <c r="P3999" s="415">
        <v>1490</v>
      </c>
      <c r="Q3999" s="481">
        <f t="shared" si="108"/>
        <v>0</v>
      </c>
      <c r="R3999" s="393"/>
    </row>
    <row r="4000" spans="1:18" x14ac:dyDescent="0.3">
      <c r="A4000" s="366" t="str">
        <f>IFERROR(VLOOKUP(RIGHT(E4000,3)+0,[1]SchLocTable!$A$2:$B$47,2,FALSE)," ")</f>
        <v xml:space="preserve"> </v>
      </c>
      <c r="B4000" s="366" t="str">
        <f>VLOOKUP(VALUE(D4000),$D$3:F$106,3,FALSE)</f>
        <v>Custodians</v>
      </c>
      <c r="C4000" t="s">
        <v>314</v>
      </c>
      <c r="D4000">
        <v>887</v>
      </c>
      <c r="E4000" t="s">
        <v>1151</v>
      </c>
      <c r="F4000" t="s">
        <v>452</v>
      </c>
      <c r="G4000" t="s">
        <v>319</v>
      </c>
      <c r="H4000" s="502">
        <v>51108</v>
      </c>
      <c r="I4000" s="415">
        <v>0</v>
      </c>
      <c r="J4000" s="415">
        <v>0</v>
      </c>
      <c r="K4000" s="415">
        <v>37138.47</v>
      </c>
      <c r="L4000" s="415">
        <v>11099.64</v>
      </c>
      <c r="M4000" s="415">
        <v>58.76</v>
      </c>
      <c r="N4000" s="415">
        <v>15356.98</v>
      </c>
      <c r="O4000" s="415">
        <v>4521.1899999999996</v>
      </c>
      <c r="P4000" s="415">
        <v>9235.7900000000009</v>
      </c>
      <c r="Q4000" s="481">
        <f t="shared" si="108"/>
        <v>0</v>
      </c>
      <c r="R4000" s="393"/>
    </row>
    <row r="4001" spans="1:18" x14ac:dyDescent="0.3">
      <c r="A4001" s="366" t="str">
        <f>IFERROR(VLOOKUP(RIGHT(E4001,3)+0,[1]SchLocTable!$A$2:$B$47,2,FALSE)," ")</f>
        <v xml:space="preserve"> </v>
      </c>
      <c r="B4001" s="366" t="str">
        <f>VLOOKUP(VALUE(D4001),$D$3:F$106,3,FALSE)</f>
        <v>Custodians</v>
      </c>
      <c r="C4001" t="s">
        <v>314</v>
      </c>
      <c r="D4001">
        <v>887</v>
      </c>
      <c r="E4001" t="s">
        <v>1151</v>
      </c>
      <c r="F4001" t="s">
        <v>483</v>
      </c>
      <c r="G4001" t="s">
        <v>319</v>
      </c>
      <c r="H4001" s="502">
        <v>51122</v>
      </c>
      <c r="I4001" s="415">
        <v>0</v>
      </c>
      <c r="J4001" s="415">
        <v>0</v>
      </c>
      <c r="K4001" s="415">
        <v>3458.78</v>
      </c>
      <c r="L4001" s="415">
        <v>4875.55</v>
      </c>
      <c r="M4001" s="415">
        <v>1219.28</v>
      </c>
      <c r="N4001" s="415">
        <v>1944.05</v>
      </c>
      <c r="O4001" s="415">
        <v>9534.2199999999993</v>
      </c>
      <c r="P4001" s="415">
        <v>1226.52</v>
      </c>
      <c r="Q4001" s="481">
        <f t="shared" si="108"/>
        <v>0</v>
      </c>
      <c r="R4001" s="393"/>
    </row>
    <row r="4002" spans="1:18" x14ac:dyDescent="0.3">
      <c r="A4002" s="366" t="str">
        <f>IFERROR(VLOOKUP(RIGHT(E4002,3)+0,[1]SchLocTable!$A$2:$B$47,2,FALSE)," ")</f>
        <v xml:space="preserve"> </v>
      </c>
      <c r="B4002" s="366" t="str">
        <f>VLOOKUP(VALUE(D4002),$D$3:F$106,3,FALSE)</f>
        <v>Custodians</v>
      </c>
      <c r="C4002" t="s">
        <v>314</v>
      </c>
      <c r="D4002">
        <v>887</v>
      </c>
      <c r="E4002" t="s">
        <v>1151</v>
      </c>
      <c r="F4002" t="s">
        <v>1148</v>
      </c>
      <c r="G4002" t="s">
        <v>319</v>
      </c>
      <c r="H4002" s="502">
        <v>51124</v>
      </c>
      <c r="I4002" s="415">
        <v>0</v>
      </c>
      <c r="J4002" s="415">
        <v>0</v>
      </c>
      <c r="K4002" s="415">
        <v>366.94</v>
      </c>
      <c r="L4002" s="415">
        <v>0</v>
      </c>
      <c r="M4002" s="415">
        <v>0</v>
      </c>
      <c r="N4002" s="415">
        <v>0</v>
      </c>
      <c r="O4002" s="415">
        <v>0</v>
      </c>
      <c r="P4002" s="415">
        <v>0</v>
      </c>
      <c r="Q4002" s="481">
        <f t="shared" si="108"/>
        <v>0</v>
      </c>
      <c r="R4002" s="393"/>
    </row>
    <row r="4003" spans="1:18" x14ac:dyDescent="0.3">
      <c r="A4003" s="366" t="str">
        <f>IFERROR(VLOOKUP(RIGHT(E4003,3)+0,[1]SchLocTable!$A$2:$B$47,2,FALSE)," ")</f>
        <v xml:space="preserve"> </v>
      </c>
      <c r="B4003" s="366" t="str">
        <f>VLOOKUP(VALUE(D4003),$D$3:F$106,3,FALSE)</f>
        <v>Custodians</v>
      </c>
      <c r="C4003" t="s">
        <v>314</v>
      </c>
      <c r="D4003">
        <v>887</v>
      </c>
      <c r="E4003" t="s">
        <v>1151</v>
      </c>
      <c r="F4003" t="s">
        <v>324</v>
      </c>
      <c r="G4003" t="s">
        <v>319</v>
      </c>
      <c r="H4003" s="502">
        <v>52385</v>
      </c>
      <c r="I4003" s="415">
        <v>0</v>
      </c>
      <c r="J4003" s="415">
        <v>0</v>
      </c>
      <c r="K4003" s="415">
        <v>36.56</v>
      </c>
      <c r="L4003" s="415">
        <v>13.72</v>
      </c>
      <c r="M4003" s="415">
        <v>0</v>
      </c>
      <c r="N4003" s="415">
        <v>62.57</v>
      </c>
      <c r="O4003" s="415">
        <v>0</v>
      </c>
      <c r="P4003" s="415">
        <v>0</v>
      </c>
      <c r="Q4003" s="481">
        <f t="shared" si="108"/>
        <v>0</v>
      </c>
      <c r="R4003" s="393"/>
    </row>
    <row r="4004" spans="1:18" x14ac:dyDescent="0.3">
      <c r="A4004" s="366" t="str">
        <f>IFERROR(VLOOKUP(RIGHT(E4004,3)+0,[1]SchLocTable!$A$2:$B$47,2,FALSE)," ")</f>
        <v xml:space="preserve"> </v>
      </c>
      <c r="B4004" s="366" t="str">
        <f>VLOOKUP(VALUE(D4004),$D$3:F$106,3,FALSE)</f>
        <v>Custodians</v>
      </c>
      <c r="C4004" t="s">
        <v>314</v>
      </c>
      <c r="D4004">
        <v>887</v>
      </c>
      <c r="E4004" t="s">
        <v>1152</v>
      </c>
      <c r="F4004" t="s">
        <v>320</v>
      </c>
      <c r="G4004" t="s">
        <v>319</v>
      </c>
      <c r="H4004" s="502">
        <v>52360</v>
      </c>
      <c r="I4004" s="415">
        <v>0</v>
      </c>
      <c r="J4004" s="415">
        <v>0</v>
      </c>
      <c r="K4004" s="415">
        <v>59.48</v>
      </c>
      <c r="L4004" s="415">
        <v>0</v>
      </c>
      <c r="M4004" s="415">
        <v>0</v>
      </c>
      <c r="N4004" s="415">
        <v>0</v>
      </c>
      <c r="O4004" s="415">
        <v>0</v>
      </c>
      <c r="P4004" s="415">
        <v>0</v>
      </c>
      <c r="Q4004" s="481">
        <f t="shared" si="108"/>
        <v>0</v>
      </c>
      <c r="R4004" s="393"/>
    </row>
    <row r="4005" spans="1:18" x14ac:dyDescent="0.3">
      <c r="A4005" s="366" t="str">
        <f>IFERROR(VLOOKUP(RIGHT(E4005,3)+0,[1]SchLocTable!$A$2:$B$47,2,FALSE)," ")</f>
        <v xml:space="preserve"> </v>
      </c>
      <c r="B4005" s="366" t="str">
        <f>VLOOKUP(VALUE(D4005),$D$3:F$106,3,FALSE)</f>
        <v>Custodians</v>
      </c>
      <c r="C4005" t="s">
        <v>314</v>
      </c>
      <c r="D4005">
        <v>887</v>
      </c>
      <c r="E4005" t="s">
        <v>1152</v>
      </c>
      <c r="F4005" t="s">
        <v>392</v>
      </c>
      <c r="G4005" t="s">
        <v>319</v>
      </c>
      <c r="H4005" s="502">
        <v>52504</v>
      </c>
      <c r="I4005" s="415">
        <v>0</v>
      </c>
      <c r="J4005" s="415">
        <v>0</v>
      </c>
      <c r="K4005" s="415">
        <v>849.5</v>
      </c>
      <c r="L4005" s="415">
        <v>0</v>
      </c>
      <c r="M4005" s="415">
        <v>0</v>
      </c>
      <c r="N4005" s="415">
        <v>0</v>
      </c>
      <c r="O4005" s="415">
        <v>0</v>
      </c>
      <c r="P4005" s="415">
        <v>0</v>
      </c>
      <c r="Q4005" s="481">
        <f t="shared" si="108"/>
        <v>0</v>
      </c>
      <c r="R4005" s="393"/>
    </row>
    <row r="4006" spans="1:18" x14ac:dyDescent="0.3">
      <c r="A4006" s="366" t="str">
        <f>IFERROR(VLOOKUP(RIGHT(E4006,3)+0,[1]SchLocTable!$A$2:$B$47,2,FALSE)," ")</f>
        <v xml:space="preserve"> </v>
      </c>
      <c r="B4006" s="366" t="str">
        <f>VLOOKUP(VALUE(D4006),$D$3:F$106,3,FALSE)</f>
        <v>Custodians</v>
      </c>
      <c r="C4006" t="s">
        <v>314</v>
      </c>
      <c r="D4006">
        <v>887</v>
      </c>
      <c r="E4006" t="s">
        <v>1152</v>
      </c>
      <c r="F4006" t="s">
        <v>452</v>
      </c>
      <c r="G4006" t="s">
        <v>319</v>
      </c>
      <c r="H4006" s="502">
        <v>51108</v>
      </c>
      <c r="I4006" s="415">
        <v>0</v>
      </c>
      <c r="J4006" s="415">
        <v>0</v>
      </c>
      <c r="K4006" s="415">
        <v>47.61</v>
      </c>
      <c r="L4006" s="415">
        <v>0</v>
      </c>
      <c r="M4006" s="415">
        <v>0</v>
      </c>
      <c r="N4006" s="415">
        <v>0</v>
      </c>
      <c r="O4006" s="415">
        <v>0</v>
      </c>
      <c r="P4006" s="415">
        <v>0</v>
      </c>
      <c r="Q4006" s="481">
        <f t="shared" si="108"/>
        <v>0</v>
      </c>
      <c r="R4006" s="393"/>
    </row>
    <row r="4007" spans="1:18" x14ac:dyDescent="0.3">
      <c r="A4007" s="366" t="str">
        <f>IFERROR(VLOOKUP(RIGHT(E4007,3)+0,[1]SchLocTable!$A$2:$B$47,2,FALSE)," ")</f>
        <v xml:space="preserve"> </v>
      </c>
      <c r="B4007" s="366" t="str">
        <f>VLOOKUP(VALUE(D4007),$D$3:F$106,3,FALSE)</f>
        <v>Custodians</v>
      </c>
      <c r="C4007" t="s">
        <v>314</v>
      </c>
      <c r="D4007">
        <v>887</v>
      </c>
      <c r="E4007" t="s">
        <v>1152</v>
      </c>
      <c r="F4007" t="s">
        <v>483</v>
      </c>
      <c r="G4007" t="s">
        <v>319</v>
      </c>
      <c r="H4007" s="502">
        <v>51122</v>
      </c>
      <c r="I4007" s="415">
        <v>24913.075200000003</v>
      </c>
      <c r="J4007" s="415">
        <v>0</v>
      </c>
      <c r="K4007" s="415">
        <v>4078.17</v>
      </c>
      <c r="L4007" s="415">
        <v>0</v>
      </c>
      <c r="M4007" s="415">
        <v>0</v>
      </c>
      <c r="N4007" s="415">
        <v>0</v>
      </c>
      <c r="O4007" s="415">
        <v>0</v>
      </c>
      <c r="P4007" s="415">
        <v>0</v>
      </c>
      <c r="Q4007" s="481">
        <f t="shared" si="108"/>
        <v>-24913.075200000003</v>
      </c>
      <c r="R4007" s="393"/>
    </row>
    <row r="4008" spans="1:18" x14ac:dyDescent="0.3">
      <c r="A4008" s="366" t="str">
        <f>IFERROR(VLOOKUP(RIGHT(E4008,3)+0,[1]SchLocTable!$A$2:$B$47,2,FALSE)," ")</f>
        <v xml:space="preserve"> </v>
      </c>
      <c r="B4008" s="366" t="str">
        <f>VLOOKUP(VALUE(D4008),$D$3:F$106,3,FALSE)</f>
        <v>Custodians</v>
      </c>
      <c r="C4008" t="s">
        <v>314</v>
      </c>
      <c r="D4008">
        <v>887</v>
      </c>
      <c r="E4008" t="s">
        <v>1152</v>
      </c>
      <c r="F4008" t="s">
        <v>324</v>
      </c>
      <c r="G4008" t="s">
        <v>319</v>
      </c>
      <c r="H4008" s="502">
        <v>52385</v>
      </c>
      <c r="I4008" s="415">
        <v>0</v>
      </c>
      <c r="J4008" s="415">
        <v>0</v>
      </c>
      <c r="K4008" s="415">
        <v>0</v>
      </c>
      <c r="L4008" s="415">
        <v>0</v>
      </c>
      <c r="M4008" s="415">
        <v>0</v>
      </c>
      <c r="N4008" s="415">
        <v>0</v>
      </c>
      <c r="O4008" s="415">
        <v>0</v>
      </c>
      <c r="P4008" s="415">
        <v>0</v>
      </c>
      <c r="Q4008" s="481">
        <f t="shared" si="108"/>
        <v>0</v>
      </c>
      <c r="R4008" s="393"/>
    </row>
    <row r="4009" spans="1:18" x14ac:dyDescent="0.3">
      <c r="A4009" s="366" t="str">
        <f>IFERROR(VLOOKUP(RIGHT(E4009,3)+0,[1]SchLocTable!$A$2:$B$47,2,FALSE)," ")</f>
        <v xml:space="preserve"> </v>
      </c>
      <c r="B4009" s="366" t="str">
        <f>VLOOKUP(VALUE(D4009),$D$3:F$106,3,FALSE)</f>
        <v>Custodians</v>
      </c>
      <c r="C4009" t="s">
        <v>314</v>
      </c>
      <c r="D4009">
        <v>887</v>
      </c>
      <c r="E4009" t="s">
        <v>1153</v>
      </c>
      <c r="F4009" t="s">
        <v>321</v>
      </c>
      <c r="G4009" t="s">
        <v>319</v>
      </c>
      <c r="H4009" s="502">
        <v>52917</v>
      </c>
      <c r="I4009" s="415">
        <v>0</v>
      </c>
      <c r="J4009" s="415">
        <v>0</v>
      </c>
      <c r="K4009" s="415">
        <v>0</v>
      </c>
      <c r="L4009" s="415">
        <v>0</v>
      </c>
      <c r="M4009" s="415">
        <v>58.4</v>
      </c>
      <c r="N4009" s="415">
        <v>0</v>
      </c>
      <c r="O4009" s="415">
        <v>0</v>
      </c>
      <c r="P4009" s="415">
        <v>0</v>
      </c>
      <c r="Q4009" s="481">
        <f t="shared" si="108"/>
        <v>0</v>
      </c>
      <c r="R4009" s="393"/>
    </row>
    <row r="4010" spans="1:18" x14ac:dyDescent="0.3">
      <c r="A4010" s="366" t="str">
        <f>IFERROR(VLOOKUP(RIGHT(E4010,3)+0,[1]SchLocTable!$A$2:$B$47,2,FALSE)," ")</f>
        <v xml:space="preserve"> </v>
      </c>
      <c r="B4010" s="366" t="str">
        <f>VLOOKUP(VALUE(D4010),$D$3:F$106,3,FALSE)</f>
        <v>Custodians</v>
      </c>
      <c r="C4010" t="s">
        <v>314</v>
      </c>
      <c r="D4010">
        <v>887</v>
      </c>
      <c r="E4010" t="s">
        <v>1153</v>
      </c>
      <c r="F4010" t="s">
        <v>1087</v>
      </c>
      <c r="G4010" t="s">
        <v>319</v>
      </c>
      <c r="H4010" s="502">
        <v>51116</v>
      </c>
      <c r="I4010" s="415">
        <v>72.820999999999998</v>
      </c>
      <c r="J4010" s="415">
        <v>0</v>
      </c>
      <c r="K4010" s="415">
        <v>0</v>
      </c>
      <c r="L4010" s="415">
        <v>1099.33</v>
      </c>
      <c r="M4010" s="415">
        <v>1391.06</v>
      </c>
      <c r="N4010" s="415">
        <v>947.21</v>
      </c>
      <c r="O4010" s="415">
        <v>926.99</v>
      </c>
      <c r="P4010" s="415">
        <v>284</v>
      </c>
      <c r="Q4010" s="481">
        <f t="shared" si="108"/>
        <v>-72.820999999999998</v>
      </c>
      <c r="R4010" s="393"/>
    </row>
    <row r="4011" spans="1:18" x14ac:dyDescent="0.3">
      <c r="A4011" s="366" t="str">
        <f>IFERROR(VLOOKUP(RIGHT(E4011,3)+0,[1]SchLocTable!$A$2:$B$47,2,FALSE)," ")</f>
        <v xml:space="preserve"> </v>
      </c>
      <c r="B4011" s="366" t="str">
        <f>VLOOKUP(VALUE(D4011),$D$3:F$106,3,FALSE)</f>
        <v>Custodians</v>
      </c>
      <c r="C4011" t="s">
        <v>314</v>
      </c>
      <c r="D4011">
        <v>887</v>
      </c>
      <c r="E4011" t="s">
        <v>1153</v>
      </c>
      <c r="F4011" t="s">
        <v>320</v>
      </c>
      <c r="G4011" t="s">
        <v>319</v>
      </c>
      <c r="H4011" s="502">
        <v>52360</v>
      </c>
      <c r="I4011" s="415">
        <v>585.73732229999996</v>
      </c>
      <c r="J4011" s="415">
        <v>515.13</v>
      </c>
      <c r="K4011" s="415">
        <v>619.11</v>
      </c>
      <c r="L4011" s="415">
        <v>1061.47</v>
      </c>
      <c r="M4011" s="415">
        <v>1399.93</v>
      </c>
      <c r="N4011" s="415">
        <v>1746.83</v>
      </c>
      <c r="O4011" s="415">
        <v>1030.79</v>
      </c>
      <c r="P4011" s="415">
        <v>1737.75</v>
      </c>
      <c r="Q4011" s="481">
        <f t="shared" si="108"/>
        <v>-70.607322299999964</v>
      </c>
      <c r="R4011" s="393"/>
    </row>
    <row r="4012" spans="1:18" x14ac:dyDescent="0.3">
      <c r="A4012" s="366" t="str">
        <f>IFERROR(VLOOKUP(RIGHT(E4012,3)+0,[1]SchLocTable!$A$2:$B$47,2,FALSE)," ")</f>
        <v xml:space="preserve"> </v>
      </c>
      <c r="B4012" s="366" t="str">
        <f>VLOOKUP(VALUE(D4012),$D$3:F$106,3,FALSE)</f>
        <v>Custodians</v>
      </c>
      <c r="C4012" t="s">
        <v>314</v>
      </c>
      <c r="D4012">
        <v>887</v>
      </c>
      <c r="E4012" t="s">
        <v>1153</v>
      </c>
      <c r="F4012" t="s">
        <v>392</v>
      </c>
      <c r="G4012" t="s">
        <v>319</v>
      </c>
      <c r="H4012" s="502">
        <v>52504</v>
      </c>
      <c r="I4012" s="415">
        <v>8394.221763720001</v>
      </c>
      <c r="J4012" s="415">
        <v>7382.22</v>
      </c>
      <c r="K4012" s="415">
        <v>8793.23</v>
      </c>
      <c r="L4012" s="415">
        <v>16018.86</v>
      </c>
      <c r="M4012" s="415">
        <v>21794.2</v>
      </c>
      <c r="N4012" s="415">
        <v>24480.01</v>
      </c>
      <c r="O4012" s="415">
        <v>12537.8</v>
      </c>
      <c r="P4012" s="415">
        <v>17050.16</v>
      </c>
      <c r="Q4012" s="481">
        <f t="shared" si="108"/>
        <v>-1012.0017637200008</v>
      </c>
      <c r="R4012" s="393"/>
    </row>
    <row r="4013" spans="1:18" x14ac:dyDescent="0.3">
      <c r="A4013" s="366" t="str">
        <f>IFERROR(VLOOKUP(RIGHT(E4013,3)+0,[1]SchLocTable!$A$2:$B$47,2,FALSE)," ")</f>
        <v xml:space="preserve"> </v>
      </c>
      <c r="B4013" s="366" t="str">
        <f>VLOOKUP(VALUE(D4013),$D$3:F$106,3,FALSE)</f>
        <v>Custodians</v>
      </c>
      <c r="C4013" t="s">
        <v>314</v>
      </c>
      <c r="D4013">
        <v>887</v>
      </c>
      <c r="E4013" t="s">
        <v>1153</v>
      </c>
      <c r="F4013" t="s">
        <v>452</v>
      </c>
      <c r="G4013" t="s">
        <v>319</v>
      </c>
      <c r="H4013" s="502">
        <v>51108</v>
      </c>
      <c r="I4013" s="415">
        <v>23684.567399999996</v>
      </c>
      <c r="J4013" s="415">
        <v>13308.54</v>
      </c>
      <c r="K4013" s="415">
        <v>11045.34</v>
      </c>
      <c r="L4013" s="415">
        <v>4204.1899999999996</v>
      </c>
      <c r="M4013" s="415">
        <v>22374.86</v>
      </c>
      <c r="N4013" s="415">
        <v>48984.62</v>
      </c>
      <c r="O4013" s="415">
        <v>29247.13</v>
      </c>
      <c r="P4013" s="415">
        <v>41189.97</v>
      </c>
      <c r="Q4013" s="481">
        <f t="shared" si="108"/>
        <v>-10376.027399999995</v>
      </c>
      <c r="R4013" s="393"/>
    </row>
    <row r="4014" spans="1:18" x14ac:dyDescent="0.3">
      <c r="A4014" s="366" t="str">
        <f>IFERROR(VLOOKUP(RIGHT(E4014,3)+0,[1]SchLocTable!$A$2:$B$47,2,FALSE)," ")</f>
        <v xml:space="preserve"> </v>
      </c>
      <c r="B4014" s="366" t="str">
        <f>VLOOKUP(VALUE(D4014),$D$3:F$106,3,FALSE)</f>
        <v>Custodians</v>
      </c>
      <c r="C4014" t="s">
        <v>314</v>
      </c>
      <c r="D4014">
        <v>887</v>
      </c>
      <c r="E4014" t="s">
        <v>1153</v>
      </c>
      <c r="F4014" t="s">
        <v>427</v>
      </c>
      <c r="G4014" t="s">
        <v>319</v>
      </c>
      <c r="H4014" s="502">
        <v>51106</v>
      </c>
      <c r="I4014" s="415">
        <v>0</v>
      </c>
      <c r="J4014" s="415">
        <v>0</v>
      </c>
      <c r="K4014" s="415">
        <v>153.76</v>
      </c>
      <c r="L4014" s="415">
        <v>0</v>
      </c>
      <c r="M4014" s="415">
        <v>0</v>
      </c>
      <c r="N4014" s="415">
        <v>0</v>
      </c>
      <c r="O4014" s="415">
        <v>0</v>
      </c>
      <c r="P4014" s="415">
        <v>0</v>
      </c>
      <c r="Q4014" s="481">
        <f t="shared" si="108"/>
        <v>0</v>
      </c>
      <c r="R4014" s="393"/>
    </row>
    <row r="4015" spans="1:18" x14ac:dyDescent="0.3">
      <c r="A4015" s="366" t="str">
        <f>IFERROR(VLOOKUP(RIGHT(E4015,3)+0,[1]SchLocTable!$A$2:$B$47,2,FALSE)," ")</f>
        <v xml:space="preserve"> </v>
      </c>
      <c r="B4015" s="366" t="str">
        <f>VLOOKUP(VALUE(D4015),$D$3:F$106,3,FALSE)</f>
        <v>Custodians</v>
      </c>
      <c r="C4015" t="s">
        <v>314</v>
      </c>
      <c r="D4015">
        <v>887</v>
      </c>
      <c r="E4015" t="s">
        <v>1153</v>
      </c>
      <c r="F4015" t="s">
        <v>483</v>
      </c>
      <c r="G4015" t="s">
        <v>319</v>
      </c>
      <c r="H4015" s="502">
        <v>51122</v>
      </c>
      <c r="I4015" s="415">
        <v>23727.964000000004</v>
      </c>
      <c r="J4015" s="415">
        <v>22217.14</v>
      </c>
      <c r="K4015" s="415">
        <v>31498.94</v>
      </c>
      <c r="L4015" s="415">
        <v>21855.66</v>
      </c>
      <c r="M4015" s="415">
        <v>64454.27</v>
      </c>
      <c r="N4015" s="415">
        <v>74754.149999999994</v>
      </c>
      <c r="O4015" s="415">
        <v>38070.199999999997</v>
      </c>
      <c r="P4015" s="415">
        <v>64347.77</v>
      </c>
      <c r="Q4015" s="481">
        <f t="shared" si="108"/>
        <v>-1510.8240000000042</v>
      </c>
      <c r="R4015" s="393"/>
    </row>
    <row r="4016" spans="1:18" x14ac:dyDescent="0.3">
      <c r="A4016" s="366" t="str">
        <f>IFERROR(VLOOKUP(RIGHT(E4016,3)+0,[1]SchLocTable!$A$2:$B$47,2,FALSE)," ")</f>
        <v xml:space="preserve"> </v>
      </c>
      <c r="B4016" s="366" t="str">
        <f>VLOOKUP(VALUE(D4016),$D$3:F$106,3,FALSE)</f>
        <v>Custodians</v>
      </c>
      <c r="C4016" t="s">
        <v>314</v>
      </c>
      <c r="D4016">
        <v>887</v>
      </c>
      <c r="E4016" t="s">
        <v>1153</v>
      </c>
      <c r="F4016" t="s">
        <v>1148</v>
      </c>
      <c r="G4016" t="s">
        <v>319</v>
      </c>
      <c r="H4016" s="502">
        <v>51124</v>
      </c>
      <c r="I4016" s="415">
        <v>0</v>
      </c>
      <c r="J4016" s="415">
        <v>0</v>
      </c>
      <c r="K4016" s="415">
        <v>0</v>
      </c>
      <c r="L4016" s="415">
        <v>706.89</v>
      </c>
      <c r="M4016" s="415">
        <v>330.36</v>
      </c>
      <c r="N4016" s="415">
        <v>630.54</v>
      </c>
      <c r="O4016" s="415">
        <v>240.95</v>
      </c>
      <c r="P4016" s="415">
        <v>0</v>
      </c>
      <c r="Q4016" s="481">
        <f t="shared" si="108"/>
        <v>0</v>
      </c>
      <c r="R4016" s="393"/>
    </row>
    <row r="4017" spans="1:20" x14ac:dyDescent="0.3">
      <c r="A4017" s="366" t="str">
        <f>IFERROR(VLOOKUP(RIGHT(E4017,3)+0,[1]SchLocTable!$A$2:$B$47,2,FALSE)," ")</f>
        <v xml:space="preserve"> </v>
      </c>
      <c r="B4017" s="366" t="str">
        <f>VLOOKUP(VALUE(D4017),$D$3:F$106,3,FALSE)</f>
        <v>Custodians</v>
      </c>
      <c r="C4017" t="s">
        <v>314</v>
      </c>
      <c r="D4017">
        <v>887</v>
      </c>
      <c r="E4017" t="s">
        <v>1153</v>
      </c>
      <c r="F4017" t="s">
        <v>1154</v>
      </c>
      <c r="G4017" t="s">
        <v>319</v>
      </c>
      <c r="H4017" s="502">
        <v>51128</v>
      </c>
      <c r="I4017" s="415">
        <v>0</v>
      </c>
      <c r="J4017" s="415">
        <v>0</v>
      </c>
      <c r="K4017" s="415">
        <v>0</v>
      </c>
      <c r="L4017" s="415">
        <v>0</v>
      </c>
      <c r="M4017" s="415">
        <v>145.58000000000001</v>
      </c>
      <c r="N4017" s="415">
        <v>0</v>
      </c>
      <c r="O4017" s="415">
        <v>0</v>
      </c>
      <c r="P4017" s="415">
        <v>0</v>
      </c>
      <c r="Q4017" s="481">
        <f t="shared" si="108"/>
        <v>0</v>
      </c>
      <c r="R4017" s="393"/>
    </row>
    <row r="4018" spans="1:20" x14ac:dyDescent="0.3">
      <c r="A4018" s="366" t="str">
        <f>IFERROR(VLOOKUP(RIGHT(E4018,3)+0,[1]SchLocTable!$A$2:$B$47,2,FALSE)," ")</f>
        <v xml:space="preserve"> </v>
      </c>
      <c r="B4018" s="366" t="str">
        <f>VLOOKUP(VALUE(D4018),$D$3:F$106,3,FALSE)</f>
        <v>Custodians</v>
      </c>
      <c r="C4018" t="s">
        <v>314</v>
      </c>
      <c r="D4018">
        <v>887</v>
      </c>
      <c r="E4018" t="s">
        <v>1153</v>
      </c>
      <c r="F4018" t="s">
        <v>1155</v>
      </c>
      <c r="G4018" t="s">
        <v>319</v>
      </c>
      <c r="H4018" s="502">
        <v>51130</v>
      </c>
      <c r="I4018" s="415">
        <v>0</v>
      </c>
      <c r="J4018" s="415">
        <v>0</v>
      </c>
      <c r="K4018" s="415">
        <v>0</v>
      </c>
      <c r="L4018" s="415">
        <v>0</v>
      </c>
      <c r="M4018" s="415">
        <v>194.1</v>
      </c>
      <c r="N4018" s="415">
        <v>63.9</v>
      </c>
      <c r="O4018" s="415">
        <v>0</v>
      </c>
      <c r="P4018" s="415">
        <v>0</v>
      </c>
      <c r="Q4018" s="481">
        <f t="shared" si="108"/>
        <v>0</v>
      </c>
      <c r="R4018" s="393"/>
    </row>
    <row r="4019" spans="1:20" x14ac:dyDescent="0.3">
      <c r="A4019" s="366" t="str">
        <f>IFERROR(VLOOKUP(RIGHT(E4019,3)+0,[1]SchLocTable!$A$2:$B$47,2,FALSE)," ")</f>
        <v>Barnum</v>
      </c>
      <c r="B4019" s="366" t="str">
        <f>VLOOKUP(VALUE(D4019),$D$3:F$106,3,FALSE)</f>
        <v>Custodians</v>
      </c>
      <c r="C4019" t="s">
        <v>314</v>
      </c>
      <c r="D4019">
        <v>887</v>
      </c>
      <c r="E4019" t="s">
        <v>1156</v>
      </c>
      <c r="F4019" t="s">
        <v>1089</v>
      </c>
      <c r="G4019" t="s">
        <v>319</v>
      </c>
      <c r="H4019" s="502">
        <v>51102</v>
      </c>
      <c r="I4019" s="415">
        <v>0</v>
      </c>
      <c r="J4019" s="415">
        <v>0</v>
      </c>
      <c r="K4019" s="415">
        <v>0</v>
      </c>
      <c r="L4019" s="415">
        <v>5315.84</v>
      </c>
      <c r="M4019" s="415">
        <v>7767.11</v>
      </c>
      <c r="N4019" s="415">
        <v>5175.3599999999997</v>
      </c>
      <c r="O4019" s="415">
        <v>1255.54</v>
      </c>
      <c r="P4019" s="415">
        <v>984</v>
      </c>
      <c r="Q4019" s="481">
        <f t="shared" si="108"/>
        <v>0</v>
      </c>
      <c r="R4019" s="393"/>
    </row>
    <row r="4020" spans="1:20" x14ac:dyDescent="0.3">
      <c r="A4020" s="366" t="str">
        <f>IFERROR(VLOOKUP(RIGHT(E4020,3)+0,[1]SchLocTable!$A$2:$B$47,2,FALSE)," ")</f>
        <v>Barnum</v>
      </c>
      <c r="B4020" s="366" t="str">
        <f>VLOOKUP(VALUE(D4020),$D$3:F$106,3,FALSE)</f>
        <v>Custodians</v>
      </c>
      <c r="C4020" t="s">
        <v>314</v>
      </c>
      <c r="D4020">
        <v>887</v>
      </c>
      <c r="E4020" t="s">
        <v>1156</v>
      </c>
      <c r="F4020" t="s">
        <v>316</v>
      </c>
      <c r="G4020">
        <v>4</v>
      </c>
      <c r="H4020" s="502">
        <v>51000</v>
      </c>
      <c r="I4020" s="415">
        <v>208881.61460399997</v>
      </c>
      <c r="J4020" s="415">
        <v>213134.97</v>
      </c>
      <c r="K4020" s="415">
        <v>238639.92</v>
      </c>
      <c r="L4020" s="415">
        <v>185286.29</v>
      </c>
      <c r="M4020" s="415">
        <v>225779.36</v>
      </c>
      <c r="N4020" s="415">
        <v>190172.56</v>
      </c>
      <c r="O4020" s="415">
        <v>197101.26</v>
      </c>
      <c r="P4020" s="415">
        <v>207789.92</v>
      </c>
      <c r="Q4020" s="481">
        <f t="shared" si="108"/>
        <v>4253.3553960000281</v>
      </c>
    </row>
    <row r="4021" spans="1:20" x14ac:dyDescent="0.3">
      <c r="A4021" s="366" t="str">
        <f>IFERROR(VLOOKUP(RIGHT(E4021,3)+0,[1]SchLocTable!$A$2:$B$47,2,FALSE)," ")</f>
        <v>Barnum</v>
      </c>
      <c r="B4021" s="366" t="str">
        <f>VLOOKUP(VALUE(D4021),$D$3:F$106,3,FALSE)</f>
        <v>Custodians</v>
      </c>
      <c r="C4021" t="s">
        <v>314</v>
      </c>
      <c r="D4021">
        <v>887</v>
      </c>
      <c r="E4021" t="s">
        <v>1156</v>
      </c>
      <c r="F4021" t="s">
        <v>360</v>
      </c>
      <c r="G4021" t="s">
        <v>319</v>
      </c>
      <c r="H4021" s="502">
        <v>52920</v>
      </c>
      <c r="I4021" s="415">
        <v>333.36</v>
      </c>
      <c r="J4021" s="415">
        <v>500</v>
      </c>
      <c r="K4021" s="415">
        <v>750</v>
      </c>
      <c r="L4021" s="415">
        <v>250</v>
      </c>
      <c r="M4021" s="415">
        <v>500</v>
      </c>
      <c r="N4021" s="415">
        <v>1416.68</v>
      </c>
      <c r="O4021" s="415">
        <v>3500</v>
      </c>
      <c r="P4021" s="415">
        <v>4166.68</v>
      </c>
      <c r="Q4021" s="481">
        <f t="shared" si="108"/>
        <v>166.64</v>
      </c>
    </row>
    <row r="4022" spans="1:20" x14ac:dyDescent="0.3">
      <c r="A4022" s="366" t="str">
        <f>IFERROR(VLOOKUP(RIGHT(E4022,3)+0,[1]SchLocTable!$A$2:$B$47,2,FALSE)," ")</f>
        <v>Barnum</v>
      </c>
      <c r="B4022" s="366" t="str">
        <f>VLOOKUP(VALUE(D4022),$D$3:F$106,3,FALSE)</f>
        <v>Custodians</v>
      </c>
      <c r="C4022" t="s">
        <v>314</v>
      </c>
      <c r="D4022">
        <v>887</v>
      </c>
      <c r="E4022" t="s">
        <v>1156</v>
      </c>
      <c r="F4022" t="s">
        <v>321</v>
      </c>
      <c r="G4022" t="s">
        <v>319</v>
      </c>
      <c r="H4022" s="502">
        <v>52917</v>
      </c>
      <c r="I4022" s="415">
        <v>30128.591999999997</v>
      </c>
      <c r="J4022" s="415">
        <v>25203.72</v>
      </c>
      <c r="K4022" s="415">
        <v>50684.77</v>
      </c>
      <c r="L4022" s="415">
        <v>51805.45</v>
      </c>
      <c r="M4022" s="415">
        <v>84329.15</v>
      </c>
      <c r="N4022" s="415">
        <v>56548.55</v>
      </c>
      <c r="O4022" s="415">
        <v>37076.97</v>
      </c>
      <c r="P4022" s="415">
        <v>40916.949999999997</v>
      </c>
      <c r="Q4022" s="481">
        <f t="shared" si="108"/>
        <v>-4924.8719999999958</v>
      </c>
    </row>
    <row r="4023" spans="1:20" ht="19.2" customHeight="1" x14ac:dyDescent="0.3">
      <c r="A4023" s="366" t="str">
        <f>IFERROR(VLOOKUP(RIGHT(E4023,3)+0,[1]SchLocTable!$A$2:$B$47,2,FALSE)," ")</f>
        <v>Barnum</v>
      </c>
      <c r="B4023" s="366" t="str">
        <f>VLOOKUP(VALUE(D4023),$D$3:F$106,3,FALSE)</f>
        <v>Custodians</v>
      </c>
      <c r="C4023" t="s">
        <v>314</v>
      </c>
      <c r="D4023">
        <v>887</v>
      </c>
      <c r="E4023" t="s">
        <v>1156</v>
      </c>
      <c r="F4023" t="s">
        <v>1087</v>
      </c>
      <c r="G4023" t="s">
        <v>319</v>
      </c>
      <c r="H4023" s="502">
        <v>51116</v>
      </c>
      <c r="I4023" s="415">
        <v>0</v>
      </c>
      <c r="J4023" s="415">
        <v>0</v>
      </c>
      <c r="K4023" s="415">
        <v>0</v>
      </c>
      <c r="L4023" s="415">
        <v>538.49</v>
      </c>
      <c r="M4023" s="415">
        <v>0</v>
      </c>
      <c r="N4023" s="415">
        <v>0</v>
      </c>
      <c r="O4023" s="415">
        <v>0</v>
      </c>
      <c r="P4023" s="415">
        <v>0</v>
      </c>
      <c r="Q4023" s="481">
        <f t="shared" si="108"/>
        <v>0</v>
      </c>
    </row>
    <row r="4024" spans="1:20" ht="19.2" customHeight="1" x14ac:dyDescent="0.3">
      <c r="A4024" s="366" t="str">
        <f>IFERROR(VLOOKUP(RIGHT(E4024,3)+0,[1]SchLocTable!$A$2:$B$47,2,FALSE)," ")</f>
        <v>Barnum</v>
      </c>
      <c r="B4024" s="366" t="str">
        <f>VLOOKUP(VALUE(D4024),$D$3:F$106,3,FALSE)</f>
        <v>Custodians</v>
      </c>
      <c r="C4024" t="s">
        <v>314</v>
      </c>
      <c r="D4024">
        <v>887</v>
      </c>
      <c r="E4024" t="s">
        <v>1156</v>
      </c>
      <c r="F4024" t="s">
        <v>318</v>
      </c>
      <c r="G4024" t="s">
        <v>319</v>
      </c>
      <c r="H4024" s="502">
        <v>51140</v>
      </c>
      <c r="I4024" s="415">
        <v>2385</v>
      </c>
      <c r="J4024" s="415">
        <v>1035</v>
      </c>
      <c r="K4024" s="415">
        <v>5608.75</v>
      </c>
      <c r="L4024" s="415">
        <v>2925</v>
      </c>
      <c r="M4024" s="415">
        <v>2775</v>
      </c>
      <c r="N4024" s="415">
        <v>2625</v>
      </c>
      <c r="O4024" s="415">
        <v>1125</v>
      </c>
      <c r="P4024" s="415">
        <v>1875</v>
      </c>
      <c r="Q4024" s="481">
        <f t="shared" si="108"/>
        <v>-1350</v>
      </c>
    </row>
    <row r="4025" spans="1:20" x14ac:dyDescent="0.3">
      <c r="A4025" s="366" t="str">
        <f>IFERROR(VLOOKUP(RIGHT(E4025,3)+0,[1]SchLocTable!$A$2:$B$47,2,FALSE)," ")</f>
        <v>Barnum</v>
      </c>
      <c r="B4025" s="366" t="str">
        <f>VLOOKUP(VALUE(D4025),$D$3:F$106,3,FALSE)</f>
        <v>Custodians</v>
      </c>
      <c r="C4025" t="s">
        <v>314</v>
      </c>
      <c r="D4025">
        <v>887</v>
      </c>
      <c r="E4025" t="s">
        <v>1156</v>
      </c>
      <c r="F4025" t="s">
        <v>320</v>
      </c>
      <c r="G4025" t="s">
        <v>319</v>
      </c>
      <c r="H4025" s="502">
        <v>52360</v>
      </c>
      <c r="I4025" s="415">
        <v>3697.3344920119998</v>
      </c>
      <c r="J4025" s="415">
        <v>3973.76</v>
      </c>
      <c r="K4025" s="415">
        <v>4394.8500000000004</v>
      </c>
      <c r="L4025" s="415">
        <v>3461.4</v>
      </c>
      <c r="M4025" s="415">
        <v>3800.88</v>
      </c>
      <c r="N4025" s="415">
        <v>3310.57</v>
      </c>
      <c r="O4025" s="415">
        <v>3073.19</v>
      </c>
      <c r="P4025" s="415">
        <v>3354.45</v>
      </c>
      <c r="Q4025" s="481">
        <f t="shared" si="108"/>
        <v>276.42550798800039</v>
      </c>
      <c r="T4025" s="401"/>
    </row>
    <row r="4026" spans="1:20" x14ac:dyDescent="0.3">
      <c r="A4026" s="366" t="str">
        <f>IFERROR(VLOOKUP(RIGHT(E4026,3)+0,[1]SchLocTable!$A$2:$B$47,2,FALSE)," ")</f>
        <v>Barnum</v>
      </c>
      <c r="B4026" s="366" t="str">
        <f>VLOOKUP(VALUE(D4026),$D$3:F$106,3,FALSE)</f>
        <v>Custodians</v>
      </c>
      <c r="C4026" t="s">
        <v>314</v>
      </c>
      <c r="D4026">
        <v>887</v>
      </c>
      <c r="E4026" t="s">
        <v>1156</v>
      </c>
      <c r="F4026" t="s">
        <v>392</v>
      </c>
      <c r="G4026" t="s">
        <v>319</v>
      </c>
      <c r="H4026" s="502">
        <v>52504</v>
      </c>
      <c r="I4026" s="415">
        <v>52986.628099316804</v>
      </c>
      <c r="J4026" s="415">
        <v>52900.37</v>
      </c>
      <c r="K4026" s="415">
        <v>60802.59</v>
      </c>
      <c r="L4026" s="415">
        <v>49043.23</v>
      </c>
      <c r="M4026" s="415">
        <v>60258</v>
      </c>
      <c r="N4026" s="415">
        <v>41861.86</v>
      </c>
      <c r="O4026" s="415">
        <v>36140.550000000003</v>
      </c>
      <c r="P4026" s="415">
        <v>30809.49</v>
      </c>
      <c r="Q4026" s="481">
        <f t="shared" si="108"/>
        <v>-86.258099316801236</v>
      </c>
      <c r="T4026" s="401"/>
    </row>
    <row r="4027" spans="1:20" x14ac:dyDescent="0.3">
      <c r="A4027" s="366" t="str">
        <f>IFERROR(VLOOKUP(RIGHT(E4027,3)+0,[1]SchLocTable!$A$2:$B$47,2,FALSE)," ")</f>
        <v>Barnum</v>
      </c>
      <c r="B4027" s="366" t="str">
        <f>VLOOKUP(VALUE(D4027),$D$3:F$106,3,FALSE)</f>
        <v>Custodians</v>
      </c>
      <c r="C4027" t="s">
        <v>314</v>
      </c>
      <c r="D4027">
        <v>887</v>
      </c>
      <c r="E4027" t="s">
        <v>1156</v>
      </c>
      <c r="F4027" t="s">
        <v>1090</v>
      </c>
      <c r="G4027" t="s">
        <v>319</v>
      </c>
      <c r="H4027" s="502">
        <v>51138</v>
      </c>
      <c r="I4027" s="415">
        <v>7712.1070519999994</v>
      </c>
      <c r="J4027" s="415">
        <v>4560.26</v>
      </c>
      <c r="K4027" s="415">
        <v>5640.3</v>
      </c>
      <c r="L4027" s="415">
        <v>5534.95</v>
      </c>
      <c r="M4027" s="415">
        <v>8856.36</v>
      </c>
      <c r="N4027" s="415">
        <v>5470.05</v>
      </c>
      <c r="O4027" s="415">
        <v>6529.67</v>
      </c>
      <c r="P4027" s="415">
        <v>5838.62</v>
      </c>
      <c r="Q4027" s="481">
        <f t="shared" si="108"/>
        <v>-3151.8470519999992</v>
      </c>
      <c r="R4027"/>
      <c r="S4027"/>
      <c r="T4027" s="401"/>
    </row>
    <row r="4028" spans="1:20" x14ac:dyDescent="0.3">
      <c r="A4028" s="366" t="str">
        <f>IFERROR(VLOOKUP(RIGHT(E4028,3)+0,[1]SchLocTable!$A$2:$B$47,2,FALSE)," ")</f>
        <v>Barnum</v>
      </c>
      <c r="B4028" s="366" t="str">
        <f>VLOOKUP(VALUE(D4028),$D$3:F$106,3,FALSE)</f>
        <v>Custodians</v>
      </c>
      <c r="C4028" t="s">
        <v>314</v>
      </c>
      <c r="D4028">
        <v>887</v>
      </c>
      <c r="E4028" t="s">
        <v>1156</v>
      </c>
      <c r="F4028" t="s">
        <v>419</v>
      </c>
      <c r="G4028" t="s">
        <v>319</v>
      </c>
      <c r="H4028" s="502">
        <v>51318</v>
      </c>
      <c r="I4028" s="415">
        <v>0</v>
      </c>
      <c r="J4028" s="415">
        <v>0</v>
      </c>
      <c r="K4028" s="415">
        <v>1269.54</v>
      </c>
      <c r="L4028" s="415">
        <v>0</v>
      </c>
      <c r="M4028" s="415">
        <v>323.51</v>
      </c>
      <c r="N4028" s="415">
        <v>0</v>
      </c>
      <c r="O4028" s="415">
        <v>0</v>
      </c>
      <c r="P4028" s="415">
        <v>0</v>
      </c>
      <c r="Q4028" s="481">
        <f t="shared" si="108"/>
        <v>0</v>
      </c>
    </row>
    <row r="4029" spans="1:20" x14ac:dyDescent="0.3">
      <c r="A4029" s="366" t="str">
        <f>IFERROR(VLOOKUP(RIGHT(E4029,3)+0,[1]SchLocTable!$A$2:$B$47,2,FALSE)," ")</f>
        <v>Barnum</v>
      </c>
      <c r="B4029" s="366" t="str">
        <f>VLOOKUP(VALUE(D4029),$D$3:F$106,3,FALSE)</f>
        <v>Custodians</v>
      </c>
      <c r="C4029" t="s">
        <v>314</v>
      </c>
      <c r="D4029">
        <v>887</v>
      </c>
      <c r="E4029" t="s">
        <v>1156</v>
      </c>
      <c r="F4029" t="s">
        <v>452</v>
      </c>
      <c r="G4029" t="s">
        <v>319</v>
      </c>
      <c r="H4029" s="502">
        <v>51108</v>
      </c>
      <c r="I4029" s="415">
        <v>5278.1273999999994</v>
      </c>
      <c r="J4029" s="415">
        <v>9096.2900000000009</v>
      </c>
      <c r="K4029" s="415">
        <v>4235.8999999999996</v>
      </c>
      <c r="L4029" s="415">
        <v>5562.14</v>
      </c>
      <c r="M4029" s="415">
        <v>6623.73</v>
      </c>
      <c r="N4029" s="415">
        <v>4110.29</v>
      </c>
      <c r="O4029" s="415">
        <v>1910.22</v>
      </c>
      <c r="P4029" s="415">
        <v>2210.5500000000002</v>
      </c>
      <c r="Q4029" s="481">
        <f t="shared" si="108"/>
        <v>3818.1626000000015</v>
      </c>
      <c r="R4029"/>
      <c r="S4029"/>
    </row>
    <row r="4030" spans="1:20" x14ac:dyDescent="0.3">
      <c r="A4030" s="366" t="str">
        <f>IFERROR(VLOOKUP(RIGHT(E4030,3)+0,[1]SchLocTable!$A$2:$B$47,2,FALSE)," ")</f>
        <v>Barnum</v>
      </c>
      <c r="B4030" s="366" t="str">
        <f>VLOOKUP(VALUE(D4030),$D$3:F$106,3,FALSE)</f>
        <v>Custodians</v>
      </c>
      <c r="C4030" t="s">
        <v>314</v>
      </c>
      <c r="D4030">
        <v>887</v>
      </c>
      <c r="E4030" t="s">
        <v>1156</v>
      </c>
      <c r="F4030" t="s">
        <v>483</v>
      </c>
      <c r="G4030" t="s">
        <v>319</v>
      </c>
      <c r="H4030" s="502">
        <v>51122</v>
      </c>
      <c r="I4030" s="415">
        <v>30823.709280000006</v>
      </c>
      <c r="J4030" s="415">
        <v>12275.86</v>
      </c>
      <c r="K4030" s="415">
        <v>32475.06</v>
      </c>
      <c r="L4030" s="415">
        <v>23839.78</v>
      </c>
      <c r="M4030" s="415">
        <v>13683.56</v>
      </c>
      <c r="N4030" s="415">
        <v>29858.080000000002</v>
      </c>
      <c r="O4030" s="415">
        <v>8640.0300000000007</v>
      </c>
      <c r="P4030" s="415">
        <v>10883.32</v>
      </c>
      <c r="Q4030" s="481">
        <f t="shared" si="108"/>
        <v>-18547.849280000006</v>
      </c>
      <c r="R4030"/>
      <c r="S4030"/>
    </row>
    <row r="4031" spans="1:20" x14ac:dyDescent="0.3">
      <c r="A4031" s="366" t="str">
        <f>IFERROR(VLOOKUP(RIGHT(E4031,3)+0,[1]SchLocTable!$A$2:$B$47,2,FALSE)," ")</f>
        <v>Barnum</v>
      </c>
      <c r="B4031" s="366" t="str">
        <f>VLOOKUP(VALUE(D4031),$D$3:F$106,3,FALSE)</f>
        <v>Custodians</v>
      </c>
      <c r="C4031" t="s">
        <v>314</v>
      </c>
      <c r="D4031">
        <v>887</v>
      </c>
      <c r="E4031" t="s">
        <v>1156</v>
      </c>
      <c r="F4031" t="s">
        <v>1148</v>
      </c>
      <c r="G4031" t="s">
        <v>319</v>
      </c>
      <c r="H4031" s="502">
        <v>51124</v>
      </c>
      <c r="I4031" s="415">
        <v>0</v>
      </c>
      <c r="J4031" s="415">
        <v>0</v>
      </c>
      <c r="K4031" s="415">
        <v>0</v>
      </c>
      <c r="L4031" s="415">
        <v>248.54</v>
      </c>
      <c r="M4031" s="415">
        <v>0</v>
      </c>
      <c r="N4031" s="415">
        <v>0</v>
      </c>
      <c r="O4031" s="415">
        <v>0</v>
      </c>
      <c r="P4031" s="415">
        <v>0</v>
      </c>
      <c r="Q4031" s="481">
        <f t="shared" ref="Q4031:Q4094" si="109">J4031-I4031</f>
        <v>0</v>
      </c>
    </row>
    <row r="4032" spans="1:20" x14ac:dyDescent="0.3">
      <c r="A4032" s="366" t="str">
        <f>IFERROR(VLOOKUP(RIGHT(E4032,3)+0,[1]SchLocTable!$A$2:$B$47,2,FALSE)," ")</f>
        <v>Barnum</v>
      </c>
      <c r="B4032" s="366" t="str">
        <f>VLOOKUP(VALUE(D4032),$D$3:F$106,3,FALSE)</f>
        <v>Custodians</v>
      </c>
      <c r="C4032" t="s">
        <v>314</v>
      </c>
      <c r="D4032">
        <v>887</v>
      </c>
      <c r="E4032" t="s">
        <v>1156</v>
      </c>
      <c r="F4032" t="s">
        <v>324</v>
      </c>
      <c r="G4032" t="s">
        <v>319</v>
      </c>
      <c r="H4032" s="502">
        <v>52385</v>
      </c>
      <c r="I4032" s="415">
        <v>0</v>
      </c>
      <c r="J4032" s="415">
        <v>633.72</v>
      </c>
      <c r="K4032" s="415">
        <v>0</v>
      </c>
      <c r="L4032" s="415">
        <v>760.92</v>
      </c>
      <c r="M4032" s="415">
        <v>633.72</v>
      </c>
      <c r="N4032" s="415">
        <v>1501.69</v>
      </c>
      <c r="O4032" s="415">
        <v>321.24</v>
      </c>
      <c r="P4032" s="415">
        <v>1568.44</v>
      </c>
      <c r="Q4032" s="481">
        <f t="shared" si="109"/>
        <v>633.72</v>
      </c>
    </row>
    <row r="4033" spans="1:17" x14ac:dyDescent="0.3">
      <c r="A4033" s="366" t="str">
        <f>IFERROR(VLOOKUP(RIGHT(E4033,3)+0,[1]SchLocTable!$A$2:$B$47,2,FALSE)," ")</f>
        <v>Barnum</v>
      </c>
      <c r="B4033" s="366" t="str">
        <f>VLOOKUP(VALUE(D4033),$D$3:F$106,3,FALSE)</f>
        <v>Custodians</v>
      </c>
      <c r="C4033" t="s">
        <v>314</v>
      </c>
      <c r="D4033">
        <v>887</v>
      </c>
      <c r="E4033" t="s">
        <v>1156</v>
      </c>
      <c r="F4033" t="s">
        <v>329</v>
      </c>
      <c r="G4033" t="s">
        <v>319</v>
      </c>
      <c r="H4033" s="502">
        <v>51154</v>
      </c>
      <c r="I4033" s="415">
        <v>10602.490400000001</v>
      </c>
      <c r="J4033" s="415">
        <v>0</v>
      </c>
      <c r="K4033" s="415">
        <v>12698</v>
      </c>
      <c r="L4033" s="415">
        <v>0</v>
      </c>
      <c r="M4033" s="415">
        <v>67.53</v>
      </c>
      <c r="N4033" s="415">
        <v>0</v>
      </c>
      <c r="O4033" s="415">
        <v>0</v>
      </c>
      <c r="P4033" s="415">
        <v>0</v>
      </c>
      <c r="Q4033" s="481">
        <f t="shared" si="109"/>
        <v>-10602.490400000001</v>
      </c>
    </row>
    <row r="4034" spans="1:17" x14ac:dyDescent="0.3">
      <c r="A4034" s="366" t="str">
        <f>IFERROR(VLOOKUP(RIGHT(E4034,3)+0,[1]SchLocTable!$A$2:$B$47,2,FALSE)," ")</f>
        <v>Barnum</v>
      </c>
      <c r="B4034" s="366" t="str">
        <f>VLOOKUP(VALUE(D4034),$D$3:F$106,3,FALSE)</f>
        <v>Custodians</v>
      </c>
      <c r="C4034" t="s">
        <v>314</v>
      </c>
      <c r="D4034">
        <v>887</v>
      </c>
      <c r="E4034" t="s">
        <v>1156</v>
      </c>
      <c r="F4034" t="s">
        <v>418</v>
      </c>
      <c r="G4034" t="s">
        <v>319</v>
      </c>
      <c r="H4034" s="502">
        <v>51314</v>
      </c>
      <c r="I4034" s="415">
        <v>3779.8528000000001</v>
      </c>
      <c r="J4034" s="415">
        <v>0</v>
      </c>
      <c r="K4034" s="415">
        <v>7265.14</v>
      </c>
      <c r="L4034" s="415">
        <v>0</v>
      </c>
      <c r="M4034" s="415">
        <v>0</v>
      </c>
      <c r="N4034" s="415">
        <v>0</v>
      </c>
      <c r="O4034" s="415">
        <v>0</v>
      </c>
      <c r="P4034" s="415">
        <v>0</v>
      </c>
      <c r="Q4034" s="481">
        <f t="shared" si="109"/>
        <v>-3779.8528000000001</v>
      </c>
    </row>
    <row r="4035" spans="1:17" x14ac:dyDescent="0.3">
      <c r="A4035" s="366" t="str">
        <f>IFERROR(VLOOKUP(RIGHT(E4035,3)+0,[1]SchLocTable!$A$2:$B$47,2,FALSE)," ")</f>
        <v>Barnum</v>
      </c>
      <c r="B4035" s="366" t="str">
        <f>VLOOKUP(VALUE(D4035),$D$3:F$106,3,FALSE)</f>
        <v>Custodians</v>
      </c>
      <c r="C4035" t="s">
        <v>314</v>
      </c>
      <c r="D4035">
        <v>887</v>
      </c>
      <c r="E4035" t="s">
        <v>1156</v>
      </c>
      <c r="F4035" t="s">
        <v>356</v>
      </c>
      <c r="G4035" t="s">
        <v>319</v>
      </c>
      <c r="H4035" s="502">
        <v>51156</v>
      </c>
      <c r="I4035" s="415">
        <v>0</v>
      </c>
      <c r="J4035" s="415">
        <v>0</v>
      </c>
      <c r="K4035" s="415">
        <v>2539.08</v>
      </c>
      <c r="L4035" s="415">
        <v>3284.01</v>
      </c>
      <c r="M4035" s="415">
        <v>2393.3000000000002</v>
      </c>
      <c r="N4035" s="415">
        <v>3207.79</v>
      </c>
      <c r="O4035" s="415">
        <v>1153.04</v>
      </c>
      <c r="P4035" s="415">
        <v>0</v>
      </c>
      <c r="Q4035" s="481">
        <f t="shared" si="109"/>
        <v>0</v>
      </c>
    </row>
    <row r="4036" spans="1:17" x14ac:dyDescent="0.3">
      <c r="A4036" s="366" t="str">
        <f>IFERROR(VLOOKUP(RIGHT(E4036,3)+0,[1]SchLocTable!$A$2:$B$47,2,FALSE)," ")</f>
        <v>Beardsley</v>
      </c>
      <c r="B4036" s="366" t="str">
        <f>VLOOKUP(VALUE(D4036),$D$3:F$106,3,FALSE)</f>
        <v>Custodians</v>
      </c>
      <c r="C4036" t="s">
        <v>314</v>
      </c>
      <c r="D4036">
        <v>887</v>
      </c>
      <c r="E4036" t="s">
        <v>1157</v>
      </c>
      <c r="F4036" t="s">
        <v>1089</v>
      </c>
      <c r="G4036" t="s">
        <v>319</v>
      </c>
      <c r="H4036" s="502">
        <v>51102</v>
      </c>
      <c r="I4036" s="415">
        <v>14432.3712</v>
      </c>
      <c r="J4036" s="415">
        <v>0</v>
      </c>
      <c r="K4036" s="415">
        <v>0</v>
      </c>
      <c r="L4036" s="415">
        <v>1013.12</v>
      </c>
      <c r="M4036" s="415">
        <v>1311.22</v>
      </c>
      <c r="N4036" s="415">
        <v>867.44</v>
      </c>
      <c r="O4036" s="415">
        <v>1133.02</v>
      </c>
      <c r="P4036" s="415">
        <v>1579.28</v>
      </c>
      <c r="Q4036" s="481">
        <f t="shared" si="109"/>
        <v>-14432.3712</v>
      </c>
    </row>
    <row r="4037" spans="1:17" x14ac:dyDescent="0.3">
      <c r="A4037" s="366" t="str">
        <f>IFERROR(VLOOKUP(RIGHT(E4037,3)+0,[1]SchLocTable!$A$2:$B$47,2,FALSE)," ")</f>
        <v>Beardsley</v>
      </c>
      <c r="B4037" s="366" t="str">
        <f>VLOOKUP(VALUE(D4037),$D$3:F$106,3,FALSE)</f>
        <v>Custodians</v>
      </c>
      <c r="C4037" t="s">
        <v>314</v>
      </c>
      <c r="D4037">
        <v>887</v>
      </c>
      <c r="E4037" t="s">
        <v>1157</v>
      </c>
      <c r="F4037" t="s">
        <v>316</v>
      </c>
      <c r="G4037">
        <v>4</v>
      </c>
      <c r="H4037" s="502">
        <v>51000</v>
      </c>
      <c r="I4037" s="415">
        <v>223022.00699999998</v>
      </c>
      <c r="J4037" s="415">
        <v>164602</v>
      </c>
      <c r="K4037" s="415">
        <v>156209.25</v>
      </c>
      <c r="L4037" s="415">
        <v>124927.39</v>
      </c>
      <c r="M4037" s="415">
        <v>133570</v>
      </c>
      <c r="N4037" s="415">
        <v>141304.97</v>
      </c>
      <c r="O4037" s="415">
        <v>147833.99</v>
      </c>
      <c r="P4037" s="415">
        <v>132543.92000000001</v>
      </c>
      <c r="Q4037" s="481">
        <f t="shared" si="109"/>
        <v>-58420.006999999983</v>
      </c>
    </row>
    <row r="4038" spans="1:17" x14ac:dyDescent="0.3">
      <c r="A4038" s="366" t="str">
        <f>IFERROR(VLOOKUP(RIGHT(E4038,3)+0,[1]SchLocTable!$A$2:$B$47,2,FALSE)," ")</f>
        <v>Beardsley</v>
      </c>
      <c r="B4038" s="366" t="str">
        <f>VLOOKUP(VALUE(D4038),$D$3:F$106,3,FALSE)</f>
        <v>Custodians</v>
      </c>
      <c r="C4038" t="s">
        <v>314</v>
      </c>
      <c r="D4038">
        <v>887</v>
      </c>
      <c r="E4038" t="s">
        <v>1157</v>
      </c>
      <c r="F4038" t="s">
        <v>360</v>
      </c>
      <c r="G4038" t="s">
        <v>319</v>
      </c>
      <c r="H4038" s="502">
        <v>52920</v>
      </c>
      <c r="I4038" s="415">
        <v>0</v>
      </c>
      <c r="J4038" s="415">
        <v>0</v>
      </c>
      <c r="K4038" s="415">
        <v>250</v>
      </c>
      <c r="L4038" s="415">
        <v>208.35</v>
      </c>
      <c r="M4038" s="415">
        <v>0</v>
      </c>
      <c r="N4038" s="415">
        <v>0</v>
      </c>
      <c r="O4038" s="415">
        <v>0</v>
      </c>
      <c r="P4038" s="415">
        <v>0</v>
      </c>
      <c r="Q4038" s="481">
        <f t="shared" si="109"/>
        <v>0</v>
      </c>
    </row>
    <row r="4039" spans="1:17" x14ac:dyDescent="0.3">
      <c r="A4039" s="366" t="str">
        <f>IFERROR(VLOOKUP(RIGHT(E4039,3)+0,[1]SchLocTable!$A$2:$B$47,2,FALSE)," ")</f>
        <v>Beardsley</v>
      </c>
      <c r="B4039" s="366" t="str">
        <f>VLOOKUP(VALUE(D4039),$D$3:F$106,3,FALSE)</f>
        <v>Custodians</v>
      </c>
      <c r="C4039" t="s">
        <v>314</v>
      </c>
      <c r="D4039">
        <v>887</v>
      </c>
      <c r="E4039" t="s">
        <v>1157</v>
      </c>
      <c r="F4039" t="s">
        <v>321</v>
      </c>
      <c r="G4039" t="s">
        <v>319</v>
      </c>
      <c r="H4039" s="502">
        <v>52917</v>
      </c>
      <c r="I4039" s="415">
        <v>60652.800000000003</v>
      </c>
      <c r="J4039" s="415">
        <v>38038</v>
      </c>
      <c r="K4039" s="415">
        <v>33034.160000000003</v>
      </c>
      <c r="L4039" s="415">
        <v>21916.75</v>
      </c>
      <c r="M4039" s="415">
        <v>38499.68</v>
      </c>
      <c r="N4039" s="415">
        <v>43023.65</v>
      </c>
      <c r="O4039" s="415">
        <v>41040.42</v>
      </c>
      <c r="P4039" s="415">
        <v>38172.32</v>
      </c>
      <c r="Q4039" s="481">
        <f t="shared" si="109"/>
        <v>-22614.800000000003</v>
      </c>
    </row>
    <row r="4040" spans="1:17" x14ac:dyDescent="0.3">
      <c r="A4040" s="366" t="str">
        <f>IFERROR(VLOOKUP(RIGHT(E4040,3)+0,[1]SchLocTable!$A$2:$B$47,2,FALSE)," ")</f>
        <v>Beardsley</v>
      </c>
      <c r="B4040" s="366" t="str">
        <f>VLOOKUP(VALUE(D4040),$D$3:F$106,3,FALSE)</f>
        <v>Custodians</v>
      </c>
      <c r="C4040" t="s">
        <v>314</v>
      </c>
      <c r="D4040">
        <v>887</v>
      </c>
      <c r="E4040" t="s">
        <v>1157</v>
      </c>
      <c r="F4040" t="s">
        <v>318</v>
      </c>
      <c r="G4040" t="s">
        <v>319</v>
      </c>
      <c r="H4040" s="502">
        <v>51140</v>
      </c>
      <c r="I4040" s="415">
        <v>2775</v>
      </c>
      <c r="J4040" s="415">
        <v>1650</v>
      </c>
      <c r="K4040" s="415">
        <v>2625</v>
      </c>
      <c r="L4040" s="415">
        <v>975</v>
      </c>
      <c r="M4040" s="415">
        <v>3900</v>
      </c>
      <c r="N4040" s="415">
        <v>3000</v>
      </c>
      <c r="O4040" s="415">
        <v>2100</v>
      </c>
      <c r="P4040" s="415">
        <v>1950</v>
      </c>
      <c r="Q4040" s="481">
        <f t="shared" si="109"/>
        <v>-1125</v>
      </c>
    </row>
    <row r="4041" spans="1:17" x14ac:dyDescent="0.3">
      <c r="A4041" s="366" t="str">
        <f>IFERROR(VLOOKUP(RIGHT(E4041,3)+0,[1]SchLocTable!$A$2:$B$47,2,FALSE)," ")</f>
        <v>Beardsley</v>
      </c>
      <c r="B4041" s="366" t="str">
        <f>VLOOKUP(VALUE(D4041),$D$3:F$106,3,FALSE)</f>
        <v>Custodians</v>
      </c>
      <c r="C4041" t="s">
        <v>314</v>
      </c>
      <c r="D4041">
        <v>887</v>
      </c>
      <c r="E4041" t="s">
        <v>1157</v>
      </c>
      <c r="F4041" t="s">
        <v>320</v>
      </c>
      <c r="G4041" t="s">
        <v>319</v>
      </c>
      <c r="H4041" s="502">
        <v>52360</v>
      </c>
      <c r="I4041" s="415">
        <v>3779.0385750000005</v>
      </c>
      <c r="J4041" s="415">
        <v>2246</v>
      </c>
      <c r="K4041" s="415">
        <v>2669.04</v>
      </c>
      <c r="L4041" s="415">
        <v>2193.5300000000002</v>
      </c>
      <c r="M4041" s="415">
        <v>2313.87</v>
      </c>
      <c r="N4041" s="415">
        <v>2191.2600000000002</v>
      </c>
      <c r="O4041" s="415">
        <v>2162.0500000000002</v>
      </c>
      <c r="P4041" s="415">
        <v>2141.91</v>
      </c>
      <c r="Q4041" s="481">
        <f t="shared" si="109"/>
        <v>-1533.0385750000005</v>
      </c>
    </row>
    <row r="4042" spans="1:17" x14ac:dyDescent="0.3">
      <c r="A4042" s="366" t="str">
        <f>IFERROR(VLOOKUP(RIGHT(E4042,3)+0,[1]SchLocTable!$A$2:$B$47,2,FALSE)," ")</f>
        <v>Beardsley</v>
      </c>
      <c r="B4042" s="366" t="str">
        <f>VLOOKUP(VALUE(D4042),$D$3:F$106,3,FALSE)</f>
        <v>Custodians</v>
      </c>
      <c r="C4042" t="s">
        <v>314</v>
      </c>
      <c r="D4042">
        <v>887</v>
      </c>
      <c r="E4042" t="s">
        <v>1157</v>
      </c>
      <c r="F4042" t="s">
        <v>392</v>
      </c>
      <c r="G4042" t="s">
        <v>319</v>
      </c>
      <c r="H4042" s="502">
        <v>52504</v>
      </c>
      <c r="I4042" s="415">
        <v>54157.532130000014</v>
      </c>
      <c r="J4042" s="415">
        <v>34781</v>
      </c>
      <c r="K4042" s="415">
        <v>39887.980000000003</v>
      </c>
      <c r="L4042" s="415">
        <v>27935.53</v>
      </c>
      <c r="M4042" s="415">
        <v>36497.440000000002</v>
      </c>
      <c r="N4042" s="415">
        <v>29768.71</v>
      </c>
      <c r="O4042" s="415">
        <v>26778.5</v>
      </c>
      <c r="P4042" s="415">
        <v>22717.25</v>
      </c>
      <c r="Q4042" s="481">
        <f t="shared" si="109"/>
        <v>-19376.532130000014</v>
      </c>
    </row>
    <row r="4043" spans="1:17" x14ac:dyDescent="0.3">
      <c r="A4043" s="366" t="str">
        <f>IFERROR(VLOOKUP(RIGHT(E4043,3)+0,[1]SchLocTable!$A$2:$B$47,2,FALSE)," ")</f>
        <v>Beardsley</v>
      </c>
      <c r="B4043" s="366" t="str">
        <f>VLOOKUP(VALUE(D4043),$D$3:F$106,3,FALSE)</f>
        <v>Custodians</v>
      </c>
      <c r="C4043" t="s">
        <v>314</v>
      </c>
      <c r="D4043">
        <v>887</v>
      </c>
      <c r="E4043" t="s">
        <v>1157</v>
      </c>
      <c r="F4043" t="s">
        <v>1090</v>
      </c>
      <c r="G4043" t="s">
        <v>319</v>
      </c>
      <c r="H4043" s="502">
        <v>51138</v>
      </c>
      <c r="I4043" s="415">
        <v>7428.2363999999998</v>
      </c>
      <c r="J4043" s="415">
        <v>4656.99</v>
      </c>
      <c r="K4043" s="415">
        <v>4225.21</v>
      </c>
      <c r="L4043" s="415">
        <v>3884.77</v>
      </c>
      <c r="M4043" s="415">
        <v>4301.3999999999996</v>
      </c>
      <c r="N4043" s="415">
        <v>3079.76</v>
      </c>
      <c r="O4043" s="415">
        <v>2771</v>
      </c>
      <c r="P4043" s="415">
        <v>3327.57</v>
      </c>
      <c r="Q4043" s="481">
        <f t="shared" si="109"/>
        <v>-2771.2464</v>
      </c>
    </row>
    <row r="4044" spans="1:17" x14ac:dyDescent="0.3">
      <c r="A4044" s="366" t="str">
        <f>IFERROR(VLOOKUP(RIGHT(E4044,3)+0,[1]SchLocTable!$A$2:$B$47,2,FALSE)," ")</f>
        <v>Beardsley</v>
      </c>
      <c r="B4044" s="366" t="str">
        <f>VLOOKUP(VALUE(D4044),$D$3:F$106,3,FALSE)</f>
        <v>Custodians</v>
      </c>
      <c r="C4044" t="s">
        <v>314</v>
      </c>
      <c r="D4044">
        <v>887</v>
      </c>
      <c r="E4044" t="s">
        <v>1157</v>
      </c>
      <c r="F4044" t="s">
        <v>419</v>
      </c>
      <c r="G4044" t="s">
        <v>319</v>
      </c>
      <c r="H4044" s="502">
        <v>51318</v>
      </c>
      <c r="I4044" s="415">
        <v>0</v>
      </c>
      <c r="J4044" s="415">
        <v>0</v>
      </c>
      <c r="K4044" s="415">
        <v>0</v>
      </c>
      <c r="L4044" s="415">
        <v>0</v>
      </c>
      <c r="M4044" s="415">
        <v>285.55</v>
      </c>
      <c r="N4044" s="415">
        <v>0</v>
      </c>
      <c r="O4044" s="415">
        <v>0</v>
      </c>
      <c r="P4044" s="415">
        <v>0</v>
      </c>
      <c r="Q4044" s="481">
        <f t="shared" si="109"/>
        <v>0</v>
      </c>
    </row>
    <row r="4045" spans="1:17" x14ac:dyDescent="0.3">
      <c r="A4045" s="366" t="str">
        <f>IFERROR(VLOOKUP(RIGHT(E4045,3)+0,[1]SchLocTable!$A$2:$B$47,2,FALSE)," ")</f>
        <v>Beardsley</v>
      </c>
      <c r="B4045" s="366" t="str">
        <f>VLOOKUP(VALUE(D4045),$D$3:F$106,3,FALSE)</f>
        <v>Custodians</v>
      </c>
      <c r="C4045" t="s">
        <v>314</v>
      </c>
      <c r="D4045">
        <v>887</v>
      </c>
      <c r="E4045" t="s">
        <v>1157</v>
      </c>
      <c r="F4045" t="s">
        <v>452</v>
      </c>
      <c r="G4045" t="s">
        <v>319</v>
      </c>
      <c r="H4045" s="502">
        <v>51108</v>
      </c>
      <c r="I4045" s="415">
        <v>0</v>
      </c>
      <c r="J4045" s="415">
        <v>1807.36</v>
      </c>
      <c r="K4045" s="415">
        <v>4621.33</v>
      </c>
      <c r="L4045" s="415">
        <v>2035.08</v>
      </c>
      <c r="M4045" s="415">
        <v>4047.2</v>
      </c>
      <c r="N4045" s="415">
        <v>2971.62</v>
      </c>
      <c r="O4045" s="415">
        <v>3567.95</v>
      </c>
      <c r="P4045" s="415">
        <v>2293.98</v>
      </c>
      <c r="Q4045" s="481">
        <f t="shared" si="109"/>
        <v>1807.36</v>
      </c>
    </row>
    <row r="4046" spans="1:17" x14ac:dyDescent="0.3">
      <c r="A4046" s="366" t="str">
        <f>IFERROR(VLOOKUP(RIGHT(E4046,3)+0,[1]SchLocTable!$A$2:$B$47,2,FALSE)," ")</f>
        <v>Beardsley</v>
      </c>
      <c r="B4046" s="366" t="str">
        <f>VLOOKUP(VALUE(D4046),$D$3:F$106,3,FALSE)</f>
        <v>Custodians</v>
      </c>
      <c r="C4046" t="s">
        <v>314</v>
      </c>
      <c r="D4046">
        <v>887</v>
      </c>
      <c r="E4046" t="s">
        <v>1157</v>
      </c>
      <c r="F4046" t="s">
        <v>483</v>
      </c>
      <c r="G4046" t="s">
        <v>319</v>
      </c>
      <c r="H4046" s="502">
        <v>51122</v>
      </c>
      <c r="I4046" s="415">
        <v>10131.646720000002</v>
      </c>
      <c r="J4046" s="415">
        <v>7994.18</v>
      </c>
      <c r="K4046" s="415">
        <v>20205.810000000001</v>
      </c>
      <c r="L4046" s="415">
        <v>11038.36</v>
      </c>
      <c r="M4046" s="415">
        <v>11073.09</v>
      </c>
      <c r="N4046" s="415">
        <v>6695.69</v>
      </c>
      <c r="O4046" s="415">
        <v>5010.3900000000003</v>
      </c>
      <c r="P4046" s="415">
        <v>6517.37</v>
      </c>
      <c r="Q4046" s="481">
        <f t="shared" si="109"/>
        <v>-2137.4667200000022</v>
      </c>
    </row>
    <row r="4047" spans="1:17" x14ac:dyDescent="0.3">
      <c r="A4047" s="366" t="str">
        <f>IFERROR(VLOOKUP(RIGHT(E4047,3)+0,[1]SchLocTable!$A$2:$B$47,2,FALSE)," ")</f>
        <v>Beardsley</v>
      </c>
      <c r="B4047" s="366" t="str">
        <f>VLOOKUP(VALUE(D4047),$D$3:F$106,3,FALSE)</f>
        <v>Custodians</v>
      </c>
      <c r="C4047" t="s">
        <v>314</v>
      </c>
      <c r="D4047">
        <v>887</v>
      </c>
      <c r="E4047" t="s">
        <v>1157</v>
      </c>
      <c r="F4047" t="s">
        <v>1148</v>
      </c>
      <c r="G4047" t="s">
        <v>319</v>
      </c>
      <c r="H4047" s="502">
        <v>51124</v>
      </c>
      <c r="I4047" s="415">
        <v>0</v>
      </c>
      <c r="J4047" s="415">
        <v>0</v>
      </c>
      <c r="K4047" s="415">
        <v>283.77</v>
      </c>
      <c r="L4047" s="415">
        <v>0</v>
      </c>
      <c r="M4047" s="415">
        <v>0</v>
      </c>
      <c r="N4047" s="415">
        <v>0</v>
      </c>
      <c r="O4047" s="415">
        <v>0</v>
      </c>
      <c r="P4047" s="415">
        <v>0</v>
      </c>
      <c r="Q4047" s="481">
        <f t="shared" si="109"/>
        <v>0</v>
      </c>
    </row>
    <row r="4048" spans="1:17" x14ac:dyDescent="0.3">
      <c r="A4048" s="366" t="str">
        <f>IFERROR(VLOOKUP(RIGHT(E4048,3)+0,[1]SchLocTable!$A$2:$B$47,2,FALSE)," ")</f>
        <v>Beardsley</v>
      </c>
      <c r="B4048" s="366" t="str">
        <f>VLOOKUP(VALUE(D4048),$D$3:F$106,3,FALSE)</f>
        <v>Custodians</v>
      </c>
      <c r="C4048" t="s">
        <v>314</v>
      </c>
      <c r="D4048">
        <v>887</v>
      </c>
      <c r="E4048" t="s">
        <v>1157</v>
      </c>
      <c r="F4048" t="s">
        <v>324</v>
      </c>
      <c r="G4048" t="s">
        <v>319</v>
      </c>
      <c r="H4048" s="502">
        <v>52385</v>
      </c>
      <c r="I4048" s="415">
        <v>0</v>
      </c>
      <c r="J4048" s="415">
        <v>0</v>
      </c>
      <c r="K4048" s="415">
        <v>0</v>
      </c>
      <c r="L4048" s="415">
        <v>1322.42</v>
      </c>
      <c r="M4048" s="415">
        <v>46.25</v>
      </c>
      <c r="N4048" s="415">
        <v>505.07</v>
      </c>
      <c r="O4048" s="415">
        <v>0</v>
      </c>
      <c r="P4048" s="415">
        <v>0</v>
      </c>
      <c r="Q4048" s="481">
        <f t="shared" si="109"/>
        <v>0</v>
      </c>
    </row>
    <row r="4049" spans="1:17" x14ac:dyDescent="0.3">
      <c r="A4049" s="366" t="str">
        <f>IFERROR(VLOOKUP(RIGHT(E4049,3)+0,[1]SchLocTable!$A$2:$B$47,2,FALSE)," ")</f>
        <v>Beardsley</v>
      </c>
      <c r="B4049" s="366" t="str">
        <f>VLOOKUP(VALUE(D4049),$D$3:F$106,3,FALSE)</f>
        <v>Custodians</v>
      </c>
      <c r="C4049" t="s">
        <v>314</v>
      </c>
      <c r="D4049">
        <v>887</v>
      </c>
      <c r="E4049" t="s">
        <v>1157</v>
      </c>
      <c r="F4049" t="s">
        <v>329</v>
      </c>
      <c r="G4049" t="s">
        <v>319</v>
      </c>
      <c r="H4049" s="502">
        <v>51154</v>
      </c>
      <c r="I4049" s="415">
        <v>0</v>
      </c>
      <c r="J4049" s="415">
        <v>0</v>
      </c>
      <c r="K4049" s="415">
        <v>0</v>
      </c>
      <c r="L4049" s="415">
        <v>0</v>
      </c>
      <c r="M4049" s="415">
        <v>2665.76</v>
      </c>
      <c r="N4049" s="415">
        <v>0</v>
      </c>
      <c r="O4049" s="415">
        <v>0</v>
      </c>
      <c r="P4049" s="415">
        <v>0</v>
      </c>
      <c r="Q4049" s="481">
        <f t="shared" si="109"/>
        <v>0</v>
      </c>
    </row>
    <row r="4050" spans="1:17" x14ac:dyDescent="0.3">
      <c r="A4050" s="366" t="str">
        <f>IFERROR(VLOOKUP(RIGHT(E4050,3)+0,[1]SchLocTable!$A$2:$B$47,2,FALSE)," ")</f>
        <v>Beardsley</v>
      </c>
      <c r="B4050" s="366" t="str">
        <f>VLOOKUP(VALUE(D4050),$D$3:F$106,3,FALSE)</f>
        <v>Custodians</v>
      </c>
      <c r="C4050" t="s">
        <v>314</v>
      </c>
      <c r="D4050">
        <v>887</v>
      </c>
      <c r="E4050" t="s">
        <v>1157</v>
      </c>
      <c r="F4050" t="s">
        <v>418</v>
      </c>
      <c r="G4050" t="s">
        <v>319</v>
      </c>
      <c r="H4050" s="502">
        <v>51314</v>
      </c>
      <c r="I4050" s="415">
        <v>0</v>
      </c>
      <c r="J4050" s="415">
        <v>0</v>
      </c>
      <c r="K4050" s="415">
        <v>0</v>
      </c>
      <c r="L4050" s="415">
        <v>0</v>
      </c>
      <c r="M4050" s="415">
        <v>2439.84</v>
      </c>
      <c r="N4050" s="415">
        <v>0</v>
      </c>
      <c r="O4050" s="415">
        <v>0</v>
      </c>
      <c r="P4050" s="415">
        <v>0</v>
      </c>
      <c r="Q4050" s="481">
        <f t="shared" si="109"/>
        <v>0</v>
      </c>
    </row>
    <row r="4051" spans="1:17" x14ac:dyDescent="0.3">
      <c r="A4051" s="366" t="str">
        <f>IFERROR(VLOOKUP(RIGHT(E4051,3)+0,[1]SchLocTable!$A$2:$B$47,2,FALSE)," ")</f>
        <v>Beardsley</v>
      </c>
      <c r="B4051" s="366" t="str">
        <f>VLOOKUP(VALUE(D4051),$D$3:F$106,3,FALSE)</f>
        <v>Custodians</v>
      </c>
      <c r="C4051" t="s">
        <v>314</v>
      </c>
      <c r="D4051">
        <v>887</v>
      </c>
      <c r="E4051" t="s">
        <v>1157</v>
      </c>
      <c r="F4051" t="s">
        <v>356</v>
      </c>
      <c r="G4051" t="s">
        <v>319</v>
      </c>
      <c r="H4051" s="502">
        <v>51156</v>
      </c>
      <c r="I4051" s="415">
        <v>0</v>
      </c>
      <c r="J4051" s="415">
        <v>0</v>
      </c>
      <c r="K4051" s="415">
        <v>1811.84</v>
      </c>
      <c r="L4051" s="415">
        <v>0</v>
      </c>
      <c r="M4051" s="415">
        <v>0</v>
      </c>
      <c r="N4051" s="415">
        <v>0</v>
      </c>
      <c r="O4051" s="415">
        <v>0</v>
      </c>
      <c r="P4051" s="415">
        <v>816.8</v>
      </c>
      <c r="Q4051" s="481">
        <f t="shared" si="109"/>
        <v>0</v>
      </c>
    </row>
    <row r="4052" spans="1:17" x14ac:dyDescent="0.3">
      <c r="A4052" s="366" t="str">
        <f>IFERROR(VLOOKUP(RIGHT(E4052,3)+0,[1]SchLocTable!$A$2:$B$47,2,FALSE)," ")</f>
        <v>Black Rock</v>
      </c>
      <c r="B4052" s="366" t="str">
        <f>VLOOKUP(VALUE(D4052),$D$3:F$106,3,FALSE)</f>
        <v>Custodians</v>
      </c>
      <c r="C4052" t="s">
        <v>314</v>
      </c>
      <c r="D4052">
        <v>887</v>
      </c>
      <c r="E4052" t="s">
        <v>1158</v>
      </c>
      <c r="F4052" t="s">
        <v>1089</v>
      </c>
      <c r="G4052" t="s">
        <v>319</v>
      </c>
      <c r="H4052" s="502">
        <v>51102</v>
      </c>
      <c r="I4052" s="415">
        <v>10161.216</v>
      </c>
      <c r="J4052" s="415">
        <v>0</v>
      </c>
      <c r="K4052" s="415">
        <v>0</v>
      </c>
      <c r="L4052" s="415">
        <v>1132.93</v>
      </c>
      <c r="M4052" s="415">
        <v>3043.97</v>
      </c>
      <c r="N4052" s="415">
        <v>4459.76</v>
      </c>
      <c r="O4052" s="415">
        <v>1528.77</v>
      </c>
      <c r="P4052" s="415">
        <v>1797.25</v>
      </c>
      <c r="Q4052" s="481">
        <f t="shared" si="109"/>
        <v>-10161.216</v>
      </c>
    </row>
    <row r="4053" spans="1:17" x14ac:dyDescent="0.3">
      <c r="A4053" s="366" t="str">
        <f>IFERROR(VLOOKUP(RIGHT(E4053,3)+0,[1]SchLocTable!$A$2:$B$47,2,FALSE)," ")</f>
        <v>Black Rock</v>
      </c>
      <c r="B4053" s="366" t="str">
        <f>VLOOKUP(VALUE(D4053),$D$3:F$106,3,FALSE)</f>
        <v>Custodians</v>
      </c>
      <c r="C4053" t="s">
        <v>314</v>
      </c>
      <c r="D4053">
        <v>887</v>
      </c>
      <c r="E4053" t="s">
        <v>1158</v>
      </c>
      <c r="F4053" t="s">
        <v>316</v>
      </c>
      <c r="G4053">
        <v>3</v>
      </c>
      <c r="H4053" s="502">
        <v>51000</v>
      </c>
      <c r="I4053" s="415">
        <v>107355.83039999999</v>
      </c>
      <c r="J4053" s="415">
        <v>113230.32</v>
      </c>
      <c r="K4053" s="415">
        <v>149701.63</v>
      </c>
      <c r="L4053" s="415">
        <v>168900.81</v>
      </c>
      <c r="M4053" s="415">
        <v>145051.56</v>
      </c>
      <c r="N4053" s="415">
        <v>114388.59</v>
      </c>
      <c r="O4053" s="415">
        <v>134318.72</v>
      </c>
      <c r="P4053" s="415">
        <v>130030.66</v>
      </c>
      <c r="Q4053" s="481">
        <f t="shared" si="109"/>
        <v>5874.4896000000153</v>
      </c>
    </row>
    <row r="4054" spans="1:17" x14ac:dyDescent="0.3">
      <c r="A4054" s="366" t="str">
        <f>IFERROR(VLOOKUP(RIGHT(E4054,3)+0,[1]SchLocTable!$A$2:$B$47,2,FALSE)," ")</f>
        <v>Black Rock</v>
      </c>
      <c r="B4054" s="366" t="str">
        <f>VLOOKUP(VALUE(D4054),$D$3:F$106,3,FALSE)</f>
        <v>Custodians</v>
      </c>
      <c r="C4054" t="s">
        <v>314</v>
      </c>
      <c r="D4054">
        <v>887</v>
      </c>
      <c r="E4054" t="s">
        <v>1158</v>
      </c>
      <c r="F4054" t="s">
        <v>360</v>
      </c>
      <c r="G4054" t="s">
        <v>319</v>
      </c>
      <c r="H4054" s="502">
        <v>52920</v>
      </c>
      <c r="I4054" s="415">
        <v>0</v>
      </c>
      <c r="J4054" s="415">
        <v>0</v>
      </c>
      <c r="K4054" s="415">
        <v>0</v>
      </c>
      <c r="L4054" s="415">
        <v>0</v>
      </c>
      <c r="M4054" s="415">
        <v>1000</v>
      </c>
      <c r="N4054" s="415">
        <v>1000</v>
      </c>
      <c r="O4054" s="415">
        <v>0</v>
      </c>
      <c r="P4054" s="415">
        <v>0</v>
      </c>
      <c r="Q4054" s="481">
        <f t="shared" si="109"/>
        <v>0</v>
      </c>
    </row>
    <row r="4055" spans="1:17" x14ac:dyDescent="0.3">
      <c r="A4055" s="366" t="str">
        <f>IFERROR(VLOOKUP(RIGHT(E4055,3)+0,[1]SchLocTable!$A$2:$B$47,2,FALSE)," ")</f>
        <v>Black Rock</v>
      </c>
      <c r="B4055" s="366" t="str">
        <f>VLOOKUP(VALUE(D4055),$D$3:F$106,3,FALSE)</f>
        <v>Custodians</v>
      </c>
      <c r="C4055" t="s">
        <v>314</v>
      </c>
      <c r="D4055">
        <v>887</v>
      </c>
      <c r="E4055" t="s">
        <v>1158</v>
      </c>
      <c r="F4055" t="s">
        <v>321</v>
      </c>
      <c r="G4055" t="s">
        <v>319</v>
      </c>
      <c r="H4055" s="502">
        <v>52917</v>
      </c>
      <c r="I4055" s="415">
        <v>30128.591999999997</v>
      </c>
      <c r="J4055" s="415">
        <v>25203.72</v>
      </c>
      <c r="K4055" s="415">
        <v>32499.54</v>
      </c>
      <c r="L4055" s="415">
        <v>42053.34</v>
      </c>
      <c r="M4055" s="415">
        <v>30878.25</v>
      </c>
      <c r="N4055" s="415">
        <v>29494.14</v>
      </c>
      <c r="O4055" s="415">
        <v>51031.12</v>
      </c>
      <c r="P4055" s="415">
        <v>66872.92</v>
      </c>
      <c r="Q4055" s="481">
        <f t="shared" si="109"/>
        <v>-4924.8719999999958</v>
      </c>
    </row>
    <row r="4056" spans="1:17" x14ac:dyDescent="0.3">
      <c r="A4056" s="366" t="str">
        <f>IFERROR(VLOOKUP(RIGHT(E4056,3)+0,[1]SchLocTable!$A$2:$B$47,2,FALSE)," ")</f>
        <v>Black Rock</v>
      </c>
      <c r="B4056" s="366" t="str">
        <f>VLOOKUP(VALUE(D4056),$D$3:F$106,3,FALSE)</f>
        <v>Custodians</v>
      </c>
      <c r="C4056" t="s">
        <v>314</v>
      </c>
      <c r="D4056">
        <v>887</v>
      </c>
      <c r="E4056" t="s">
        <v>1158</v>
      </c>
      <c r="F4056" t="s">
        <v>318</v>
      </c>
      <c r="G4056" t="s">
        <v>319</v>
      </c>
      <c r="H4056" s="502">
        <v>51140</v>
      </c>
      <c r="I4056" s="415">
        <v>2325</v>
      </c>
      <c r="J4056" s="415">
        <v>2325</v>
      </c>
      <c r="K4056" s="415">
        <v>2175</v>
      </c>
      <c r="L4056" s="415">
        <v>1950</v>
      </c>
      <c r="M4056" s="415">
        <v>1125</v>
      </c>
      <c r="N4056" s="415">
        <v>1050</v>
      </c>
      <c r="O4056" s="415">
        <v>975</v>
      </c>
      <c r="P4056" s="415">
        <v>1200</v>
      </c>
      <c r="Q4056" s="481">
        <f t="shared" si="109"/>
        <v>0</v>
      </c>
    </row>
    <row r="4057" spans="1:17" x14ac:dyDescent="0.3">
      <c r="A4057" s="366" t="str">
        <f>IFERROR(VLOOKUP(RIGHT(E4057,3)+0,[1]SchLocTable!$A$2:$B$47,2,FALSE)," ")</f>
        <v>Black Rock</v>
      </c>
      <c r="B4057" s="366" t="str">
        <f>VLOOKUP(VALUE(D4057),$D$3:F$106,3,FALSE)</f>
        <v>Custodians</v>
      </c>
      <c r="C4057" t="s">
        <v>314</v>
      </c>
      <c r="D4057">
        <v>887</v>
      </c>
      <c r="E4057" t="s">
        <v>1158</v>
      </c>
      <c r="F4057" t="s">
        <v>320</v>
      </c>
      <c r="G4057" t="s">
        <v>319</v>
      </c>
      <c r="H4057" s="502">
        <v>52360</v>
      </c>
      <c r="I4057" s="415">
        <v>2243.6368578000001</v>
      </c>
      <c r="J4057" s="415">
        <v>1887</v>
      </c>
      <c r="K4057" s="415">
        <v>2769.43</v>
      </c>
      <c r="L4057" s="415">
        <v>2865.54</v>
      </c>
      <c r="M4057" s="415">
        <v>2442.62</v>
      </c>
      <c r="N4057" s="415">
        <v>2105.71</v>
      </c>
      <c r="O4057" s="415">
        <v>2174.1799999999998</v>
      </c>
      <c r="P4057" s="415">
        <v>1958.4</v>
      </c>
      <c r="Q4057" s="481">
        <f t="shared" si="109"/>
        <v>-356.63685780000014</v>
      </c>
    </row>
    <row r="4058" spans="1:17" x14ac:dyDescent="0.3">
      <c r="A4058" s="366" t="str">
        <f>IFERROR(VLOOKUP(RIGHT(E4058,3)+0,[1]SchLocTable!$A$2:$B$47,2,FALSE)," ")</f>
        <v>Black Rock</v>
      </c>
      <c r="B4058" s="366" t="str">
        <f>VLOOKUP(VALUE(D4058),$D$3:F$106,3,FALSE)</f>
        <v>Custodians</v>
      </c>
      <c r="C4058" t="s">
        <v>314</v>
      </c>
      <c r="D4058">
        <v>887</v>
      </c>
      <c r="E4058" t="s">
        <v>1158</v>
      </c>
      <c r="F4058" t="s">
        <v>392</v>
      </c>
      <c r="G4058" t="s">
        <v>319</v>
      </c>
      <c r="H4058" s="502">
        <v>52504</v>
      </c>
      <c r="I4058" s="415">
        <v>32153.637175920001</v>
      </c>
      <c r="J4058" s="415">
        <v>30140</v>
      </c>
      <c r="K4058" s="415">
        <v>40880.300000000003</v>
      </c>
      <c r="L4058" s="415">
        <v>41288.68</v>
      </c>
      <c r="M4058" s="415">
        <v>33474.06</v>
      </c>
      <c r="N4058" s="415">
        <v>27689.360000000001</v>
      </c>
      <c r="O4058" s="415">
        <v>27868.27</v>
      </c>
      <c r="P4058" s="415">
        <v>22691.15</v>
      </c>
      <c r="Q4058" s="481">
        <f t="shared" si="109"/>
        <v>-2013.637175920001</v>
      </c>
    </row>
    <row r="4059" spans="1:17" x14ac:dyDescent="0.3">
      <c r="A4059" s="366" t="str">
        <f>IFERROR(VLOOKUP(RIGHT(E4059,3)+0,[1]SchLocTable!$A$2:$B$47,2,FALSE)," ")</f>
        <v>Black Rock</v>
      </c>
      <c r="B4059" s="366" t="str">
        <f>VLOOKUP(VALUE(D4059),$D$3:F$106,3,FALSE)</f>
        <v>Custodians</v>
      </c>
      <c r="C4059" t="s">
        <v>314</v>
      </c>
      <c r="D4059">
        <v>887</v>
      </c>
      <c r="E4059" t="s">
        <v>1158</v>
      </c>
      <c r="F4059" t="s">
        <v>1090</v>
      </c>
      <c r="G4059" t="s">
        <v>319</v>
      </c>
      <c r="H4059" s="502">
        <v>51138</v>
      </c>
      <c r="I4059" s="415">
        <v>4642.5132000000003</v>
      </c>
      <c r="J4059" s="415">
        <v>2886.56</v>
      </c>
      <c r="K4059" s="415">
        <v>3717.81</v>
      </c>
      <c r="L4059" s="415">
        <v>5359.57</v>
      </c>
      <c r="M4059" s="415">
        <v>3549.63</v>
      </c>
      <c r="N4059" s="415">
        <v>3779.77</v>
      </c>
      <c r="O4059" s="415">
        <v>3501.43</v>
      </c>
      <c r="P4059" s="415">
        <v>3422.44</v>
      </c>
      <c r="Q4059" s="481">
        <f t="shared" si="109"/>
        <v>-1755.9532000000004</v>
      </c>
    </row>
    <row r="4060" spans="1:17" x14ac:dyDescent="0.3">
      <c r="A4060" s="366" t="str">
        <f>IFERROR(VLOOKUP(RIGHT(E4060,3)+0,[1]SchLocTable!$A$2:$B$47,2,FALSE)," ")</f>
        <v>Black Rock</v>
      </c>
      <c r="B4060" s="366" t="str">
        <f>VLOOKUP(VALUE(D4060),$D$3:F$106,3,FALSE)</f>
        <v>Custodians</v>
      </c>
      <c r="C4060" t="s">
        <v>314</v>
      </c>
      <c r="D4060">
        <v>887</v>
      </c>
      <c r="E4060" t="s">
        <v>1158</v>
      </c>
      <c r="F4060" t="s">
        <v>452</v>
      </c>
      <c r="G4060" t="s">
        <v>319</v>
      </c>
      <c r="H4060" s="502">
        <v>51108</v>
      </c>
      <c r="I4060" s="415">
        <v>4712.4791999999998</v>
      </c>
      <c r="J4060" s="415">
        <v>897.64</v>
      </c>
      <c r="K4060" s="415">
        <v>1628.52</v>
      </c>
      <c r="L4060" s="415">
        <v>3225.22</v>
      </c>
      <c r="M4060" s="415">
        <v>3403.28</v>
      </c>
      <c r="N4060" s="415">
        <v>6224.12</v>
      </c>
      <c r="O4060" s="415">
        <v>5439.24</v>
      </c>
      <c r="P4060" s="415">
        <v>3156.71</v>
      </c>
      <c r="Q4060" s="481">
        <f t="shared" si="109"/>
        <v>-3814.8391999999999</v>
      </c>
    </row>
    <row r="4061" spans="1:17" x14ac:dyDescent="0.3">
      <c r="A4061" s="366" t="str">
        <f>IFERROR(VLOOKUP(RIGHT(E4061,3)+0,[1]SchLocTable!$A$2:$B$47,2,FALSE)," ")</f>
        <v>Black Rock</v>
      </c>
      <c r="B4061" s="366" t="str">
        <f>VLOOKUP(VALUE(D4061),$D$3:F$106,3,FALSE)</f>
        <v>Custodians</v>
      </c>
      <c r="C4061" t="s">
        <v>314</v>
      </c>
      <c r="D4061">
        <v>887</v>
      </c>
      <c r="E4061" t="s">
        <v>1158</v>
      </c>
      <c r="F4061" t="s">
        <v>483</v>
      </c>
      <c r="G4061" t="s">
        <v>319</v>
      </c>
      <c r="H4061" s="502">
        <v>51122</v>
      </c>
      <c r="I4061" s="415">
        <v>26280.552480000002</v>
      </c>
      <c r="J4061" s="415">
        <v>23389.64</v>
      </c>
      <c r="K4061" s="415">
        <v>41598.06</v>
      </c>
      <c r="L4061" s="415">
        <v>12507.71</v>
      </c>
      <c r="M4061" s="415">
        <v>12957.2</v>
      </c>
      <c r="N4061" s="415">
        <v>17897.439999999999</v>
      </c>
      <c r="O4061" s="415">
        <v>8209.73</v>
      </c>
      <c r="P4061" s="415">
        <v>8414.7199999999993</v>
      </c>
      <c r="Q4061" s="481">
        <f t="shared" si="109"/>
        <v>-2890.9124800000027</v>
      </c>
    </row>
    <row r="4062" spans="1:17" x14ac:dyDescent="0.3">
      <c r="A4062" s="366" t="str">
        <f>IFERROR(VLOOKUP(RIGHT(E4062,3)+0,[1]SchLocTable!$A$2:$B$47,2,FALSE)," ")</f>
        <v>Black Rock</v>
      </c>
      <c r="B4062" s="366" t="str">
        <f>VLOOKUP(VALUE(D4062),$D$3:F$106,3,FALSE)</f>
        <v>Custodians</v>
      </c>
      <c r="C4062" t="s">
        <v>314</v>
      </c>
      <c r="D4062">
        <v>887</v>
      </c>
      <c r="E4062" t="s">
        <v>1158</v>
      </c>
      <c r="F4062" t="s">
        <v>324</v>
      </c>
      <c r="G4062" t="s">
        <v>319</v>
      </c>
      <c r="H4062" s="502">
        <v>52385</v>
      </c>
      <c r="I4062" s="415">
        <v>0</v>
      </c>
      <c r="J4062" s="415">
        <v>81.13</v>
      </c>
      <c r="K4062" s="415">
        <v>346.39</v>
      </c>
      <c r="L4062" s="415">
        <v>673.35</v>
      </c>
      <c r="M4062" s="415">
        <v>1351.6</v>
      </c>
      <c r="N4062" s="415">
        <v>583.44000000000005</v>
      </c>
      <c r="O4062" s="415">
        <v>0</v>
      </c>
      <c r="P4062" s="415">
        <v>0</v>
      </c>
      <c r="Q4062" s="481">
        <f t="shared" si="109"/>
        <v>81.13</v>
      </c>
    </row>
    <row r="4063" spans="1:17" x14ac:dyDescent="0.3">
      <c r="A4063" s="366" t="str">
        <f>IFERROR(VLOOKUP(RIGHT(E4063,3)+0,[1]SchLocTable!$A$2:$B$47,2,FALSE)," ")</f>
        <v>Bryant</v>
      </c>
      <c r="B4063" s="366" t="str">
        <f>VLOOKUP(VALUE(D4063),$D$3:F$106,3,FALSE)</f>
        <v>Custodians</v>
      </c>
      <c r="C4063" t="s">
        <v>314</v>
      </c>
      <c r="D4063">
        <v>887</v>
      </c>
      <c r="E4063" t="s">
        <v>1159</v>
      </c>
      <c r="F4063" t="s">
        <v>1089</v>
      </c>
      <c r="G4063" t="s">
        <v>319</v>
      </c>
      <c r="H4063" s="502">
        <v>51102</v>
      </c>
      <c r="I4063" s="415">
        <v>10161.216</v>
      </c>
      <c r="J4063" s="415">
        <v>0</v>
      </c>
      <c r="K4063" s="415">
        <v>0</v>
      </c>
      <c r="L4063" s="415">
        <v>3958.24</v>
      </c>
      <c r="M4063" s="415">
        <v>8052</v>
      </c>
      <c r="N4063" s="415">
        <v>1156.5999999999999</v>
      </c>
      <c r="O4063" s="415">
        <v>828.15</v>
      </c>
      <c r="P4063" s="415">
        <v>1096.6500000000001</v>
      </c>
      <c r="Q4063" s="481">
        <f t="shared" si="109"/>
        <v>-10161.216</v>
      </c>
    </row>
    <row r="4064" spans="1:17" x14ac:dyDescent="0.3">
      <c r="A4064" s="366" t="str">
        <f>IFERROR(VLOOKUP(RIGHT(E4064,3)+0,[1]SchLocTable!$A$2:$B$47,2,FALSE)," ")</f>
        <v>Bryant</v>
      </c>
      <c r="B4064" s="366" t="str">
        <f>VLOOKUP(VALUE(D4064),$D$3:F$106,3,FALSE)</f>
        <v>Custodians</v>
      </c>
      <c r="C4064" t="s">
        <v>314</v>
      </c>
      <c r="D4064">
        <v>887</v>
      </c>
      <c r="E4064" t="s">
        <v>1159</v>
      </c>
      <c r="F4064" t="s">
        <v>316</v>
      </c>
      <c r="G4064">
        <v>2</v>
      </c>
      <c r="H4064" s="502">
        <v>51000</v>
      </c>
      <c r="I4064" s="415">
        <v>107990.90639999998</v>
      </c>
      <c r="J4064" s="415">
        <v>150063</v>
      </c>
      <c r="K4064" s="415">
        <v>146281.72</v>
      </c>
      <c r="L4064" s="415">
        <v>125204.05</v>
      </c>
      <c r="M4064" s="415">
        <v>134115.54999999999</v>
      </c>
      <c r="N4064" s="415">
        <v>140327.34</v>
      </c>
      <c r="O4064" s="415">
        <v>141398.89000000001</v>
      </c>
      <c r="P4064" s="415">
        <v>128922.99</v>
      </c>
      <c r="Q4064" s="481">
        <f t="shared" si="109"/>
        <v>42072.093600000022</v>
      </c>
    </row>
    <row r="4065" spans="1:20" x14ac:dyDescent="0.3">
      <c r="A4065" s="366" t="str">
        <f>IFERROR(VLOOKUP(RIGHT(E4065,3)+0,[1]SchLocTable!$A$2:$B$47,2,FALSE)," ")</f>
        <v>Bryant</v>
      </c>
      <c r="B4065" s="366" t="str">
        <f>VLOOKUP(VALUE(D4065),$D$3:F$106,3,FALSE)</f>
        <v>Custodians</v>
      </c>
      <c r="C4065" t="s">
        <v>314</v>
      </c>
      <c r="D4065">
        <v>887</v>
      </c>
      <c r="E4065" t="s">
        <v>1159</v>
      </c>
      <c r="F4065" t="s">
        <v>321</v>
      </c>
      <c r="G4065" t="s">
        <v>319</v>
      </c>
      <c r="H4065" s="502">
        <v>52917</v>
      </c>
      <c r="I4065" s="415">
        <v>50283.167999999991</v>
      </c>
      <c r="J4065" s="415">
        <v>72329</v>
      </c>
      <c r="K4065" s="415">
        <v>66371.070000000007</v>
      </c>
      <c r="L4065" s="415">
        <v>62670.87</v>
      </c>
      <c r="M4065" s="415">
        <v>57325.1</v>
      </c>
      <c r="N4065" s="415">
        <v>42176.55</v>
      </c>
      <c r="O4065" s="415">
        <v>40090.57</v>
      </c>
      <c r="P4065" s="415">
        <v>49926.400000000001</v>
      </c>
      <c r="Q4065" s="481">
        <f t="shared" si="109"/>
        <v>22045.832000000009</v>
      </c>
    </row>
    <row r="4066" spans="1:20" x14ac:dyDescent="0.3">
      <c r="A4066" s="366" t="str">
        <f>IFERROR(VLOOKUP(RIGHT(E4066,3)+0,[1]SchLocTable!$A$2:$B$47,2,FALSE)," ")</f>
        <v>Bryant</v>
      </c>
      <c r="B4066" s="366" t="str">
        <f>VLOOKUP(VALUE(D4066),$D$3:F$106,3,FALSE)</f>
        <v>Custodians</v>
      </c>
      <c r="C4066" t="s">
        <v>314</v>
      </c>
      <c r="D4066">
        <v>887</v>
      </c>
      <c r="E4066" t="s">
        <v>1159</v>
      </c>
      <c r="F4066" t="s">
        <v>318</v>
      </c>
      <c r="G4066" t="s">
        <v>319</v>
      </c>
      <c r="H4066" s="502">
        <v>51140</v>
      </c>
      <c r="I4066" s="415">
        <v>2787.5</v>
      </c>
      <c r="J4066" s="415">
        <v>2625</v>
      </c>
      <c r="K4066" s="415">
        <v>1800</v>
      </c>
      <c r="L4066" s="415">
        <v>1725</v>
      </c>
      <c r="M4066" s="415">
        <v>2550</v>
      </c>
      <c r="N4066" s="415">
        <v>2400</v>
      </c>
      <c r="O4066" s="415">
        <v>2250</v>
      </c>
      <c r="P4066" s="415">
        <v>2325</v>
      </c>
      <c r="Q4066" s="481">
        <f t="shared" si="109"/>
        <v>-162.5</v>
      </c>
    </row>
    <row r="4067" spans="1:20" x14ac:dyDescent="0.3">
      <c r="A4067" s="366" t="str">
        <f>IFERROR(VLOOKUP(RIGHT(E4067,3)+0,[1]SchLocTable!$A$2:$B$47,2,FALSE)," ")</f>
        <v>Bryant</v>
      </c>
      <c r="B4067" s="366" t="str">
        <f>VLOOKUP(VALUE(D4067),$D$3:F$106,3,FALSE)</f>
        <v>Custodians</v>
      </c>
      <c r="C4067" t="s">
        <v>314</v>
      </c>
      <c r="D4067">
        <v>887</v>
      </c>
      <c r="E4067" t="s">
        <v>1159</v>
      </c>
      <c r="F4067" t="s">
        <v>320</v>
      </c>
      <c r="G4067" t="s">
        <v>319</v>
      </c>
      <c r="H4067" s="502">
        <v>52360</v>
      </c>
      <c r="I4067" s="415">
        <v>2268.8200431</v>
      </c>
      <c r="J4067" s="415">
        <v>1987</v>
      </c>
      <c r="K4067" s="415">
        <v>2284.17</v>
      </c>
      <c r="L4067" s="415">
        <v>2250.7600000000002</v>
      </c>
      <c r="M4067" s="415">
        <v>2276.87</v>
      </c>
      <c r="N4067" s="415">
        <v>2301.89</v>
      </c>
      <c r="O4067" s="415">
        <v>2119.81</v>
      </c>
      <c r="P4067" s="415">
        <v>2103.71</v>
      </c>
      <c r="Q4067" s="481">
        <f t="shared" si="109"/>
        <v>-281.82004310000002</v>
      </c>
    </row>
    <row r="4068" spans="1:20" x14ac:dyDescent="0.3">
      <c r="A4068" s="366" t="str">
        <f>IFERROR(VLOOKUP(RIGHT(E4068,3)+0,[1]SchLocTable!$A$2:$B$47,2,FALSE)," ")</f>
        <v>Bryant</v>
      </c>
      <c r="B4068" s="366" t="str">
        <f>VLOOKUP(VALUE(D4068),$D$3:F$106,3,FALSE)</f>
        <v>Custodians</v>
      </c>
      <c r="C4068" t="s">
        <v>314</v>
      </c>
      <c r="D4068">
        <v>887</v>
      </c>
      <c r="E4068" t="s">
        <v>1159</v>
      </c>
      <c r="F4068" t="s">
        <v>392</v>
      </c>
      <c r="G4068" t="s">
        <v>319</v>
      </c>
      <c r="H4068" s="502">
        <v>52504</v>
      </c>
      <c r="I4068" s="415">
        <v>32514.53827284</v>
      </c>
      <c r="J4068" s="415">
        <v>31729</v>
      </c>
      <c r="K4068" s="415">
        <v>36614.83</v>
      </c>
      <c r="L4068" s="415">
        <v>48689.39</v>
      </c>
      <c r="M4068" s="415">
        <v>36282.9</v>
      </c>
      <c r="N4068" s="415">
        <v>31738.54</v>
      </c>
      <c r="O4068" s="415">
        <v>25234.11</v>
      </c>
      <c r="P4068" s="415">
        <v>21936.43</v>
      </c>
      <c r="Q4068" s="481">
        <f t="shared" si="109"/>
        <v>-785.53827283999999</v>
      </c>
    </row>
    <row r="4069" spans="1:20" x14ac:dyDescent="0.3">
      <c r="A4069" s="366" t="str">
        <f>IFERROR(VLOOKUP(RIGHT(E4069,3)+0,[1]SchLocTable!$A$2:$B$47,2,FALSE)," ")</f>
        <v>Bryant</v>
      </c>
      <c r="B4069" s="366" t="str">
        <f>VLOOKUP(VALUE(D4069),$D$3:F$106,3,FALSE)</f>
        <v>Custodians</v>
      </c>
      <c r="C4069" t="s">
        <v>314</v>
      </c>
      <c r="D4069">
        <v>887</v>
      </c>
      <c r="E4069" t="s">
        <v>1159</v>
      </c>
      <c r="F4069" t="s">
        <v>1090</v>
      </c>
      <c r="G4069" t="s">
        <v>319</v>
      </c>
      <c r="H4069" s="502">
        <v>51138</v>
      </c>
      <c r="I4069" s="415">
        <v>4796.9766</v>
      </c>
      <c r="J4069" s="415">
        <v>4075.29</v>
      </c>
      <c r="K4069" s="415">
        <v>3844.66</v>
      </c>
      <c r="L4069" s="415">
        <v>3717.83</v>
      </c>
      <c r="M4069" s="415">
        <v>3909.32</v>
      </c>
      <c r="N4069" s="415">
        <v>4319.05</v>
      </c>
      <c r="O4069" s="415">
        <v>3759.13</v>
      </c>
      <c r="P4069" s="415">
        <v>3321.79</v>
      </c>
      <c r="Q4069" s="481">
        <f t="shared" si="109"/>
        <v>-721.6866</v>
      </c>
    </row>
    <row r="4070" spans="1:20" x14ac:dyDescent="0.3">
      <c r="A4070" s="366" t="str">
        <f>IFERROR(VLOOKUP(RIGHT(E4070,3)+0,[1]SchLocTable!$A$2:$B$47,2,FALSE)," ")</f>
        <v>Bryant</v>
      </c>
      <c r="B4070" s="366" t="str">
        <f>VLOOKUP(VALUE(D4070),$D$3:F$106,3,FALSE)</f>
        <v>Custodians</v>
      </c>
      <c r="C4070" t="s">
        <v>314</v>
      </c>
      <c r="D4070">
        <v>887</v>
      </c>
      <c r="E4070" t="s">
        <v>1159</v>
      </c>
      <c r="F4070" t="s">
        <v>452</v>
      </c>
      <c r="G4070" t="s">
        <v>319</v>
      </c>
      <c r="H4070" s="502">
        <v>51108</v>
      </c>
      <c r="I4070" s="415">
        <v>0</v>
      </c>
      <c r="J4070" s="415">
        <v>320.05</v>
      </c>
      <c r="K4070" s="415">
        <v>1586.08</v>
      </c>
      <c r="L4070" s="415">
        <v>1802.21</v>
      </c>
      <c r="M4070" s="415">
        <v>2498.36</v>
      </c>
      <c r="N4070" s="415">
        <v>2719.06</v>
      </c>
      <c r="O4070" s="415">
        <v>950.53</v>
      </c>
      <c r="P4070" s="415">
        <v>1107.79</v>
      </c>
      <c r="Q4070" s="481">
        <f t="shared" si="109"/>
        <v>320.05</v>
      </c>
    </row>
    <row r="4071" spans="1:20" x14ac:dyDescent="0.3">
      <c r="A4071" s="366" t="str">
        <f>IFERROR(VLOOKUP(RIGHT(E4071,3)+0,[1]SchLocTable!$A$2:$B$47,2,FALSE)," ")</f>
        <v>Bryant</v>
      </c>
      <c r="B4071" s="366" t="str">
        <f>VLOOKUP(VALUE(D4071),$D$3:F$106,3,FALSE)</f>
        <v>Custodians</v>
      </c>
      <c r="C4071" t="s">
        <v>314</v>
      </c>
      <c r="D4071">
        <v>887</v>
      </c>
      <c r="E4071" t="s">
        <v>1159</v>
      </c>
      <c r="F4071" t="s">
        <v>483</v>
      </c>
      <c r="G4071" t="s">
        <v>319</v>
      </c>
      <c r="H4071" s="502">
        <v>51122</v>
      </c>
      <c r="I4071" s="415">
        <v>26105.316640000005</v>
      </c>
      <c r="J4071" s="415">
        <v>3709.82</v>
      </c>
      <c r="K4071" s="415">
        <v>11849.46</v>
      </c>
      <c r="L4071" s="415">
        <v>8562.43</v>
      </c>
      <c r="M4071" s="415">
        <v>2846.77</v>
      </c>
      <c r="N4071" s="415">
        <v>7929.43</v>
      </c>
      <c r="O4071" s="415">
        <v>152.53</v>
      </c>
      <c r="P4071" s="415">
        <v>3695.2</v>
      </c>
      <c r="Q4071" s="481">
        <f t="shared" si="109"/>
        <v>-22395.496640000005</v>
      </c>
    </row>
    <row r="4072" spans="1:20" x14ac:dyDescent="0.3">
      <c r="A4072" s="366" t="str">
        <f>IFERROR(VLOOKUP(RIGHT(E4072,3)+0,[1]SchLocTable!$A$2:$B$47,2,FALSE)," ")</f>
        <v>Bryant</v>
      </c>
      <c r="B4072" s="366" t="str">
        <f>VLOOKUP(VALUE(D4072),$D$3:F$106,3,FALSE)</f>
        <v>Custodians</v>
      </c>
      <c r="C4072" t="s">
        <v>314</v>
      </c>
      <c r="D4072">
        <v>887</v>
      </c>
      <c r="E4072" t="s">
        <v>1159</v>
      </c>
      <c r="F4072" t="s">
        <v>324</v>
      </c>
      <c r="G4072" t="s">
        <v>319</v>
      </c>
      <c r="H4072" s="502">
        <v>52385</v>
      </c>
      <c r="I4072" s="415">
        <v>0</v>
      </c>
      <c r="J4072" s="415">
        <v>0</v>
      </c>
      <c r="K4072" s="415">
        <v>0</v>
      </c>
      <c r="L4072" s="415">
        <v>10.1</v>
      </c>
      <c r="M4072" s="415">
        <v>0</v>
      </c>
      <c r="N4072" s="415">
        <v>0</v>
      </c>
      <c r="O4072" s="415">
        <v>0</v>
      </c>
      <c r="P4072" s="415">
        <v>0</v>
      </c>
      <c r="Q4072" s="481">
        <f t="shared" si="109"/>
        <v>0</v>
      </c>
    </row>
    <row r="4073" spans="1:20" x14ac:dyDescent="0.3">
      <c r="A4073" s="366" t="str">
        <f>IFERROR(VLOOKUP(RIGHT(E4073,3)+0,[1]SchLocTable!$A$2:$B$47,2,FALSE)," ")</f>
        <v>Bryant</v>
      </c>
      <c r="B4073" s="366" t="str">
        <f>VLOOKUP(VALUE(D4073),$D$3:F$106,3,FALSE)</f>
        <v>Custodians</v>
      </c>
      <c r="C4073" t="s">
        <v>314</v>
      </c>
      <c r="D4073">
        <v>887</v>
      </c>
      <c r="E4073" t="s">
        <v>1159</v>
      </c>
      <c r="F4073" t="s">
        <v>329</v>
      </c>
      <c r="G4073" t="s">
        <v>319</v>
      </c>
      <c r="H4073" s="502">
        <v>51154</v>
      </c>
      <c r="I4073" s="415">
        <v>2693.2337000000002</v>
      </c>
      <c r="J4073" s="415">
        <v>0</v>
      </c>
      <c r="K4073" s="415">
        <v>0</v>
      </c>
      <c r="L4073" s="415">
        <v>0</v>
      </c>
      <c r="M4073" s="415">
        <v>0</v>
      </c>
      <c r="N4073" s="415">
        <v>0</v>
      </c>
      <c r="O4073" s="415">
        <v>0</v>
      </c>
      <c r="P4073" s="415">
        <v>0</v>
      </c>
      <c r="Q4073" s="481">
        <f t="shared" si="109"/>
        <v>-2693.2337000000002</v>
      </c>
    </row>
    <row r="4074" spans="1:20" x14ac:dyDescent="0.3">
      <c r="A4074" s="366" t="str">
        <f>IFERROR(VLOOKUP(RIGHT(E4074,3)+0,[1]SchLocTable!$A$2:$B$47,2,FALSE)," ")</f>
        <v>Bryant</v>
      </c>
      <c r="B4074" s="366" t="str">
        <f>VLOOKUP(VALUE(D4074),$D$3:F$106,3,FALSE)</f>
        <v>Custodians</v>
      </c>
      <c r="C4074" t="s">
        <v>314</v>
      </c>
      <c r="D4074">
        <v>887</v>
      </c>
      <c r="E4074" t="s">
        <v>1159</v>
      </c>
      <c r="F4074" t="s">
        <v>418</v>
      </c>
      <c r="G4074" t="s">
        <v>319</v>
      </c>
      <c r="H4074" s="502">
        <v>51314</v>
      </c>
      <c r="I4074" s="415">
        <v>3164.5205000000001</v>
      </c>
      <c r="J4074" s="415">
        <v>0</v>
      </c>
      <c r="K4074" s="415">
        <v>0</v>
      </c>
      <c r="L4074" s="415">
        <v>0</v>
      </c>
      <c r="M4074" s="415">
        <v>0</v>
      </c>
      <c r="N4074" s="415">
        <v>0</v>
      </c>
      <c r="O4074" s="415">
        <v>0</v>
      </c>
      <c r="P4074" s="415">
        <v>0</v>
      </c>
      <c r="Q4074" s="481">
        <f t="shared" si="109"/>
        <v>-3164.5205000000001</v>
      </c>
    </row>
    <row r="4075" spans="1:20" x14ac:dyDescent="0.3">
      <c r="A4075" s="366" t="str">
        <f>IFERROR(VLOOKUP(RIGHT(E4075,3)+0,[1]SchLocTable!$A$2:$B$47,2,FALSE)," ")</f>
        <v>Bryant</v>
      </c>
      <c r="B4075" s="366" t="str">
        <f>VLOOKUP(VALUE(D4075),$D$3:F$106,3,FALSE)</f>
        <v>Custodians</v>
      </c>
      <c r="C4075" t="s">
        <v>314</v>
      </c>
      <c r="D4075">
        <v>887</v>
      </c>
      <c r="E4075" t="s">
        <v>1159</v>
      </c>
      <c r="F4075" t="s">
        <v>356</v>
      </c>
      <c r="G4075" t="s">
        <v>319</v>
      </c>
      <c r="H4075" s="502">
        <v>51156</v>
      </c>
      <c r="I4075" s="415">
        <v>0</v>
      </c>
      <c r="J4075" s="415">
        <v>0</v>
      </c>
      <c r="K4075" s="415">
        <v>1932.76</v>
      </c>
      <c r="L4075" s="415">
        <v>1723.44</v>
      </c>
      <c r="M4075" s="415">
        <v>884.37</v>
      </c>
      <c r="N4075" s="415">
        <v>0</v>
      </c>
      <c r="O4075" s="415">
        <v>795.96</v>
      </c>
      <c r="P4075" s="415">
        <v>0</v>
      </c>
      <c r="Q4075" s="481">
        <f t="shared" si="109"/>
        <v>0</v>
      </c>
    </row>
    <row r="4076" spans="1:20" x14ac:dyDescent="0.3">
      <c r="A4076" s="366" t="str">
        <f>IFERROR(VLOOKUP(RIGHT(E4076,3)+0,[1]SchLocTable!$A$2:$B$47,2,FALSE)," ")</f>
        <v>Columbus</v>
      </c>
      <c r="B4076" s="366" t="str">
        <f>VLOOKUP(VALUE(D4076),$D$3:F$106,3,FALSE)</f>
        <v>Custodians</v>
      </c>
      <c r="C4076" t="s">
        <v>314</v>
      </c>
      <c r="D4076">
        <v>887</v>
      </c>
      <c r="E4076" t="s">
        <v>1160</v>
      </c>
      <c r="F4076" t="s">
        <v>1089</v>
      </c>
      <c r="G4076" t="s">
        <v>319</v>
      </c>
      <c r="H4076" s="502">
        <v>51102</v>
      </c>
      <c r="I4076" s="415">
        <v>12193.459200000001</v>
      </c>
      <c r="J4076" s="415">
        <v>0</v>
      </c>
      <c r="K4076" s="415">
        <v>0</v>
      </c>
      <c r="L4076" s="415">
        <v>5153.6000000000004</v>
      </c>
      <c r="M4076" s="415">
        <v>10406</v>
      </c>
      <c r="N4076" s="415">
        <v>9622.31</v>
      </c>
      <c r="O4076" s="415">
        <v>3087.77</v>
      </c>
      <c r="P4076" s="415">
        <v>1627.4</v>
      </c>
      <c r="Q4076" s="481">
        <f t="shared" si="109"/>
        <v>-12193.459200000001</v>
      </c>
    </row>
    <row r="4077" spans="1:20" x14ac:dyDescent="0.3">
      <c r="A4077" s="366" t="str">
        <f>IFERROR(VLOOKUP(RIGHT(E4077,3)+0,[1]SchLocTable!$A$2:$B$47,2,FALSE)," ")</f>
        <v>Columbus</v>
      </c>
      <c r="B4077" s="366" t="str">
        <f>VLOOKUP(VALUE(D4077),$D$3:F$106,3,FALSE)</f>
        <v>Custodians</v>
      </c>
      <c r="C4077" t="s">
        <v>314</v>
      </c>
      <c r="D4077">
        <v>887</v>
      </c>
      <c r="E4077" t="s">
        <v>1160</v>
      </c>
      <c r="F4077" t="s">
        <v>316</v>
      </c>
      <c r="G4077">
        <v>3</v>
      </c>
      <c r="H4077" s="502">
        <v>51000</v>
      </c>
      <c r="I4077" s="415">
        <v>156796.49699999997</v>
      </c>
      <c r="J4077" s="415">
        <v>162032.4</v>
      </c>
      <c r="K4077" s="415">
        <v>189591.34</v>
      </c>
      <c r="L4077" s="415">
        <v>162780.45000000001</v>
      </c>
      <c r="M4077" s="415">
        <v>123318.93</v>
      </c>
      <c r="N4077" s="415">
        <v>149877.29999999999</v>
      </c>
      <c r="O4077" s="415">
        <v>155263.62</v>
      </c>
      <c r="P4077" s="415">
        <v>172795.54</v>
      </c>
      <c r="Q4077" s="481">
        <f t="shared" si="109"/>
        <v>5235.9030000000203</v>
      </c>
    </row>
    <row r="4078" spans="1:20" x14ac:dyDescent="0.3">
      <c r="A4078" s="366" t="str">
        <f>IFERROR(VLOOKUP(RIGHT(E4078,3)+0,[1]SchLocTable!$A$2:$B$47,2,FALSE)," ")</f>
        <v>Columbus</v>
      </c>
      <c r="B4078" s="366" t="str">
        <f>VLOOKUP(VALUE(D4078),$D$3:F$106,3,FALSE)</f>
        <v>Custodians</v>
      </c>
      <c r="C4078" t="s">
        <v>314</v>
      </c>
      <c r="D4078">
        <v>887</v>
      </c>
      <c r="E4078" t="s">
        <v>1160</v>
      </c>
      <c r="F4078" t="s">
        <v>360</v>
      </c>
      <c r="G4078" t="s">
        <v>319</v>
      </c>
      <c r="H4078" s="502">
        <v>52920</v>
      </c>
      <c r="I4078" s="415">
        <v>0</v>
      </c>
      <c r="J4078" s="415">
        <v>0</v>
      </c>
      <c r="K4078" s="415">
        <v>500</v>
      </c>
      <c r="L4078" s="415">
        <v>1250</v>
      </c>
      <c r="M4078" s="415">
        <v>0</v>
      </c>
      <c r="N4078" s="415">
        <v>0</v>
      </c>
      <c r="O4078" s="415">
        <v>1000</v>
      </c>
      <c r="P4078" s="415">
        <v>2000</v>
      </c>
      <c r="Q4078" s="481">
        <f t="shared" si="109"/>
        <v>0</v>
      </c>
    </row>
    <row r="4079" spans="1:20" x14ac:dyDescent="0.3">
      <c r="A4079" s="366" t="str">
        <f>IFERROR(VLOOKUP(RIGHT(E4079,3)+0,[1]SchLocTable!$A$2:$B$47,2,FALSE)," ")</f>
        <v>Columbus</v>
      </c>
      <c r="B4079" s="366" t="str">
        <f>VLOOKUP(VALUE(D4079),$D$3:F$106,3,FALSE)</f>
        <v>Custodians</v>
      </c>
      <c r="C4079" t="s">
        <v>314</v>
      </c>
      <c r="D4079">
        <v>887</v>
      </c>
      <c r="E4079" t="s">
        <v>1160</v>
      </c>
      <c r="F4079" t="s">
        <v>321</v>
      </c>
      <c r="G4079" t="s">
        <v>319</v>
      </c>
      <c r="H4079" s="502">
        <v>52917</v>
      </c>
      <c r="I4079" s="415">
        <v>104002.704</v>
      </c>
      <c r="J4079" s="415">
        <v>78908</v>
      </c>
      <c r="K4079" s="415">
        <v>74762.97</v>
      </c>
      <c r="L4079" s="415">
        <v>66604.320000000007</v>
      </c>
      <c r="M4079" s="415">
        <v>56025.35</v>
      </c>
      <c r="N4079" s="415">
        <v>58690.01</v>
      </c>
      <c r="O4079" s="415">
        <v>58103.83</v>
      </c>
      <c r="P4079" s="415">
        <v>53060.17</v>
      </c>
      <c r="Q4079" s="481">
        <f t="shared" si="109"/>
        <v>-25094.703999999998</v>
      </c>
    </row>
    <row r="4080" spans="1:20" x14ac:dyDescent="0.3">
      <c r="A4080" s="366" t="str">
        <f>IFERROR(VLOOKUP(RIGHT(E4080,3)+0,[1]SchLocTable!$A$2:$B$47,2,FALSE)," ")</f>
        <v>Columbus</v>
      </c>
      <c r="B4080" s="366" t="str">
        <f>VLOOKUP(VALUE(D4080),$D$3:F$106,3,FALSE)</f>
        <v>Custodians</v>
      </c>
      <c r="C4080" t="s">
        <v>314</v>
      </c>
      <c r="D4080">
        <v>887</v>
      </c>
      <c r="E4080" t="s">
        <v>1160</v>
      </c>
      <c r="F4080" t="s">
        <v>318</v>
      </c>
      <c r="G4080" t="s">
        <v>319</v>
      </c>
      <c r="H4080" s="502">
        <v>51140</v>
      </c>
      <c r="I4080" s="415">
        <v>1275</v>
      </c>
      <c r="J4080" s="415">
        <v>1275</v>
      </c>
      <c r="K4080" s="415">
        <v>1200</v>
      </c>
      <c r="L4080" s="415">
        <v>1125</v>
      </c>
      <c r="M4080" s="415">
        <v>1050</v>
      </c>
      <c r="N4080" s="415">
        <v>2025</v>
      </c>
      <c r="O4080" s="415">
        <v>3901.25</v>
      </c>
      <c r="P4080" s="415">
        <v>2785</v>
      </c>
      <c r="Q4080" s="481">
        <f t="shared" si="109"/>
        <v>0</v>
      </c>
      <c r="R4080" s="402"/>
      <c r="S4080" s="403"/>
      <c r="T4080" s="404"/>
    </row>
    <row r="4081" spans="1:20" x14ac:dyDescent="0.3">
      <c r="A4081" s="366" t="str">
        <f>IFERROR(VLOOKUP(RIGHT(E4081,3)+0,[1]SchLocTable!$A$2:$B$47,2,FALSE)," ")</f>
        <v>Columbus</v>
      </c>
      <c r="B4081" s="366" t="str">
        <f>VLOOKUP(VALUE(D4081),$D$3:F$106,3,FALSE)</f>
        <v>Custodians</v>
      </c>
      <c r="C4081" t="s">
        <v>314</v>
      </c>
      <c r="D4081">
        <v>887</v>
      </c>
      <c r="E4081" t="s">
        <v>1160</v>
      </c>
      <c r="F4081" t="s">
        <v>320</v>
      </c>
      <c r="G4081" t="s">
        <v>319</v>
      </c>
      <c r="H4081" s="502">
        <v>52360</v>
      </c>
      <c r="I4081" s="415">
        <v>2864.4058871999996</v>
      </c>
      <c r="J4081" s="415">
        <v>2292</v>
      </c>
      <c r="K4081" s="415">
        <v>2759.33</v>
      </c>
      <c r="L4081" s="415">
        <v>2602.7399999999998</v>
      </c>
      <c r="M4081" s="415">
        <v>2334.04</v>
      </c>
      <c r="N4081" s="415">
        <v>2702.71</v>
      </c>
      <c r="O4081" s="415">
        <v>2605.8000000000002</v>
      </c>
      <c r="P4081" s="415">
        <v>2729.89</v>
      </c>
      <c r="Q4081" s="481">
        <f t="shared" si="109"/>
        <v>-572.4058871999996</v>
      </c>
      <c r="R4081" s="402"/>
      <c r="S4081" s="403"/>
      <c r="T4081" s="405"/>
    </row>
    <row r="4082" spans="1:20" x14ac:dyDescent="0.3">
      <c r="A4082" s="366" t="str">
        <f>IFERROR(VLOOKUP(RIGHT(E4082,3)+0,[1]SchLocTable!$A$2:$B$47,2,FALSE)," ")</f>
        <v>Columbus</v>
      </c>
      <c r="B4082" s="366" t="str">
        <f>VLOOKUP(VALUE(D4082),$D$3:F$106,3,FALSE)</f>
        <v>Custodians</v>
      </c>
      <c r="C4082" t="s">
        <v>314</v>
      </c>
      <c r="D4082">
        <v>887</v>
      </c>
      <c r="E4082" t="s">
        <v>1160</v>
      </c>
      <c r="F4082" t="s">
        <v>392</v>
      </c>
      <c r="G4082" t="s">
        <v>319</v>
      </c>
      <c r="H4082" s="502">
        <v>52504</v>
      </c>
      <c r="I4082" s="415">
        <v>41049.899542080006</v>
      </c>
      <c r="J4082" s="415">
        <v>37881.5</v>
      </c>
      <c r="K4082" s="415">
        <v>45315.54</v>
      </c>
      <c r="L4082" s="415">
        <v>40010.160000000003</v>
      </c>
      <c r="M4082" s="415">
        <v>36570.239999999998</v>
      </c>
      <c r="N4082" s="415">
        <v>39768.660000000003</v>
      </c>
      <c r="O4082" s="415">
        <v>31216.82</v>
      </c>
      <c r="P4082" s="415">
        <v>28981.8</v>
      </c>
      <c r="Q4082" s="481">
        <f t="shared" si="109"/>
        <v>-3168.3995420800056</v>
      </c>
      <c r="R4082" s="402"/>
      <c r="S4082" s="403"/>
      <c r="T4082" s="403"/>
    </row>
    <row r="4083" spans="1:20" x14ac:dyDescent="0.3">
      <c r="A4083" s="366" t="str">
        <f>IFERROR(VLOOKUP(RIGHT(E4083,3)+0,[1]SchLocTable!$A$2:$B$47,2,FALSE)," ")</f>
        <v>Columbus</v>
      </c>
      <c r="B4083" s="366" t="str">
        <f>VLOOKUP(VALUE(D4083),$D$3:F$106,3,FALSE)</f>
        <v>Custodians</v>
      </c>
      <c r="C4083" t="s">
        <v>314</v>
      </c>
      <c r="D4083">
        <v>887</v>
      </c>
      <c r="E4083" t="s">
        <v>1160</v>
      </c>
      <c r="F4083" t="s">
        <v>1090</v>
      </c>
      <c r="G4083" t="s">
        <v>319</v>
      </c>
      <c r="H4083" s="502">
        <v>51138</v>
      </c>
      <c r="I4083" s="415">
        <v>4951.9782000000005</v>
      </c>
      <c r="J4083" s="415">
        <v>4620.21</v>
      </c>
      <c r="K4083" s="415">
        <v>6083.69</v>
      </c>
      <c r="L4083" s="415">
        <v>6075.08</v>
      </c>
      <c r="M4083" s="415">
        <v>4596.13</v>
      </c>
      <c r="N4083" s="415">
        <v>4307.8999999999996</v>
      </c>
      <c r="O4083" s="415">
        <v>3852.67</v>
      </c>
      <c r="P4083" s="415">
        <v>4831.54</v>
      </c>
      <c r="Q4083" s="481">
        <f t="shared" si="109"/>
        <v>-331.76820000000043</v>
      </c>
      <c r="R4083" s="402"/>
      <c r="S4083" s="403"/>
      <c r="T4083" s="403"/>
    </row>
    <row r="4084" spans="1:20" x14ac:dyDescent="0.3">
      <c r="A4084" s="366" t="str">
        <f>IFERROR(VLOOKUP(RIGHT(E4084,3)+0,[1]SchLocTable!$A$2:$B$47,2,FALSE)," ")</f>
        <v>Columbus</v>
      </c>
      <c r="B4084" s="366" t="str">
        <f>VLOOKUP(VALUE(D4084),$D$3:F$106,3,FALSE)</f>
        <v>Custodians</v>
      </c>
      <c r="C4084" t="s">
        <v>314</v>
      </c>
      <c r="D4084">
        <v>887</v>
      </c>
      <c r="E4084" t="s">
        <v>1160</v>
      </c>
      <c r="F4084" t="s">
        <v>452</v>
      </c>
      <c r="G4084" t="s">
        <v>319</v>
      </c>
      <c r="H4084" s="502">
        <v>51108</v>
      </c>
      <c r="I4084" s="415">
        <v>0</v>
      </c>
      <c r="J4084" s="415">
        <v>728.36</v>
      </c>
      <c r="K4084" s="415">
        <v>4068.65</v>
      </c>
      <c r="L4084" s="415">
        <v>2429.67</v>
      </c>
      <c r="M4084" s="415">
        <v>4373.82</v>
      </c>
      <c r="N4084" s="415">
        <v>6247.03</v>
      </c>
      <c r="O4084" s="415">
        <v>4059.74</v>
      </c>
      <c r="P4084" s="415">
        <v>2503.6</v>
      </c>
      <c r="Q4084" s="481">
        <f t="shared" si="109"/>
        <v>728.36</v>
      </c>
      <c r="R4084" s="402"/>
      <c r="S4084" s="403"/>
      <c r="T4084" s="403"/>
    </row>
    <row r="4085" spans="1:20" x14ac:dyDescent="0.3">
      <c r="A4085" s="366" t="str">
        <f>IFERROR(VLOOKUP(RIGHT(E4085,3)+0,[1]SchLocTable!$A$2:$B$47,2,FALSE)," ")</f>
        <v>Columbus</v>
      </c>
      <c r="B4085" s="366" t="str">
        <f>VLOOKUP(VALUE(D4085),$D$3:F$106,3,FALSE)</f>
        <v>Custodians</v>
      </c>
      <c r="C4085" t="s">
        <v>314</v>
      </c>
      <c r="D4085">
        <v>887</v>
      </c>
      <c r="E4085" t="s">
        <v>1160</v>
      </c>
      <c r="F4085" t="s">
        <v>483</v>
      </c>
      <c r="G4085" t="s">
        <v>319</v>
      </c>
      <c r="H4085" s="502">
        <v>51122</v>
      </c>
      <c r="I4085" s="415">
        <v>19041.551360000001</v>
      </c>
      <c r="J4085" s="415">
        <v>9130.75</v>
      </c>
      <c r="K4085" s="415">
        <v>14475.45</v>
      </c>
      <c r="L4085" s="415">
        <v>12770.92</v>
      </c>
      <c r="M4085" s="415">
        <v>17164.990000000002</v>
      </c>
      <c r="N4085" s="415">
        <v>28869.14</v>
      </c>
      <c r="O4085" s="415">
        <v>17505.29</v>
      </c>
      <c r="P4085" s="415">
        <v>7541.51</v>
      </c>
      <c r="Q4085" s="481">
        <f t="shared" si="109"/>
        <v>-9910.8013600000013</v>
      </c>
      <c r="R4085" s="402"/>
      <c r="S4085" s="403"/>
      <c r="T4085" s="404"/>
    </row>
    <row r="4086" spans="1:20" x14ac:dyDescent="0.3">
      <c r="A4086" s="366" t="str">
        <f>IFERROR(VLOOKUP(RIGHT(E4086,3)+0,[1]SchLocTable!$A$2:$B$47,2,FALSE)," ")</f>
        <v>Columbus</v>
      </c>
      <c r="B4086" s="366" t="str">
        <f>VLOOKUP(VALUE(D4086),$D$3:F$106,3,FALSE)</f>
        <v>Custodians</v>
      </c>
      <c r="C4086" t="s">
        <v>314</v>
      </c>
      <c r="D4086">
        <v>887</v>
      </c>
      <c r="E4086" t="s">
        <v>1160</v>
      </c>
      <c r="F4086" t="s">
        <v>324</v>
      </c>
      <c r="G4086" t="s">
        <v>319</v>
      </c>
      <c r="H4086" s="502">
        <v>52385</v>
      </c>
      <c r="I4086" s="415">
        <v>0</v>
      </c>
      <c r="J4086" s="415">
        <v>0</v>
      </c>
      <c r="K4086" s="415">
        <v>0</v>
      </c>
      <c r="L4086" s="415">
        <v>356.23</v>
      </c>
      <c r="M4086" s="415">
        <v>788.71</v>
      </c>
      <c r="N4086" s="415">
        <v>0</v>
      </c>
      <c r="O4086" s="415">
        <v>0</v>
      </c>
      <c r="P4086" s="415">
        <v>0</v>
      </c>
      <c r="Q4086" s="481">
        <f t="shared" si="109"/>
        <v>0</v>
      </c>
      <c r="R4086" s="402"/>
      <c r="S4086" s="403"/>
      <c r="T4086" s="404"/>
    </row>
    <row r="4087" spans="1:20" x14ac:dyDescent="0.3">
      <c r="A4087" s="366" t="str">
        <f>IFERROR(VLOOKUP(RIGHT(E4087,3)+0,[1]SchLocTable!$A$2:$B$47,2,FALSE)," ")</f>
        <v>Columbus</v>
      </c>
      <c r="B4087" s="366" t="str">
        <f>VLOOKUP(VALUE(D4087),$D$3:F$106,3,FALSE)</f>
        <v>Custodians</v>
      </c>
      <c r="C4087" t="s">
        <v>314</v>
      </c>
      <c r="D4087">
        <v>887</v>
      </c>
      <c r="E4087" t="s">
        <v>1160</v>
      </c>
      <c r="F4087" t="s">
        <v>356</v>
      </c>
      <c r="G4087" t="s">
        <v>319</v>
      </c>
      <c r="H4087" s="502">
        <v>51156</v>
      </c>
      <c r="I4087" s="415">
        <v>0</v>
      </c>
      <c r="J4087" s="415">
        <v>0</v>
      </c>
      <c r="K4087" s="415">
        <v>0</v>
      </c>
      <c r="L4087" s="415">
        <v>0</v>
      </c>
      <c r="M4087" s="415">
        <v>884.37</v>
      </c>
      <c r="N4087" s="415">
        <v>649.20000000000005</v>
      </c>
      <c r="O4087" s="415">
        <v>0</v>
      </c>
      <c r="P4087" s="415">
        <v>0</v>
      </c>
      <c r="Q4087" s="481">
        <f t="shared" si="109"/>
        <v>0</v>
      </c>
      <c r="R4087" s="402"/>
      <c r="S4087" s="403"/>
      <c r="T4087" s="404"/>
    </row>
    <row r="4088" spans="1:20" x14ac:dyDescent="0.3">
      <c r="A4088" s="366" t="str">
        <f>IFERROR(VLOOKUP(RIGHT(E4088,3)+0,[1]SchLocTable!$A$2:$B$47,2,FALSE)," ")</f>
        <v>Edison</v>
      </c>
      <c r="B4088" s="366" t="str">
        <f>VLOOKUP(VALUE(D4088),$D$3:F$106,3,FALSE)</f>
        <v>Custodians</v>
      </c>
      <c r="C4088" t="s">
        <v>314</v>
      </c>
      <c r="D4088">
        <v>887</v>
      </c>
      <c r="E4088" t="s">
        <v>1161</v>
      </c>
      <c r="F4088" t="s">
        <v>1089</v>
      </c>
      <c r="G4088" t="s">
        <v>319</v>
      </c>
      <c r="H4088" s="502">
        <v>51102</v>
      </c>
      <c r="I4088" s="415">
        <v>0</v>
      </c>
      <c r="J4088" s="415">
        <v>0</v>
      </c>
      <c r="K4088" s="415">
        <v>0</v>
      </c>
      <c r="L4088" s="415">
        <v>1252.56</v>
      </c>
      <c r="M4088" s="415">
        <v>2343.36</v>
      </c>
      <c r="N4088" s="415">
        <v>1749.12</v>
      </c>
      <c r="O4088" s="415">
        <v>0</v>
      </c>
      <c r="P4088" s="415">
        <v>0</v>
      </c>
      <c r="Q4088" s="481">
        <f t="shared" si="109"/>
        <v>0</v>
      </c>
      <c r="R4088" s="402"/>
      <c r="S4088" s="403"/>
      <c r="T4088" s="403"/>
    </row>
    <row r="4089" spans="1:20" x14ac:dyDescent="0.3">
      <c r="A4089" s="366" t="str">
        <f>IFERROR(VLOOKUP(RIGHT(E4089,3)+0,[1]SchLocTable!$A$2:$B$47,2,FALSE)," ")</f>
        <v>Edison</v>
      </c>
      <c r="B4089" s="366" t="str">
        <f>VLOOKUP(VALUE(D4089),$D$3:F$106,3,FALSE)</f>
        <v>Custodians</v>
      </c>
      <c r="C4089" t="s">
        <v>314</v>
      </c>
      <c r="D4089">
        <v>887</v>
      </c>
      <c r="E4089" t="s">
        <v>1161</v>
      </c>
      <c r="F4089" t="s">
        <v>316</v>
      </c>
      <c r="G4089">
        <v>1</v>
      </c>
      <c r="H4089" s="502">
        <v>51000</v>
      </c>
      <c r="I4089" s="415">
        <v>52662.869999999995</v>
      </c>
      <c r="J4089" s="415">
        <v>48303</v>
      </c>
      <c r="K4089" s="415">
        <v>48657.35</v>
      </c>
      <c r="L4089" s="415">
        <v>36130.720000000001</v>
      </c>
      <c r="M4089" s="415">
        <v>40969.620000000003</v>
      </c>
      <c r="N4089" s="415">
        <v>54721.08</v>
      </c>
      <c r="O4089" s="415">
        <v>86449.23</v>
      </c>
      <c r="P4089" s="415">
        <v>71698.58</v>
      </c>
      <c r="Q4089" s="481">
        <f t="shared" si="109"/>
        <v>-4359.8699999999953</v>
      </c>
      <c r="R4089" s="402"/>
      <c r="S4089" s="403"/>
      <c r="T4089" s="404"/>
    </row>
    <row r="4090" spans="1:20" x14ac:dyDescent="0.3">
      <c r="A4090" s="366" t="str">
        <f>IFERROR(VLOOKUP(RIGHT(E4090,3)+0,[1]SchLocTable!$A$2:$B$47,2,FALSE)," ")</f>
        <v>Edison</v>
      </c>
      <c r="B4090" s="366" t="str">
        <f>VLOOKUP(VALUE(D4090),$D$3:F$106,3,FALSE)</f>
        <v>Custodians</v>
      </c>
      <c r="C4090" t="s">
        <v>314</v>
      </c>
      <c r="D4090">
        <v>887</v>
      </c>
      <c r="E4090" t="s">
        <v>1161</v>
      </c>
      <c r="F4090" t="s">
        <v>321</v>
      </c>
      <c r="G4090" t="s">
        <v>319</v>
      </c>
      <c r="H4090" s="502">
        <v>52917</v>
      </c>
      <c r="I4090" s="415">
        <v>15361.008</v>
      </c>
      <c r="J4090" s="415">
        <v>12737</v>
      </c>
      <c r="K4090" s="415">
        <v>11604.16</v>
      </c>
      <c r="L4090" s="415">
        <v>9584.91</v>
      </c>
      <c r="M4090" s="415">
        <v>9968.83</v>
      </c>
      <c r="N4090" s="415">
        <v>12128.55</v>
      </c>
      <c r="O4090" s="415">
        <v>16753.86</v>
      </c>
      <c r="P4090" s="415">
        <v>16152.02</v>
      </c>
      <c r="Q4090" s="481">
        <f t="shared" si="109"/>
        <v>-2624.0079999999998</v>
      </c>
      <c r="R4090" s="402"/>
      <c r="S4090" s="403"/>
      <c r="T4090" s="404"/>
    </row>
    <row r="4091" spans="1:20" x14ac:dyDescent="0.3">
      <c r="A4091" s="366" t="str">
        <f>IFERROR(VLOOKUP(RIGHT(E4091,3)+0,[1]SchLocTable!$A$2:$B$47,2,FALSE)," ")</f>
        <v>Edison</v>
      </c>
      <c r="B4091" s="366" t="str">
        <f>VLOOKUP(VALUE(D4091),$D$3:F$106,3,FALSE)</f>
        <v>Custodians</v>
      </c>
      <c r="C4091" t="s">
        <v>314</v>
      </c>
      <c r="D4091">
        <v>887</v>
      </c>
      <c r="E4091" t="s">
        <v>1161</v>
      </c>
      <c r="F4091" t="s">
        <v>318</v>
      </c>
      <c r="G4091" t="s">
        <v>319</v>
      </c>
      <c r="H4091" s="502">
        <v>51140</v>
      </c>
      <c r="I4091" s="415">
        <v>1875</v>
      </c>
      <c r="J4091" s="415">
        <v>1875</v>
      </c>
      <c r="K4091" s="415">
        <v>1800</v>
      </c>
      <c r="L4091" s="415">
        <v>0</v>
      </c>
      <c r="M4091" s="415">
        <v>0</v>
      </c>
      <c r="N4091" s="415">
        <v>0</v>
      </c>
      <c r="O4091" s="415">
        <v>0</v>
      </c>
      <c r="P4091" s="415">
        <v>0</v>
      </c>
      <c r="Q4091" s="481">
        <f t="shared" si="109"/>
        <v>0</v>
      </c>
      <c r="R4091" s="406"/>
      <c r="S4091" s="406"/>
      <c r="T4091" s="407"/>
    </row>
    <row r="4092" spans="1:20" x14ac:dyDescent="0.3">
      <c r="A4092" s="366" t="str">
        <f>IFERROR(VLOOKUP(RIGHT(E4092,3)+0,[1]SchLocTable!$A$2:$B$47,2,FALSE)," ")</f>
        <v>Edison</v>
      </c>
      <c r="B4092" s="366" t="str">
        <f>VLOOKUP(VALUE(D4092),$D$3:F$106,3,FALSE)</f>
        <v>Custodians</v>
      </c>
      <c r="C4092" t="s">
        <v>314</v>
      </c>
      <c r="D4092">
        <v>887</v>
      </c>
      <c r="E4092" t="s">
        <v>1161</v>
      </c>
      <c r="F4092" t="s">
        <v>320</v>
      </c>
      <c r="G4092" t="s">
        <v>319</v>
      </c>
      <c r="H4092" s="502">
        <v>52360</v>
      </c>
      <c r="I4092" s="415">
        <v>1363.263291</v>
      </c>
      <c r="J4092" s="415">
        <v>668</v>
      </c>
      <c r="K4092" s="415">
        <v>1156.29</v>
      </c>
      <c r="L4092" s="415">
        <v>992.5</v>
      </c>
      <c r="M4092" s="415">
        <v>1081.94</v>
      </c>
      <c r="N4092" s="415">
        <v>1120.3800000000001</v>
      </c>
      <c r="O4092" s="415">
        <v>1262.6600000000001</v>
      </c>
      <c r="P4092" s="415">
        <v>1180.8499999999999</v>
      </c>
      <c r="Q4092" s="481">
        <f t="shared" si="109"/>
        <v>-695.26329099999998</v>
      </c>
      <c r="R4092" s="402"/>
      <c r="S4092" s="403"/>
      <c r="T4092" s="403"/>
    </row>
    <row r="4093" spans="1:20" x14ac:dyDescent="0.3">
      <c r="A4093" s="366" t="str">
        <f>IFERROR(VLOOKUP(RIGHT(E4093,3)+0,[1]SchLocTable!$A$2:$B$47,2,FALSE)," ")</f>
        <v>Edison</v>
      </c>
      <c r="B4093" s="366" t="str">
        <f>VLOOKUP(VALUE(D4093),$D$3:F$106,3,FALSE)</f>
        <v>Custodians</v>
      </c>
      <c r="C4093" t="s">
        <v>314</v>
      </c>
      <c r="D4093">
        <v>887</v>
      </c>
      <c r="E4093" t="s">
        <v>1161</v>
      </c>
      <c r="F4093" t="s">
        <v>392</v>
      </c>
      <c r="G4093" t="s">
        <v>319</v>
      </c>
      <c r="H4093" s="502">
        <v>52504</v>
      </c>
      <c r="I4093" s="415">
        <v>19536.9732324</v>
      </c>
      <c r="J4093" s="415">
        <v>10427</v>
      </c>
      <c r="K4093" s="415">
        <v>17188.36</v>
      </c>
      <c r="L4093" s="415">
        <v>14583.44</v>
      </c>
      <c r="M4093" s="415">
        <v>16984.439999999999</v>
      </c>
      <c r="N4093" s="415">
        <v>15287.05</v>
      </c>
      <c r="O4093" s="415">
        <v>15625.04</v>
      </c>
      <c r="P4093" s="415">
        <v>12659.07</v>
      </c>
      <c r="Q4093" s="481">
        <f t="shared" si="109"/>
        <v>-9109.9732323999997</v>
      </c>
      <c r="R4093" s="408"/>
      <c r="S4093" s="408"/>
      <c r="T4093" s="403"/>
    </row>
    <row r="4094" spans="1:20" x14ac:dyDescent="0.3">
      <c r="A4094" s="366" t="str">
        <f>IFERROR(VLOOKUP(RIGHT(E4094,3)+0,[1]SchLocTable!$A$2:$B$47,2,FALSE)," ")</f>
        <v>Edison</v>
      </c>
      <c r="B4094" s="366" t="str">
        <f>VLOOKUP(VALUE(D4094),$D$3:F$106,3,FALSE)</f>
        <v>Custodians</v>
      </c>
      <c r="C4094" t="s">
        <v>314</v>
      </c>
      <c r="D4094">
        <v>887</v>
      </c>
      <c r="E4094" t="s">
        <v>1161</v>
      </c>
      <c r="F4094" t="s">
        <v>452</v>
      </c>
      <c r="G4094" t="s">
        <v>319</v>
      </c>
      <c r="H4094" s="502">
        <v>51108</v>
      </c>
      <c r="I4094" s="415">
        <v>0</v>
      </c>
      <c r="J4094" s="415">
        <v>0</v>
      </c>
      <c r="K4094" s="415">
        <v>2428.1999999999998</v>
      </c>
      <c r="L4094" s="415">
        <v>992.54</v>
      </c>
      <c r="M4094" s="415">
        <v>1937.8</v>
      </c>
      <c r="N4094" s="415">
        <v>463.26</v>
      </c>
      <c r="O4094" s="415">
        <v>589.04</v>
      </c>
      <c r="P4094" s="415">
        <v>1462.87</v>
      </c>
      <c r="Q4094" s="481">
        <f t="shared" si="109"/>
        <v>0</v>
      </c>
      <c r="R4094" s="402"/>
      <c r="S4094" s="403"/>
      <c r="T4094" s="409"/>
    </row>
    <row r="4095" spans="1:20" x14ac:dyDescent="0.3">
      <c r="A4095" s="366" t="str">
        <f>IFERROR(VLOOKUP(RIGHT(E4095,3)+0,[1]SchLocTable!$A$2:$B$47,2,FALSE)," ")</f>
        <v>Edison</v>
      </c>
      <c r="B4095" s="366" t="str">
        <f>VLOOKUP(VALUE(D4095),$D$3:F$106,3,FALSE)</f>
        <v>Custodians</v>
      </c>
      <c r="C4095" t="s">
        <v>314</v>
      </c>
      <c r="D4095">
        <v>887</v>
      </c>
      <c r="E4095" t="s">
        <v>1161</v>
      </c>
      <c r="F4095" t="s">
        <v>483</v>
      </c>
      <c r="G4095" t="s">
        <v>319</v>
      </c>
      <c r="H4095" s="502">
        <v>51122</v>
      </c>
      <c r="I4095" s="415">
        <v>33036.047200000008</v>
      </c>
      <c r="J4095" s="415">
        <v>27293.25</v>
      </c>
      <c r="K4095" s="415">
        <v>28864.92</v>
      </c>
      <c r="L4095" s="415">
        <v>21177.51</v>
      </c>
      <c r="M4095" s="415">
        <v>16187.04</v>
      </c>
      <c r="N4095" s="415">
        <v>17664.13</v>
      </c>
      <c r="O4095" s="415">
        <v>5398.63</v>
      </c>
      <c r="P4095" s="415">
        <v>3763.38</v>
      </c>
      <c r="Q4095" s="481">
        <f t="shared" ref="Q4095:Q4158" si="110">J4095-I4095</f>
        <v>-5742.7972000000082</v>
      </c>
      <c r="R4095" s="402"/>
      <c r="S4095" s="403"/>
      <c r="T4095" s="403"/>
    </row>
    <row r="4096" spans="1:20" x14ac:dyDescent="0.3">
      <c r="A4096" s="366" t="str">
        <f>IFERROR(VLOOKUP(RIGHT(E4096,3)+0,[1]SchLocTable!$A$2:$B$47,2,FALSE)," ")</f>
        <v>Physical Science HS</v>
      </c>
      <c r="B4096" s="366" t="str">
        <f>VLOOKUP(VALUE(D4096),$D$3:F$106,3,FALSE)</f>
        <v>Custodians</v>
      </c>
      <c r="C4096" t="s">
        <v>314</v>
      </c>
      <c r="D4096">
        <v>887</v>
      </c>
      <c r="E4096" t="s">
        <v>1162</v>
      </c>
      <c r="F4096" t="s">
        <v>320</v>
      </c>
      <c r="G4096" t="s">
        <v>319</v>
      </c>
      <c r="H4096" s="502">
        <v>52360</v>
      </c>
      <c r="I4096" s="415">
        <v>0</v>
      </c>
      <c r="J4096" s="415">
        <v>0</v>
      </c>
      <c r="K4096" s="415">
        <v>4.91</v>
      </c>
      <c r="L4096" s="415">
        <v>0</v>
      </c>
      <c r="M4096" s="415">
        <v>0</v>
      </c>
      <c r="N4096" s="415">
        <v>0</v>
      </c>
      <c r="O4096" s="415">
        <v>0</v>
      </c>
      <c r="P4096" s="415">
        <v>0</v>
      </c>
      <c r="Q4096" s="481">
        <f t="shared" si="110"/>
        <v>0</v>
      </c>
      <c r="R4096" s="402"/>
      <c r="S4096" s="403"/>
      <c r="T4096" s="404"/>
    </row>
    <row r="4097" spans="1:20" x14ac:dyDescent="0.3">
      <c r="A4097" s="366" t="str">
        <f>IFERROR(VLOOKUP(RIGHT(E4097,3)+0,[1]SchLocTable!$A$2:$B$47,2,FALSE)," ")</f>
        <v>Physical Science HS</v>
      </c>
      <c r="B4097" s="366" t="str">
        <f>VLOOKUP(VALUE(D4097),$D$3:F$106,3,FALSE)</f>
        <v>Custodians</v>
      </c>
      <c r="C4097" t="s">
        <v>314</v>
      </c>
      <c r="D4097">
        <v>887</v>
      </c>
      <c r="E4097" t="s">
        <v>1162</v>
      </c>
      <c r="F4097" t="s">
        <v>392</v>
      </c>
      <c r="G4097" t="s">
        <v>319</v>
      </c>
      <c r="H4097" s="502">
        <v>52504</v>
      </c>
      <c r="I4097" s="415">
        <v>0</v>
      </c>
      <c r="J4097" s="415">
        <v>0</v>
      </c>
      <c r="K4097" s="415">
        <v>69.73</v>
      </c>
      <c r="L4097" s="415">
        <v>0</v>
      </c>
      <c r="M4097" s="415">
        <v>0</v>
      </c>
      <c r="N4097" s="415">
        <v>0</v>
      </c>
      <c r="O4097" s="415">
        <v>0</v>
      </c>
      <c r="P4097" s="415">
        <v>0</v>
      </c>
      <c r="Q4097" s="481">
        <f t="shared" si="110"/>
        <v>0</v>
      </c>
      <c r="R4097" s="410"/>
      <c r="S4097" s="410"/>
      <c r="T4097" s="411"/>
    </row>
    <row r="4098" spans="1:20" x14ac:dyDescent="0.3">
      <c r="A4098" s="366" t="str">
        <f>IFERROR(VLOOKUP(RIGHT(E4098,3)+0,[1]SchLocTable!$A$2:$B$47,2,FALSE)," ")</f>
        <v>Physical Science HS</v>
      </c>
      <c r="B4098" s="366" t="str">
        <f>VLOOKUP(VALUE(D4098),$D$3:F$106,3,FALSE)</f>
        <v>Custodians</v>
      </c>
      <c r="C4098" t="s">
        <v>314</v>
      </c>
      <c r="D4098">
        <v>887</v>
      </c>
      <c r="E4098" t="s">
        <v>1162</v>
      </c>
      <c r="F4098" t="s">
        <v>452</v>
      </c>
      <c r="G4098" t="s">
        <v>319</v>
      </c>
      <c r="H4098" s="502">
        <v>51108</v>
      </c>
      <c r="I4098" s="415">
        <v>0</v>
      </c>
      <c r="J4098" s="415">
        <v>0</v>
      </c>
      <c r="K4098" s="415">
        <v>0</v>
      </c>
      <c r="L4098" s="415">
        <v>0</v>
      </c>
      <c r="M4098" s="415">
        <v>0</v>
      </c>
      <c r="N4098" s="415">
        <v>0</v>
      </c>
      <c r="O4098" s="415">
        <v>0</v>
      </c>
      <c r="P4098" s="415">
        <v>0</v>
      </c>
      <c r="Q4098" s="481">
        <f t="shared" si="110"/>
        <v>0</v>
      </c>
      <c r="R4098" s="402"/>
      <c r="S4098" s="403"/>
      <c r="T4098" s="404"/>
    </row>
    <row r="4099" spans="1:20" x14ac:dyDescent="0.3">
      <c r="A4099" s="366" t="str">
        <f>IFERROR(VLOOKUP(RIGHT(E4099,3)+0,[1]SchLocTable!$A$2:$B$47,2,FALSE)," ")</f>
        <v>Physical Science HS</v>
      </c>
      <c r="B4099" s="366" t="str">
        <f>VLOOKUP(VALUE(D4099),$D$3:F$106,3,FALSE)</f>
        <v>Custodians</v>
      </c>
      <c r="C4099" t="s">
        <v>314</v>
      </c>
      <c r="D4099">
        <v>887</v>
      </c>
      <c r="E4099" t="s">
        <v>1162</v>
      </c>
      <c r="F4099" t="s">
        <v>483</v>
      </c>
      <c r="G4099" t="s">
        <v>319</v>
      </c>
      <c r="H4099" s="502">
        <v>51122</v>
      </c>
      <c r="I4099" s="415">
        <v>170.82</v>
      </c>
      <c r="J4099" s="415">
        <v>0</v>
      </c>
      <c r="K4099" s="415">
        <v>338.65</v>
      </c>
      <c r="L4099" s="415">
        <v>0</v>
      </c>
      <c r="M4099" s="415">
        <v>0</v>
      </c>
      <c r="N4099" s="415">
        <v>0</v>
      </c>
      <c r="O4099" s="415">
        <v>0</v>
      </c>
      <c r="P4099" s="415">
        <v>0</v>
      </c>
      <c r="Q4099" s="481">
        <f t="shared" si="110"/>
        <v>-170.82</v>
      </c>
      <c r="R4099" s="410"/>
      <c r="S4099" s="410"/>
      <c r="T4099" s="411"/>
    </row>
    <row r="4100" spans="1:20" x14ac:dyDescent="0.3">
      <c r="A4100" s="366" t="str">
        <f>IFERROR(VLOOKUP(RIGHT(E4100,3)+0,[1]SchLocTable!$A$2:$B$47,2,FALSE)," ")</f>
        <v>Marin</v>
      </c>
      <c r="B4100" s="366" t="str">
        <f>VLOOKUP(VALUE(D4100),$D$3:F$106,3,FALSE)</f>
        <v>Custodians</v>
      </c>
      <c r="C4100" t="s">
        <v>314</v>
      </c>
      <c r="D4100">
        <v>887</v>
      </c>
      <c r="E4100" t="s">
        <v>1163</v>
      </c>
      <c r="F4100" t="s">
        <v>1089</v>
      </c>
      <c r="G4100" t="s">
        <v>319</v>
      </c>
      <c r="H4100" s="502">
        <v>51102</v>
      </c>
      <c r="I4100" s="415">
        <v>12830.688</v>
      </c>
      <c r="J4100" s="415">
        <v>0</v>
      </c>
      <c r="K4100" s="415">
        <v>0</v>
      </c>
      <c r="L4100" s="415">
        <v>5299.44</v>
      </c>
      <c r="M4100" s="415">
        <v>11956.7</v>
      </c>
      <c r="N4100" s="415">
        <v>7480.12</v>
      </c>
      <c r="O4100" s="415">
        <v>1614.64</v>
      </c>
      <c r="P4100" s="415">
        <v>2094.46</v>
      </c>
      <c r="Q4100" s="481">
        <f t="shared" si="110"/>
        <v>-12830.688</v>
      </c>
      <c r="R4100" s="402"/>
      <c r="S4100" s="403"/>
      <c r="T4100" s="403"/>
    </row>
    <row r="4101" spans="1:20" x14ac:dyDescent="0.3">
      <c r="A4101" s="366" t="str">
        <f>IFERROR(VLOOKUP(RIGHT(E4101,3)+0,[1]SchLocTable!$A$2:$B$47,2,FALSE)," ")</f>
        <v>Marin</v>
      </c>
      <c r="B4101" s="366" t="str">
        <f>VLOOKUP(VALUE(D4101),$D$3:F$106,3,FALSE)</f>
        <v>Custodians</v>
      </c>
      <c r="C4101" t="s">
        <v>314</v>
      </c>
      <c r="D4101">
        <v>887</v>
      </c>
      <c r="E4101" t="s">
        <v>1163</v>
      </c>
      <c r="F4101" t="s">
        <v>316</v>
      </c>
      <c r="G4101">
        <v>3</v>
      </c>
      <c r="H4101" s="502">
        <v>51000</v>
      </c>
      <c r="I4101" s="415">
        <v>152647.51319999999</v>
      </c>
      <c r="J4101" s="415">
        <v>168809.69</v>
      </c>
      <c r="K4101" s="415">
        <v>274028.45</v>
      </c>
      <c r="L4101" s="415">
        <v>229379.07</v>
      </c>
      <c r="M4101" s="415">
        <v>294725.5</v>
      </c>
      <c r="N4101" s="415">
        <v>216980.22</v>
      </c>
      <c r="O4101" s="415">
        <v>233781.78</v>
      </c>
      <c r="P4101" s="415">
        <v>213336.97</v>
      </c>
      <c r="Q4101" s="481">
        <f t="shared" si="110"/>
        <v>16162.176800000016</v>
      </c>
      <c r="R4101" s="406"/>
      <c r="S4101" s="406"/>
      <c r="T4101" s="407"/>
    </row>
    <row r="4102" spans="1:20" x14ac:dyDescent="0.3">
      <c r="A4102" s="366" t="str">
        <f>IFERROR(VLOOKUP(RIGHT(E4102,3)+0,[1]SchLocTable!$A$2:$B$47,2,FALSE)," ")</f>
        <v>Marin</v>
      </c>
      <c r="B4102" s="366" t="str">
        <f>VLOOKUP(VALUE(D4102),$D$3:F$106,3,FALSE)</f>
        <v>Custodians</v>
      </c>
      <c r="C4102" t="s">
        <v>314</v>
      </c>
      <c r="D4102">
        <v>887</v>
      </c>
      <c r="E4102" t="s">
        <v>1163</v>
      </c>
      <c r="F4102" t="s">
        <v>360</v>
      </c>
      <c r="G4102" t="s">
        <v>319</v>
      </c>
      <c r="H4102" s="502">
        <v>52920</v>
      </c>
      <c r="I4102" s="415">
        <v>0</v>
      </c>
      <c r="J4102" s="415">
        <v>416.68</v>
      </c>
      <c r="K4102" s="415">
        <v>750</v>
      </c>
      <c r="L4102" s="415">
        <v>500</v>
      </c>
      <c r="M4102" s="415">
        <v>666.68</v>
      </c>
      <c r="N4102" s="415">
        <v>0</v>
      </c>
      <c r="O4102" s="415">
        <v>0</v>
      </c>
      <c r="P4102" s="415">
        <v>0</v>
      </c>
      <c r="Q4102" s="481">
        <f t="shared" si="110"/>
        <v>416.68</v>
      </c>
      <c r="R4102" s="402"/>
      <c r="S4102" s="403"/>
      <c r="T4102" s="404"/>
    </row>
    <row r="4103" spans="1:20" x14ac:dyDescent="0.3">
      <c r="A4103" s="366" t="str">
        <f>IFERROR(VLOOKUP(RIGHT(E4103,3)+0,[1]SchLocTable!$A$2:$B$47,2,FALSE)," ")</f>
        <v>Marin</v>
      </c>
      <c r="B4103" s="366" t="str">
        <f>VLOOKUP(VALUE(D4103),$D$3:F$106,3,FALSE)</f>
        <v>Custodians</v>
      </c>
      <c r="C4103" t="s">
        <v>314</v>
      </c>
      <c r="D4103">
        <v>887</v>
      </c>
      <c r="E4103" t="s">
        <v>1163</v>
      </c>
      <c r="F4103" t="s">
        <v>321</v>
      </c>
      <c r="G4103" t="s">
        <v>319</v>
      </c>
      <c r="H4103" s="502">
        <v>52917</v>
      </c>
      <c r="I4103" s="415">
        <v>73274.448000000004</v>
      </c>
      <c r="J4103" s="415">
        <v>62855.4</v>
      </c>
      <c r="K4103" s="415">
        <v>92548.83</v>
      </c>
      <c r="L4103" s="415">
        <v>66205.679999999993</v>
      </c>
      <c r="M4103" s="415">
        <v>97817.13</v>
      </c>
      <c r="N4103" s="415">
        <v>88605.759999999995</v>
      </c>
      <c r="O4103" s="415">
        <v>100869.62</v>
      </c>
      <c r="P4103" s="415">
        <v>93773.73</v>
      </c>
      <c r="Q4103" s="481">
        <f t="shared" si="110"/>
        <v>-10419.048000000003</v>
      </c>
      <c r="R4103" s="402"/>
      <c r="S4103" s="403"/>
      <c r="T4103" s="412"/>
    </row>
    <row r="4104" spans="1:20" x14ac:dyDescent="0.3">
      <c r="A4104" s="366" t="str">
        <f>IFERROR(VLOOKUP(RIGHT(E4104,3)+0,[1]SchLocTable!$A$2:$B$47,2,FALSE)," ")</f>
        <v>Marin</v>
      </c>
      <c r="B4104" s="366" t="str">
        <f>VLOOKUP(VALUE(D4104),$D$3:F$106,3,FALSE)</f>
        <v>Custodians</v>
      </c>
      <c r="C4104" t="s">
        <v>314</v>
      </c>
      <c r="D4104">
        <v>887</v>
      </c>
      <c r="E4104" t="s">
        <v>1163</v>
      </c>
      <c r="F4104" t="s">
        <v>318</v>
      </c>
      <c r="G4104" t="s">
        <v>319</v>
      </c>
      <c r="H4104" s="502">
        <v>51140</v>
      </c>
      <c r="I4104" s="415">
        <v>750</v>
      </c>
      <c r="J4104" s="415">
        <v>750</v>
      </c>
      <c r="K4104" s="415">
        <v>0</v>
      </c>
      <c r="L4104" s="415">
        <v>0</v>
      </c>
      <c r="M4104" s="415">
        <v>4650</v>
      </c>
      <c r="N4104" s="415">
        <v>3740</v>
      </c>
      <c r="O4104" s="415">
        <v>4945</v>
      </c>
      <c r="P4104" s="415">
        <v>4725</v>
      </c>
      <c r="Q4104" s="481">
        <f t="shared" si="110"/>
        <v>0</v>
      </c>
      <c r="R4104" s="402"/>
      <c r="S4104" s="403"/>
      <c r="T4104" s="404"/>
    </row>
    <row r="4105" spans="1:20" x14ac:dyDescent="0.3">
      <c r="A4105" s="366" t="str">
        <f>IFERROR(VLOOKUP(RIGHT(E4105,3)+0,[1]SchLocTable!$A$2:$B$47,2,FALSE)," ")</f>
        <v>Marin</v>
      </c>
      <c r="B4105" s="366" t="str">
        <f>VLOOKUP(VALUE(D4105),$D$3:F$106,3,FALSE)</f>
        <v>Custodians</v>
      </c>
      <c r="C4105" t="s">
        <v>314</v>
      </c>
      <c r="D4105">
        <v>887</v>
      </c>
      <c r="E4105" t="s">
        <v>1163</v>
      </c>
      <c r="F4105" t="s">
        <v>320</v>
      </c>
      <c r="G4105" t="s">
        <v>319</v>
      </c>
      <c r="H4105" s="502">
        <v>52360</v>
      </c>
      <c r="I4105" s="415">
        <v>3146.0174225999995</v>
      </c>
      <c r="J4105" s="415">
        <v>3259.74</v>
      </c>
      <c r="K4105" s="415">
        <v>4195.51</v>
      </c>
      <c r="L4105" s="415">
        <v>3849.59</v>
      </c>
      <c r="M4105" s="415">
        <v>5127.46</v>
      </c>
      <c r="N4105" s="415">
        <v>3434.77</v>
      </c>
      <c r="O4105" s="415">
        <v>3282.08</v>
      </c>
      <c r="P4105" s="415">
        <v>3130.04</v>
      </c>
      <c r="Q4105" s="481">
        <f t="shared" si="110"/>
        <v>113.72257740000032</v>
      </c>
      <c r="R4105" s="402"/>
      <c r="S4105" s="403"/>
      <c r="T4105" s="404"/>
    </row>
    <row r="4106" spans="1:20" x14ac:dyDescent="0.3">
      <c r="A4106" s="366" t="str">
        <f>IFERROR(VLOOKUP(RIGHT(E4106,3)+0,[1]SchLocTable!$A$2:$B$47,2,FALSE)," ")</f>
        <v>Marin</v>
      </c>
      <c r="B4106" s="366" t="str">
        <f>VLOOKUP(VALUE(D4106),$D$3:F$106,3,FALSE)</f>
        <v>Custodians</v>
      </c>
      <c r="C4106" t="s">
        <v>314</v>
      </c>
      <c r="D4106">
        <v>887</v>
      </c>
      <c r="E4106" t="s">
        <v>1163</v>
      </c>
      <c r="F4106" t="s">
        <v>392</v>
      </c>
      <c r="G4106" t="s">
        <v>319</v>
      </c>
      <c r="H4106" s="502">
        <v>52504</v>
      </c>
      <c r="I4106" s="415">
        <v>45085.68416664</v>
      </c>
      <c r="J4106" s="415">
        <v>48136</v>
      </c>
      <c r="K4106" s="415">
        <v>65533.7</v>
      </c>
      <c r="L4106" s="415">
        <v>72216.929999999993</v>
      </c>
      <c r="M4106" s="415">
        <v>74978.81</v>
      </c>
      <c r="N4106" s="415">
        <v>49556.09</v>
      </c>
      <c r="O4106" s="415">
        <v>42692.03</v>
      </c>
      <c r="P4106" s="415">
        <v>35073.47</v>
      </c>
      <c r="Q4106" s="481">
        <f t="shared" si="110"/>
        <v>3050.3158333600004</v>
      </c>
      <c r="R4106" s="402"/>
      <c r="S4106" s="408"/>
      <c r="T4106" s="403"/>
    </row>
    <row r="4107" spans="1:20" x14ac:dyDescent="0.3">
      <c r="A4107" s="366" t="str">
        <f>IFERROR(VLOOKUP(RIGHT(E4107,3)+0,[1]SchLocTable!$A$2:$B$47,2,FALSE)," ")</f>
        <v>Marin</v>
      </c>
      <c r="B4107" s="366" t="str">
        <f>VLOOKUP(VALUE(D4107),$D$3:F$106,3,FALSE)</f>
        <v>Custodians</v>
      </c>
      <c r="C4107" t="s">
        <v>314</v>
      </c>
      <c r="D4107">
        <v>887</v>
      </c>
      <c r="E4107" t="s">
        <v>1163</v>
      </c>
      <c r="F4107" t="s">
        <v>1090</v>
      </c>
      <c r="G4107" t="s">
        <v>319</v>
      </c>
      <c r="H4107" s="502">
        <v>51138</v>
      </c>
      <c r="I4107" s="415">
        <v>7118.2332000000006</v>
      </c>
      <c r="J4107" s="415">
        <v>4770.7700000000004</v>
      </c>
      <c r="K4107" s="415">
        <v>11447.72</v>
      </c>
      <c r="L4107" s="415">
        <v>8559.4500000000007</v>
      </c>
      <c r="M4107" s="415">
        <v>6674.8</v>
      </c>
      <c r="N4107" s="415">
        <v>6891.63</v>
      </c>
      <c r="O4107" s="415">
        <v>7246</v>
      </c>
      <c r="P4107" s="415">
        <v>6512.34</v>
      </c>
      <c r="Q4107" s="481">
        <f t="shared" si="110"/>
        <v>-2347.4632000000001</v>
      </c>
      <c r="R4107" s="402"/>
      <c r="S4107" s="403"/>
      <c r="T4107" s="404"/>
    </row>
    <row r="4108" spans="1:20" x14ac:dyDescent="0.3">
      <c r="A4108" s="366" t="str">
        <f>IFERROR(VLOOKUP(RIGHT(E4108,3)+0,[1]SchLocTable!$A$2:$B$47,2,FALSE)," ")</f>
        <v>Marin</v>
      </c>
      <c r="B4108" s="366" t="str">
        <f>VLOOKUP(VALUE(D4108),$D$3:F$106,3,FALSE)</f>
        <v>Custodians</v>
      </c>
      <c r="C4108" t="s">
        <v>314</v>
      </c>
      <c r="D4108">
        <v>887</v>
      </c>
      <c r="E4108" t="s">
        <v>1163</v>
      </c>
      <c r="F4108" t="s">
        <v>419</v>
      </c>
      <c r="G4108" t="s">
        <v>319</v>
      </c>
      <c r="H4108" s="502">
        <v>51318</v>
      </c>
      <c r="I4108" s="415">
        <v>0</v>
      </c>
      <c r="J4108" s="415">
        <v>0</v>
      </c>
      <c r="K4108" s="415">
        <v>0</v>
      </c>
      <c r="L4108" s="415">
        <v>0</v>
      </c>
      <c r="M4108" s="415">
        <v>717.99</v>
      </c>
      <c r="N4108" s="415">
        <v>0</v>
      </c>
      <c r="O4108" s="415">
        <v>0</v>
      </c>
      <c r="P4108" s="415">
        <v>0</v>
      </c>
      <c r="Q4108" s="481">
        <f t="shared" si="110"/>
        <v>0</v>
      </c>
      <c r="R4108" s="402"/>
      <c r="S4108" s="403"/>
      <c r="T4108" s="403"/>
    </row>
    <row r="4109" spans="1:20" x14ac:dyDescent="0.3">
      <c r="A4109" s="366" t="str">
        <f>IFERROR(VLOOKUP(RIGHT(E4109,3)+0,[1]SchLocTable!$A$2:$B$47,2,FALSE)," ")</f>
        <v>Marin</v>
      </c>
      <c r="B4109" s="366" t="str">
        <f>VLOOKUP(VALUE(D4109),$D$3:F$106,3,FALSE)</f>
        <v>Custodians</v>
      </c>
      <c r="C4109" t="s">
        <v>314</v>
      </c>
      <c r="D4109">
        <v>887</v>
      </c>
      <c r="E4109" t="s">
        <v>1163</v>
      </c>
      <c r="F4109" t="s">
        <v>452</v>
      </c>
      <c r="G4109" t="s">
        <v>319</v>
      </c>
      <c r="H4109" s="502">
        <v>51108</v>
      </c>
      <c r="I4109" s="415">
        <v>9424.9583999999995</v>
      </c>
      <c r="J4109" s="415">
        <v>668.17</v>
      </c>
      <c r="K4109" s="415">
        <v>4168.26</v>
      </c>
      <c r="L4109" s="415">
        <v>1689.21</v>
      </c>
      <c r="M4109" s="415">
        <v>5488.14</v>
      </c>
      <c r="N4109" s="415">
        <v>4188.28</v>
      </c>
      <c r="O4109" s="415">
        <v>754.55</v>
      </c>
      <c r="P4109" s="415">
        <v>1094.3800000000001</v>
      </c>
      <c r="Q4109" s="481">
        <f t="shared" si="110"/>
        <v>-8756.7883999999995</v>
      </c>
      <c r="R4109" s="402"/>
      <c r="S4109" s="403"/>
      <c r="T4109" s="403"/>
    </row>
    <row r="4110" spans="1:20" x14ac:dyDescent="0.3">
      <c r="A4110" s="366" t="str">
        <f>IFERROR(VLOOKUP(RIGHT(E4110,3)+0,[1]SchLocTable!$A$2:$B$47,2,FALSE)," ")</f>
        <v>Marin</v>
      </c>
      <c r="B4110" s="366" t="str">
        <f>VLOOKUP(VALUE(D4110),$D$3:F$106,3,FALSE)</f>
        <v>Custodians</v>
      </c>
      <c r="C4110" t="s">
        <v>314</v>
      </c>
      <c r="D4110">
        <v>887</v>
      </c>
      <c r="E4110" t="s">
        <v>1163</v>
      </c>
      <c r="F4110" t="s">
        <v>483</v>
      </c>
      <c r="G4110" t="s">
        <v>319</v>
      </c>
      <c r="H4110" s="502">
        <v>51122</v>
      </c>
      <c r="I4110" s="415">
        <v>32471.535200000006</v>
      </c>
      <c r="J4110" s="415">
        <v>27915.82</v>
      </c>
      <c r="K4110" s="415">
        <v>18903.37</v>
      </c>
      <c r="L4110" s="415">
        <v>17692.21</v>
      </c>
      <c r="M4110" s="415">
        <v>14977.21</v>
      </c>
      <c r="N4110" s="415">
        <v>23341.46</v>
      </c>
      <c r="O4110" s="415">
        <v>6899.49</v>
      </c>
      <c r="P4110" s="415">
        <v>6728.48</v>
      </c>
      <c r="Q4110" s="481">
        <f t="shared" si="110"/>
        <v>-4555.715200000006</v>
      </c>
      <c r="R4110" s="402"/>
      <c r="S4110" s="403"/>
      <c r="T4110" s="403"/>
    </row>
    <row r="4111" spans="1:20" x14ac:dyDescent="0.3">
      <c r="A4111" s="366" t="str">
        <f>IFERROR(VLOOKUP(RIGHT(E4111,3)+0,[1]SchLocTable!$A$2:$B$47,2,FALSE)," ")</f>
        <v>Marin</v>
      </c>
      <c r="B4111" s="366" t="str">
        <f>VLOOKUP(VALUE(D4111),$D$3:F$106,3,FALSE)</f>
        <v>Custodians</v>
      </c>
      <c r="C4111" t="s">
        <v>314</v>
      </c>
      <c r="D4111">
        <v>887</v>
      </c>
      <c r="E4111" t="s">
        <v>1163</v>
      </c>
      <c r="F4111" t="s">
        <v>324</v>
      </c>
      <c r="G4111" t="s">
        <v>319</v>
      </c>
      <c r="H4111" s="502">
        <v>52385</v>
      </c>
      <c r="I4111" s="415">
        <v>0</v>
      </c>
      <c r="J4111" s="415">
        <v>0</v>
      </c>
      <c r="K4111" s="415">
        <v>0</v>
      </c>
      <c r="L4111" s="415">
        <v>0</v>
      </c>
      <c r="M4111" s="415">
        <v>1005.95</v>
      </c>
      <c r="N4111" s="415">
        <v>680.7</v>
      </c>
      <c r="O4111" s="415">
        <v>0</v>
      </c>
      <c r="P4111" s="415">
        <v>0</v>
      </c>
      <c r="Q4111" s="481">
        <f t="shared" si="110"/>
        <v>0</v>
      </c>
      <c r="R4111" s="406"/>
      <c r="S4111" s="406"/>
      <c r="T4111" s="407"/>
    </row>
    <row r="4112" spans="1:20" x14ac:dyDescent="0.3">
      <c r="A4112" s="366" t="str">
        <f>IFERROR(VLOOKUP(RIGHT(E4112,3)+0,[1]SchLocTable!$A$2:$B$47,2,FALSE)," ")</f>
        <v>Marin</v>
      </c>
      <c r="B4112" s="366" t="str">
        <f>VLOOKUP(VALUE(D4112),$D$3:F$106,3,FALSE)</f>
        <v>Custodians</v>
      </c>
      <c r="C4112" t="s">
        <v>314</v>
      </c>
      <c r="D4112">
        <v>887</v>
      </c>
      <c r="E4112" t="s">
        <v>1163</v>
      </c>
      <c r="F4112" t="s">
        <v>329</v>
      </c>
      <c r="G4112" t="s">
        <v>319</v>
      </c>
      <c r="H4112" s="502">
        <v>51154</v>
      </c>
      <c r="I4112" s="415">
        <v>0</v>
      </c>
      <c r="J4112" s="415">
        <v>0</v>
      </c>
      <c r="K4112" s="415">
        <v>3876.18</v>
      </c>
      <c r="L4112" s="415">
        <v>0</v>
      </c>
      <c r="M4112" s="415">
        <v>16015.56</v>
      </c>
      <c r="N4112" s="415">
        <v>0</v>
      </c>
      <c r="O4112" s="415">
        <v>0</v>
      </c>
      <c r="P4112" s="415">
        <v>0</v>
      </c>
      <c r="Q4112" s="481">
        <f t="shared" si="110"/>
        <v>0</v>
      </c>
      <c r="R4112" s="402"/>
      <c r="S4112" s="403"/>
      <c r="T4112" s="403"/>
    </row>
    <row r="4113" spans="1:20" x14ac:dyDescent="0.3">
      <c r="A4113" s="366" t="str">
        <f>IFERROR(VLOOKUP(RIGHT(E4113,3)+0,[1]SchLocTable!$A$2:$B$47,2,FALSE)," ")</f>
        <v>Marin</v>
      </c>
      <c r="B4113" s="366" t="str">
        <f>VLOOKUP(VALUE(D4113),$D$3:F$106,3,FALSE)</f>
        <v>Custodians</v>
      </c>
      <c r="C4113" t="s">
        <v>314</v>
      </c>
      <c r="D4113">
        <v>887</v>
      </c>
      <c r="E4113" t="s">
        <v>1163</v>
      </c>
      <c r="F4113" t="s">
        <v>418</v>
      </c>
      <c r="G4113" t="s">
        <v>319</v>
      </c>
      <c r="H4113" s="502">
        <v>51314</v>
      </c>
      <c r="I4113" s="415">
        <v>2834.8896000000004</v>
      </c>
      <c r="J4113" s="415">
        <v>0</v>
      </c>
      <c r="K4113" s="415">
        <v>2752.32</v>
      </c>
      <c r="L4113" s="415">
        <v>0</v>
      </c>
      <c r="M4113" s="415">
        <v>7179.91</v>
      </c>
      <c r="N4113" s="415">
        <v>0</v>
      </c>
      <c r="O4113" s="415">
        <v>0</v>
      </c>
      <c r="P4113" s="415">
        <v>0</v>
      </c>
      <c r="Q4113" s="481">
        <f t="shared" si="110"/>
        <v>-2834.8896000000004</v>
      </c>
      <c r="R4113" s="402"/>
      <c r="S4113" s="403"/>
      <c r="T4113" s="404"/>
    </row>
    <row r="4114" spans="1:20" x14ac:dyDescent="0.3">
      <c r="A4114" s="366" t="str">
        <f>IFERROR(VLOOKUP(RIGHT(E4114,3)+0,[1]SchLocTable!$A$2:$B$47,2,FALSE)," ")</f>
        <v>Marin</v>
      </c>
      <c r="B4114" s="366" t="str">
        <f>VLOOKUP(VALUE(D4114),$D$3:F$106,3,FALSE)</f>
        <v>Custodians</v>
      </c>
      <c r="C4114" t="s">
        <v>314</v>
      </c>
      <c r="D4114">
        <v>887</v>
      </c>
      <c r="E4114" t="s">
        <v>1163</v>
      </c>
      <c r="F4114" t="s">
        <v>356</v>
      </c>
      <c r="G4114" t="s">
        <v>319</v>
      </c>
      <c r="H4114" s="502">
        <v>51156</v>
      </c>
      <c r="I4114" s="415">
        <v>0</v>
      </c>
      <c r="J4114" s="415">
        <v>0</v>
      </c>
      <c r="K4114" s="415">
        <v>0</v>
      </c>
      <c r="L4114" s="415">
        <v>0</v>
      </c>
      <c r="M4114" s="415">
        <v>2378.5300000000002</v>
      </c>
      <c r="N4114" s="415">
        <v>3230.78</v>
      </c>
      <c r="O4114" s="415">
        <v>3992.96</v>
      </c>
      <c r="P4114" s="415">
        <v>3931.64</v>
      </c>
      <c r="Q4114" s="481">
        <f t="shared" si="110"/>
        <v>0</v>
      </c>
      <c r="R4114" s="402"/>
      <c r="S4114" s="403"/>
      <c r="T4114" s="404"/>
    </row>
    <row r="4115" spans="1:20" x14ac:dyDescent="0.3">
      <c r="A4115" s="366" t="str">
        <f>IFERROR(VLOOKUP(RIGHT(E4115,3)+0,[1]SchLocTable!$A$2:$B$47,2,FALSE)," ")</f>
        <v>Hall</v>
      </c>
      <c r="B4115" s="366" t="str">
        <f>VLOOKUP(VALUE(D4115),$D$3:F$106,3,FALSE)</f>
        <v>Custodians</v>
      </c>
      <c r="C4115" t="s">
        <v>314</v>
      </c>
      <c r="D4115">
        <v>887</v>
      </c>
      <c r="E4115" t="s">
        <v>1164</v>
      </c>
      <c r="F4115" t="s">
        <v>1089</v>
      </c>
      <c r="G4115" t="s">
        <v>319</v>
      </c>
      <c r="H4115" s="502">
        <v>51102</v>
      </c>
      <c r="I4115" s="415">
        <v>0</v>
      </c>
      <c r="J4115" s="415">
        <v>0</v>
      </c>
      <c r="K4115" s="415">
        <v>0</v>
      </c>
      <c r="L4115" s="415">
        <v>95.2</v>
      </c>
      <c r="M4115" s="415">
        <v>0</v>
      </c>
      <c r="N4115" s="415">
        <v>0</v>
      </c>
      <c r="O4115" s="415">
        <v>0</v>
      </c>
      <c r="P4115" s="415">
        <v>0</v>
      </c>
      <c r="Q4115" s="481">
        <f t="shared" si="110"/>
        <v>0</v>
      </c>
      <c r="R4115" s="402"/>
      <c r="S4115" s="403"/>
      <c r="T4115" s="404"/>
    </row>
    <row r="4116" spans="1:20" x14ac:dyDescent="0.3">
      <c r="A4116" s="366" t="str">
        <f>IFERROR(VLOOKUP(RIGHT(E4116,3)+0,[1]SchLocTable!$A$2:$B$47,2,FALSE)," ")</f>
        <v>Hall</v>
      </c>
      <c r="B4116" s="366" t="str">
        <f>VLOOKUP(VALUE(D4116),$D$3:F$106,3,FALSE)</f>
        <v>Custodians</v>
      </c>
      <c r="C4116" t="s">
        <v>314</v>
      </c>
      <c r="D4116">
        <v>887</v>
      </c>
      <c r="E4116" t="s">
        <v>1164</v>
      </c>
      <c r="F4116" t="s">
        <v>316</v>
      </c>
      <c r="G4116" t="s">
        <v>319</v>
      </c>
      <c r="H4116" s="502">
        <v>51000</v>
      </c>
      <c r="I4116" s="415">
        <v>805.1472</v>
      </c>
      <c r="J4116" s="415">
        <v>0</v>
      </c>
      <c r="K4116" s="415">
        <v>0</v>
      </c>
      <c r="L4116" s="415">
        <v>0.01</v>
      </c>
      <c r="M4116" s="415">
        <v>0</v>
      </c>
      <c r="N4116" s="415">
        <v>17752.990000000002</v>
      </c>
      <c r="O4116" s="415">
        <v>44806.23</v>
      </c>
      <c r="P4116" s="415">
        <v>34155.760000000002</v>
      </c>
      <c r="Q4116" s="481">
        <f t="shared" si="110"/>
        <v>-805.1472</v>
      </c>
      <c r="R4116" s="402"/>
      <c r="S4116" s="403"/>
      <c r="T4116" s="403"/>
    </row>
    <row r="4117" spans="1:20" x14ac:dyDescent="0.3">
      <c r="A4117" s="366" t="str">
        <f>IFERROR(VLOOKUP(RIGHT(E4117,3)+0,[1]SchLocTable!$A$2:$B$47,2,FALSE)," ")</f>
        <v>Hall</v>
      </c>
      <c r="B4117" s="366" t="str">
        <f>VLOOKUP(VALUE(D4117),$D$3:F$106,3,FALSE)</f>
        <v>Custodians</v>
      </c>
      <c r="C4117" t="s">
        <v>314</v>
      </c>
      <c r="D4117">
        <v>887</v>
      </c>
      <c r="E4117" t="s">
        <v>1164</v>
      </c>
      <c r="F4117" t="s">
        <v>321</v>
      </c>
      <c r="G4117" t="s">
        <v>319</v>
      </c>
      <c r="H4117" s="502">
        <v>52917</v>
      </c>
      <c r="I4117" s="415">
        <v>0</v>
      </c>
      <c r="J4117" s="415">
        <v>0</v>
      </c>
      <c r="K4117" s="415">
        <v>0</v>
      </c>
      <c r="L4117" s="415">
        <v>33949.47</v>
      </c>
      <c r="M4117" s="415">
        <v>0</v>
      </c>
      <c r="N4117" s="415">
        <v>16423.43</v>
      </c>
      <c r="O4117" s="415">
        <v>27630.59</v>
      </c>
      <c r="P4117" s="415">
        <v>26257.43</v>
      </c>
      <c r="Q4117" s="481">
        <f t="shared" si="110"/>
        <v>0</v>
      </c>
      <c r="R4117" s="408"/>
      <c r="S4117" s="408"/>
      <c r="T4117" s="403"/>
    </row>
    <row r="4118" spans="1:20" x14ac:dyDescent="0.3">
      <c r="A4118" s="366" t="str">
        <f>IFERROR(VLOOKUP(RIGHT(E4118,3)+0,[1]SchLocTable!$A$2:$B$47,2,FALSE)," ")</f>
        <v>Hall</v>
      </c>
      <c r="B4118" s="366" t="str">
        <f>VLOOKUP(VALUE(D4118),$D$3:F$106,3,FALSE)</f>
        <v>Custodians</v>
      </c>
      <c r="C4118" t="s">
        <v>314</v>
      </c>
      <c r="D4118">
        <v>887</v>
      </c>
      <c r="E4118" t="s">
        <v>1164</v>
      </c>
      <c r="F4118" t="s">
        <v>318</v>
      </c>
      <c r="G4118" t="s">
        <v>319</v>
      </c>
      <c r="H4118" s="502">
        <v>51140</v>
      </c>
      <c r="I4118" s="415">
        <v>0</v>
      </c>
      <c r="J4118" s="415">
        <v>0</v>
      </c>
      <c r="K4118" s="415">
        <v>0</v>
      </c>
      <c r="L4118" s="415">
        <v>1725</v>
      </c>
      <c r="M4118" s="415">
        <v>1650</v>
      </c>
      <c r="N4118" s="415">
        <v>1575</v>
      </c>
      <c r="O4118" s="415">
        <v>1500</v>
      </c>
      <c r="P4118" s="415">
        <v>1425</v>
      </c>
      <c r="Q4118" s="481">
        <f t="shared" si="110"/>
        <v>0</v>
      </c>
      <c r="R4118" s="409"/>
      <c r="S4118" s="409"/>
      <c r="T4118" s="403"/>
    </row>
    <row r="4119" spans="1:20" x14ac:dyDescent="0.3">
      <c r="A4119" s="366" t="str">
        <f>IFERROR(VLOOKUP(RIGHT(E4119,3)+0,[1]SchLocTable!$A$2:$B$47,2,FALSE)," ")</f>
        <v>Hall</v>
      </c>
      <c r="B4119" s="366" t="str">
        <f>VLOOKUP(VALUE(D4119),$D$3:F$106,3,FALSE)</f>
        <v>Custodians</v>
      </c>
      <c r="C4119" t="s">
        <v>314</v>
      </c>
      <c r="D4119">
        <v>887</v>
      </c>
      <c r="E4119" t="s">
        <v>1164</v>
      </c>
      <c r="F4119" t="s">
        <v>320</v>
      </c>
      <c r="G4119" t="s">
        <v>319</v>
      </c>
      <c r="H4119" s="502">
        <v>52360</v>
      </c>
      <c r="I4119" s="415">
        <v>467.58627630000001</v>
      </c>
      <c r="J4119" s="415">
        <v>358.43</v>
      </c>
      <c r="K4119" s="415">
        <v>289.01</v>
      </c>
      <c r="L4119" s="415">
        <v>253.88</v>
      </c>
      <c r="M4119" s="415">
        <v>105.25</v>
      </c>
      <c r="N4119" s="415">
        <v>598.66</v>
      </c>
      <c r="O4119" s="415">
        <v>1051.71</v>
      </c>
      <c r="P4119" s="415">
        <v>954.13</v>
      </c>
      <c r="Q4119" s="481">
        <f t="shared" si="110"/>
        <v>-109.1562763</v>
      </c>
      <c r="R4119"/>
      <c r="S4119"/>
      <c r="T4119" s="413"/>
    </row>
    <row r="4120" spans="1:20" x14ac:dyDescent="0.3">
      <c r="A4120" s="366" t="str">
        <f>IFERROR(VLOOKUP(RIGHT(E4120,3)+0,[1]SchLocTable!$A$2:$B$47,2,FALSE)," ")</f>
        <v>Hall</v>
      </c>
      <c r="B4120" s="366" t="str">
        <f>VLOOKUP(VALUE(D4120),$D$3:F$106,3,FALSE)</f>
        <v>Custodians</v>
      </c>
      <c r="C4120" t="s">
        <v>314</v>
      </c>
      <c r="D4120">
        <v>887</v>
      </c>
      <c r="E4120" t="s">
        <v>1164</v>
      </c>
      <c r="F4120" t="s">
        <v>392</v>
      </c>
      <c r="G4120" t="s">
        <v>319</v>
      </c>
      <c r="H4120" s="502">
        <v>52504</v>
      </c>
      <c r="I4120" s="415">
        <v>6700.9950493200013</v>
      </c>
      <c r="J4120" s="415">
        <v>5144.0600000000004</v>
      </c>
      <c r="K4120" s="415">
        <v>4160.54</v>
      </c>
      <c r="L4120" s="415">
        <v>1620.81</v>
      </c>
      <c r="M4120" s="415">
        <v>1681.34</v>
      </c>
      <c r="N4120" s="415">
        <v>7852.9</v>
      </c>
      <c r="O4120" s="415">
        <v>11797.51</v>
      </c>
      <c r="P4120" s="415">
        <v>9273.1200000000008</v>
      </c>
      <c r="Q4120" s="481">
        <f t="shared" si="110"/>
        <v>-1556.9350493200009</v>
      </c>
      <c r="R4120"/>
      <c r="S4120"/>
      <c r="T4120" s="413"/>
    </row>
    <row r="4121" spans="1:20" x14ac:dyDescent="0.3">
      <c r="A4121" s="366" t="str">
        <f>IFERROR(VLOOKUP(RIGHT(E4121,3)+0,[1]SchLocTable!$A$2:$B$47,2,FALSE)," ")</f>
        <v>Hall</v>
      </c>
      <c r="B4121" s="366" t="str">
        <f>VLOOKUP(VALUE(D4121),$D$3:F$106,3,FALSE)</f>
        <v>Custodians</v>
      </c>
      <c r="C4121" t="s">
        <v>314</v>
      </c>
      <c r="D4121">
        <v>887</v>
      </c>
      <c r="E4121" t="s">
        <v>1164</v>
      </c>
      <c r="F4121" t="s">
        <v>452</v>
      </c>
      <c r="G4121" t="s">
        <v>319</v>
      </c>
      <c r="H4121" s="502">
        <v>51108</v>
      </c>
      <c r="I4121" s="415">
        <v>0</v>
      </c>
      <c r="J4121" s="415">
        <v>1627.3</v>
      </c>
      <c r="K4121" s="415">
        <v>1279.93</v>
      </c>
      <c r="L4121" s="415">
        <v>1622.65</v>
      </c>
      <c r="M4121" s="415">
        <v>-2261.36</v>
      </c>
      <c r="N4121" s="415">
        <v>1120.83</v>
      </c>
      <c r="O4121" s="415">
        <v>1697.21</v>
      </c>
      <c r="P4121" s="415">
        <v>2484.4</v>
      </c>
      <c r="Q4121" s="481">
        <f t="shared" si="110"/>
        <v>1627.3</v>
      </c>
      <c r="R4121"/>
      <c r="S4121"/>
      <c r="T4121" s="413"/>
    </row>
    <row r="4122" spans="1:20" x14ac:dyDescent="0.3">
      <c r="A4122" s="366" t="str">
        <f>IFERROR(VLOOKUP(RIGHT(E4122,3)+0,[1]SchLocTable!$A$2:$B$47,2,FALSE)," ")</f>
        <v>Hall</v>
      </c>
      <c r="B4122" s="366" t="str">
        <f>VLOOKUP(VALUE(D4122),$D$3:F$106,3,FALSE)</f>
        <v>Custodians</v>
      </c>
      <c r="C4122" t="s">
        <v>314</v>
      </c>
      <c r="D4122">
        <v>887</v>
      </c>
      <c r="E4122" t="s">
        <v>1164</v>
      </c>
      <c r="F4122" t="s">
        <v>483</v>
      </c>
      <c r="G4122" t="s">
        <v>319</v>
      </c>
      <c r="H4122" s="502">
        <v>51122</v>
      </c>
      <c r="I4122" s="415">
        <v>24807.768960000005</v>
      </c>
      <c r="J4122" s="415">
        <v>1586.99</v>
      </c>
      <c r="K4122" s="415">
        <v>18925.5</v>
      </c>
      <c r="L4122" s="415">
        <v>1660.22</v>
      </c>
      <c r="M4122" s="415">
        <v>0</v>
      </c>
      <c r="N4122" s="415">
        <v>1467.62</v>
      </c>
      <c r="O4122" s="415">
        <v>18817.400000000001</v>
      </c>
      <c r="P4122" s="415">
        <v>16090.45</v>
      </c>
      <c r="Q4122" s="481">
        <f t="shared" si="110"/>
        <v>-23220.778960000003</v>
      </c>
      <c r="R4122"/>
      <c r="S4122"/>
      <c r="T4122" s="413"/>
    </row>
    <row r="4123" spans="1:20" x14ac:dyDescent="0.3">
      <c r="A4123" s="366" t="str">
        <f>IFERROR(VLOOKUP(RIGHT(E4123,3)+0,[1]SchLocTable!$A$2:$B$47,2,FALSE)," ")</f>
        <v>Hall</v>
      </c>
      <c r="B4123" s="366" t="str">
        <f>VLOOKUP(VALUE(D4123),$D$3:F$106,3,FALSE)</f>
        <v>Custodians</v>
      </c>
      <c r="C4123" t="s">
        <v>314</v>
      </c>
      <c r="D4123">
        <v>887</v>
      </c>
      <c r="E4123" t="s">
        <v>1164</v>
      </c>
      <c r="F4123" t="s">
        <v>329</v>
      </c>
      <c r="G4123" t="s">
        <v>319</v>
      </c>
      <c r="H4123" s="502">
        <v>51154</v>
      </c>
      <c r="I4123" s="415">
        <v>0</v>
      </c>
      <c r="J4123" s="415">
        <v>0</v>
      </c>
      <c r="K4123" s="415">
        <v>0</v>
      </c>
      <c r="L4123" s="415">
        <v>3999.21</v>
      </c>
      <c r="M4123" s="415">
        <v>0</v>
      </c>
      <c r="N4123" s="415">
        <v>0</v>
      </c>
      <c r="O4123" s="415">
        <v>0</v>
      </c>
      <c r="P4123" s="415">
        <v>0</v>
      </c>
      <c r="Q4123" s="481">
        <f t="shared" si="110"/>
        <v>0</v>
      </c>
      <c r="R4123"/>
      <c r="S4123"/>
      <c r="T4123" s="413"/>
    </row>
    <row r="4124" spans="1:20" x14ac:dyDescent="0.3">
      <c r="A4124" s="366" t="str">
        <f>IFERROR(VLOOKUP(RIGHT(E4124,3)+0,[1]SchLocTable!$A$2:$B$47,2,FALSE)," ")</f>
        <v>Hall</v>
      </c>
      <c r="B4124" s="366" t="str">
        <f>VLOOKUP(VALUE(D4124),$D$3:F$106,3,FALSE)</f>
        <v>Custodians</v>
      </c>
      <c r="C4124" t="s">
        <v>314</v>
      </c>
      <c r="D4124">
        <v>887</v>
      </c>
      <c r="E4124" t="s">
        <v>1164</v>
      </c>
      <c r="F4124" t="s">
        <v>418</v>
      </c>
      <c r="G4124" t="s">
        <v>319</v>
      </c>
      <c r="H4124" s="502">
        <v>51314</v>
      </c>
      <c r="I4124" s="415">
        <v>0</v>
      </c>
      <c r="J4124" s="415">
        <v>0</v>
      </c>
      <c r="K4124" s="415">
        <v>0</v>
      </c>
      <c r="L4124" s="415">
        <v>5629.39</v>
      </c>
      <c r="M4124" s="415">
        <v>0</v>
      </c>
      <c r="N4124" s="415">
        <v>0</v>
      </c>
      <c r="O4124" s="415">
        <v>0</v>
      </c>
      <c r="P4124" s="415">
        <v>0</v>
      </c>
      <c r="Q4124" s="481">
        <f t="shared" si="110"/>
        <v>0</v>
      </c>
      <c r="R4124" s="414"/>
      <c r="S4124"/>
      <c r="T4124" s="413"/>
    </row>
    <row r="4125" spans="1:20" x14ac:dyDescent="0.3">
      <c r="A4125" s="366" t="str">
        <f>IFERROR(VLOOKUP(RIGHT(E4125,3)+0,[1]SchLocTable!$A$2:$B$47,2,FALSE)," ")</f>
        <v>Hallen</v>
      </c>
      <c r="B4125" s="366" t="str">
        <f>VLOOKUP(VALUE(D4125),$D$3:F$106,3,FALSE)</f>
        <v>Custodians</v>
      </c>
      <c r="C4125" t="s">
        <v>314</v>
      </c>
      <c r="D4125">
        <v>887</v>
      </c>
      <c r="E4125" t="s">
        <v>1165</v>
      </c>
      <c r="F4125" t="s">
        <v>1089</v>
      </c>
      <c r="G4125" t="s">
        <v>319</v>
      </c>
      <c r="H4125" s="502">
        <v>51102</v>
      </c>
      <c r="I4125" s="415">
        <v>2669.4720000000002</v>
      </c>
      <c r="J4125" s="415">
        <v>0</v>
      </c>
      <c r="K4125" s="415">
        <v>0</v>
      </c>
      <c r="L4125" s="415">
        <v>3990.56</v>
      </c>
      <c r="M4125" s="415">
        <v>6166.26</v>
      </c>
      <c r="N4125" s="415">
        <v>9331.42</v>
      </c>
      <c r="O4125" s="415">
        <v>1643.06</v>
      </c>
      <c r="P4125" s="415">
        <v>1992.64</v>
      </c>
      <c r="Q4125" s="481">
        <f t="shared" si="110"/>
        <v>-2669.4720000000002</v>
      </c>
      <c r="R4125"/>
      <c r="S4125"/>
      <c r="T4125" s="415"/>
    </row>
    <row r="4126" spans="1:20" x14ac:dyDescent="0.3">
      <c r="A4126" s="366" t="str">
        <f>IFERROR(VLOOKUP(RIGHT(E4126,3)+0,[1]SchLocTable!$A$2:$B$47,2,FALSE)," ")</f>
        <v>Hallen</v>
      </c>
      <c r="B4126" s="366" t="str">
        <f>VLOOKUP(VALUE(D4126),$D$3:F$106,3,FALSE)</f>
        <v>Custodians</v>
      </c>
      <c r="C4126" t="s">
        <v>314</v>
      </c>
      <c r="D4126">
        <v>887</v>
      </c>
      <c r="E4126" t="s">
        <v>1165</v>
      </c>
      <c r="F4126" t="s">
        <v>316</v>
      </c>
      <c r="G4126">
        <v>3</v>
      </c>
      <c r="H4126" s="502">
        <v>51000</v>
      </c>
      <c r="I4126" s="415">
        <v>160248.24800399996</v>
      </c>
      <c r="J4126" s="415">
        <v>154162</v>
      </c>
      <c r="K4126" s="415">
        <v>147403.93</v>
      </c>
      <c r="L4126" s="415">
        <v>139503.53</v>
      </c>
      <c r="M4126" s="415">
        <v>115996.5</v>
      </c>
      <c r="N4126" s="415">
        <v>80219.679999999993</v>
      </c>
      <c r="O4126" s="415">
        <v>129153.7</v>
      </c>
      <c r="P4126" s="415">
        <v>114119.84</v>
      </c>
      <c r="Q4126" s="481">
        <f t="shared" si="110"/>
        <v>-6086.2480039999646</v>
      </c>
      <c r="R4126"/>
      <c r="S4126" s="416"/>
      <c r="T4126" s="417"/>
    </row>
    <row r="4127" spans="1:20" x14ac:dyDescent="0.3">
      <c r="A4127" s="366" t="str">
        <f>IFERROR(VLOOKUP(RIGHT(E4127,3)+0,[1]SchLocTable!$A$2:$B$47,2,FALSE)," ")</f>
        <v>Hallen</v>
      </c>
      <c r="B4127" s="366" t="str">
        <f>VLOOKUP(VALUE(D4127),$D$3:F$106,3,FALSE)</f>
        <v>Custodians</v>
      </c>
      <c r="C4127" t="s">
        <v>314</v>
      </c>
      <c r="D4127">
        <v>887</v>
      </c>
      <c r="E4127" t="s">
        <v>1165</v>
      </c>
      <c r="F4127" t="s">
        <v>360</v>
      </c>
      <c r="G4127" t="s">
        <v>319</v>
      </c>
      <c r="H4127" s="502">
        <v>52920</v>
      </c>
      <c r="I4127" s="415">
        <v>2000</v>
      </c>
      <c r="J4127" s="415">
        <v>2000</v>
      </c>
      <c r="K4127" s="415">
        <v>2000</v>
      </c>
      <c r="L4127" s="415">
        <v>2500</v>
      </c>
      <c r="M4127" s="415">
        <v>2416.6799999999998</v>
      </c>
      <c r="N4127" s="415">
        <v>125</v>
      </c>
      <c r="O4127" s="415">
        <v>2000</v>
      </c>
      <c r="P4127" s="415">
        <v>2000</v>
      </c>
      <c r="Q4127" s="481">
        <f t="shared" si="110"/>
        <v>0</v>
      </c>
      <c r="R4127"/>
      <c r="T4127" s="417"/>
    </row>
    <row r="4128" spans="1:20" x14ac:dyDescent="0.3">
      <c r="A4128" s="366" t="str">
        <f>IFERROR(VLOOKUP(RIGHT(E4128,3)+0,[1]SchLocTable!$A$2:$B$47,2,FALSE)," ")</f>
        <v>Hallen</v>
      </c>
      <c r="B4128" s="366" t="str">
        <f>VLOOKUP(VALUE(D4128),$D$3:F$106,3,FALSE)</f>
        <v>Custodians</v>
      </c>
      <c r="C4128" t="s">
        <v>314</v>
      </c>
      <c r="D4128">
        <v>887</v>
      </c>
      <c r="E4128" t="s">
        <v>1165</v>
      </c>
      <c r="F4128" t="s">
        <v>321</v>
      </c>
      <c r="G4128" t="s">
        <v>319</v>
      </c>
      <c r="H4128" s="502">
        <v>52917</v>
      </c>
      <c r="I4128" s="415">
        <v>28150.511999999999</v>
      </c>
      <c r="J4128" s="415">
        <v>13608</v>
      </c>
      <c r="K4128" s="415">
        <v>15737.35</v>
      </c>
      <c r="L4128" s="415">
        <v>14434.21</v>
      </c>
      <c r="M4128" s="415">
        <v>22332.73</v>
      </c>
      <c r="N4128" s="415">
        <v>27406.49</v>
      </c>
      <c r="O4128" s="415">
        <v>35328.5</v>
      </c>
      <c r="P4128" s="415">
        <v>35154.879999999997</v>
      </c>
      <c r="Q4128" s="481">
        <f t="shared" si="110"/>
        <v>-14542.511999999999</v>
      </c>
    </row>
    <row r="4129" spans="1:17" x14ac:dyDescent="0.3">
      <c r="A4129" s="366" t="str">
        <f>IFERROR(VLOOKUP(RIGHT(E4129,3)+0,[1]SchLocTable!$A$2:$B$47,2,FALSE)," ")</f>
        <v>Hallen</v>
      </c>
      <c r="B4129" s="366" t="str">
        <f>VLOOKUP(VALUE(D4129),$D$3:F$106,3,FALSE)</f>
        <v>Custodians</v>
      </c>
      <c r="C4129" t="s">
        <v>314</v>
      </c>
      <c r="D4129">
        <v>887</v>
      </c>
      <c r="E4129" t="s">
        <v>1165</v>
      </c>
      <c r="F4129" t="s">
        <v>1087</v>
      </c>
      <c r="G4129" t="s">
        <v>319</v>
      </c>
      <c r="H4129" s="502">
        <v>51116</v>
      </c>
      <c r="I4129" s="415">
        <v>0</v>
      </c>
      <c r="J4129" s="415">
        <v>0</v>
      </c>
      <c r="K4129" s="415">
        <v>0</v>
      </c>
      <c r="L4129" s="415">
        <v>128.44999999999999</v>
      </c>
      <c r="M4129" s="415">
        <v>0</v>
      </c>
      <c r="N4129" s="415">
        <v>0</v>
      </c>
      <c r="O4129" s="415">
        <v>0</v>
      </c>
      <c r="P4129" s="415">
        <v>0</v>
      </c>
      <c r="Q4129" s="481">
        <f t="shared" si="110"/>
        <v>0</v>
      </c>
    </row>
    <row r="4130" spans="1:17" x14ac:dyDescent="0.3">
      <c r="A4130" s="366" t="str">
        <f>IFERROR(VLOOKUP(RIGHT(E4130,3)+0,[1]SchLocTable!$A$2:$B$47,2,FALSE)," ")</f>
        <v>Hallen</v>
      </c>
      <c r="B4130" s="366" t="str">
        <f>VLOOKUP(VALUE(D4130),$D$3:F$106,3,FALSE)</f>
        <v>Custodians</v>
      </c>
      <c r="C4130" t="s">
        <v>314</v>
      </c>
      <c r="D4130">
        <v>887</v>
      </c>
      <c r="E4130" t="s">
        <v>1165</v>
      </c>
      <c r="F4130" t="s">
        <v>318</v>
      </c>
      <c r="G4130" t="s">
        <v>319</v>
      </c>
      <c r="H4130" s="502">
        <v>51140</v>
      </c>
      <c r="I4130" s="415">
        <v>2250</v>
      </c>
      <c r="J4130" s="415">
        <v>1125</v>
      </c>
      <c r="K4130" s="415">
        <v>2100</v>
      </c>
      <c r="L4130" s="415">
        <v>1950</v>
      </c>
      <c r="M4130" s="415">
        <v>3375</v>
      </c>
      <c r="N4130" s="415">
        <v>2025</v>
      </c>
      <c r="O4130" s="415">
        <v>975</v>
      </c>
      <c r="P4130" s="415">
        <v>900</v>
      </c>
      <c r="Q4130" s="481">
        <f t="shared" si="110"/>
        <v>-1125</v>
      </c>
    </row>
    <row r="4131" spans="1:17" ht="12" customHeight="1" x14ac:dyDescent="0.3">
      <c r="A4131" s="366" t="str">
        <f>IFERROR(VLOOKUP(RIGHT(E4131,3)+0,[1]SchLocTable!$A$2:$B$47,2,FALSE)," ")</f>
        <v>Hallen</v>
      </c>
      <c r="B4131" s="366" t="str">
        <f>VLOOKUP(VALUE(D4131),$D$3:F$106,3,FALSE)</f>
        <v>Custodians</v>
      </c>
      <c r="C4131" t="s">
        <v>314</v>
      </c>
      <c r="D4131">
        <v>887</v>
      </c>
      <c r="E4131" t="s">
        <v>1165</v>
      </c>
      <c r="F4131" t="s">
        <v>320</v>
      </c>
      <c r="G4131" t="s">
        <v>319</v>
      </c>
      <c r="H4131" s="502">
        <v>52360</v>
      </c>
      <c r="I4131" s="415">
        <v>2632.2558209579993</v>
      </c>
      <c r="J4131" s="415">
        <v>2208</v>
      </c>
      <c r="K4131" s="415">
        <v>2449.59</v>
      </c>
      <c r="L4131" s="415">
        <v>2405.9899999999998</v>
      </c>
      <c r="M4131" s="415">
        <v>2158.5500000000002</v>
      </c>
      <c r="N4131" s="415">
        <v>1779.76</v>
      </c>
      <c r="O4131" s="415">
        <v>2067.9899999999998</v>
      </c>
      <c r="P4131" s="415">
        <v>1972.04</v>
      </c>
      <c r="Q4131" s="481">
        <f t="shared" si="110"/>
        <v>-424.25582095799928</v>
      </c>
    </row>
    <row r="4132" spans="1:17" x14ac:dyDescent="0.3">
      <c r="A4132" s="366" t="str">
        <f>IFERROR(VLOOKUP(RIGHT(E4132,3)+0,[1]SchLocTable!$A$2:$B$47,2,FALSE)," ")</f>
        <v>Hallen</v>
      </c>
      <c r="B4132" s="366" t="str">
        <f>VLOOKUP(VALUE(D4132),$D$3:F$106,3,FALSE)</f>
        <v>Custodians</v>
      </c>
      <c r="C4132" t="s">
        <v>314</v>
      </c>
      <c r="D4132">
        <v>887</v>
      </c>
      <c r="E4132" t="s">
        <v>1165</v>
      </c>
      <c r="F4132" t="s">
        <v>392</v>
      </c>
      <c r="G4132" t="s">
        <v>319</v>
      </c>
      <c r="H4132" s="502">
        <v>52504</v>
      </c>
      <c r="I4132" s="415">
        <v>37722.948937591194</v>
      </c>
      <c r="J4132" s="415">
        <v>32502</v>
      </c>
      <c r="K4132" s="415">
        <v>31198.07</v>
      </c>
      <c r="L4132" s="415">
        <v>34207.160000000003</v>
      </c>
      <c r="M4132" s="415">
        <v>29609.03</v>
      </c>
      <c r="N4132" s="415">
        <v>21385.54</v>
      </c>
      <c r="O4132" s="415">
        <v>25210.79</v>
      </c>
      <c r="P4132" s="415">
        <v>20824.29</v>
      </c>
      <c r="Q4132" s="481">
        <f t="shared" si="110"/>
        <v>-5220.9489375911944</v>
      </c>
    </row>
    <row r="4133" spans="1:17" x14ac:dyDescent="0.3">
      <c r="A4133" s="366" t="str">
        <f>IFERROR(VLOOKUP(RIGHT(E4133,3)+0,[1]SchLocTable!$A$2:$B$47,2,FALSE)," ")</f>
        <v>Hallen</v>
      </c>
      <c r="B4133" s="366" t="str">
        <f>VLOOKUP(VALUE(D4133),$D$3:F$106,3,FALSE)</f>
        <v>Custodians</v>
      </c>
      <c r="C4133" t="s">
        <v>314</v>
      </c>
      <c r="D4133">
        <v>887</v>
      </c>
      <c r="E4133" t="s">
        <v>1165</v>
      </c>
      <c r="F4133" t="s">
        <v>1090</v>
      </c>
      <c r="G4133" t="s">
        <v>319</v>
      </c>
      <c r="H4133" s="502">
        <v>51138</v>
      </c>
      <c r="I4133" s="415">
        <v>5399.4616000000005</v>
      </c>
      <c r="J4133" s="415">
        <v>3957.66</v>
      </c>
      <c r="K4133" s="415">
        <v>3963.38</v>
      </c>
      <c r="L4133" s="415">
        <v>4163.45</v>
      </c>
      <c r="M4133" s="415">
        <v>3552.03</v>
      </c>
      <c r="N4133" s="415">
        <v>2228.25</v>
      </c>
      <c r="O4133" s="415">
        <v>3589.96</v>
      </c>
      <c r="P4133" s="415">
        <v>3197.87</v>
      </c>
      <c r="Q4133" s="481">
        <f t="shared" si="110"/>
        <v>-1441.8016000000007</v>
      </c>
    </row>
    <row r="4134" spans="1:17" x14ac:dyDescent="0.3">
      <c r="A4134" s="366" t="str">
        <f>IFERROR(VLOOKUP(RIGHT(E4134,3)+0,[1]SchLocTable!$A$2:$B$47,2,FALSE)," ")</f>
        <v>Hallen</v>
      </c>
      <c r="B4134" s="366" t="str">
        <f>VLOOKUP(VALUE(D4134),$D$3:F$106,3,FALSE)</f>
        <v>Custodians</v>
      </c>
      <c r="C4134" t="s">
        <v>314</v>
      </c>
      <c r="D4134">
        <v>887</v>
      </c>
      <c r="E4134" t="s">
        <v>1165</v>
      </c>
      <c r="F4134" t="s">
        <v>452</v>
      </c>
      <c r="G4134" t="s">
        <v>319</v>
      </c>
      <c r="H4134" s="502">
        <v>51108</v>
      </c>
      <c r="I4134" s="415">
        <v>0</v>
      </c>
      <c r="J4134" s="415">
        <v>2102.84</v>
      </c>
      <c r="K4134" s="415">
        <v>1879.99</v>
      </c>
      <c r="L4134" s="415">
        <v>1301.05</v>
      </c>
      <c r="M4134" s="415">
        <v>2834.53</v>
      </c>
      <c r="N4134" s="415">
        <v>3561.38</v>
      </c>
      <c r="O4134" s="415">
        <v>552.77</v>
      </c>
      <c r="P4134" s="415">
        <v>3294.69</v>
      </c>
      <c r="Q4134" s="481">
        <f t="shared" si="110"/>
        <v>2102.84</v>
      </c>
    </row>
    <row r="4135" spans="1:17" ht="9.9" customHeight="1" x14ac:dyDescent="0.3">
      <c r="A4135" s="366" t="str">
        <f>IFERROR(VLOOKUP(RIGHT(E4135,3)+0,[1]SchLocTable!$A$2:$B$47,2,FALSE)," ")</f>
        <v>Hallen</v>
      </c>
      <c r="B4135" s="366" t="str">
        <f>VLOOKUP(VALUE(D4135),$D$3:F$106,3,FALSE)</f>
        <v>Custodians</v>
      </c>
      <c r="C4135" t="s">
        <v>314</v>
      </c>
      <c r="D4135">
        <v>887</v>
      </c>
      <c r="E4135" t="s">
        <v>1165</v>
      </c>
      <c r="F4135" t="s">
        <v>483</v>
      </c>
      <c r="G4135" t="s">
        <v>319</v>
      </c>
      <c r="H4135" s="502">
        <v>51122</v>
      </c>
      <c r="I4135" s="415">
        <v>8721.3796800000036</v>
      </c>
      <c r="J4135" s="415">
        <v>948.2</v>
      </c>
      <c r="K4135" s="415">
        <v>11920.13</v>
      </c>
      <c r="L4135" s="415">
        <v>4615.74</v>
      </c>
      <c r="M4135" s="415">
        <v>8370.83</v>
      </c>
      <c r="N4135" s="415">
        <v>8579.0499999999993</v>
      </c>
      <c r="O4135" s="415">
        <v>10919.46</v>
      </c>
      <c r="P4135" s="415">
        <v>11561.86</v>
      </c>
      <c r="Q4135" s="481">
        <f t="shared" si="110"/>
        <v>-7773.1796800000038</v>
      </c>
    </row>
    <row r="4136" spans="1:17" x14ac:dyDescent="0.3">
      <c r="A4136" s="366" t="str">
        <f>IFERROR(VLOOKUP(RIGHT(E4136,3)+0,[1]SchLocTable!$A$2:$B$47,2,FALSE)," ")</f>
        <v>Hallen</v>
      </c>
      <c r="B4136" s="366" t="str">
        <f>VLOOKUP(VALUE(D4136),$D$3:F$106,3,FALSE)</f>
        <v>Custodians</v>
      </c>
      <c r="C4136" t="s">
        <v>314</v>
      </c>
      <c r="D4136">
        <v>887</v>
      </c>
      <c r="E4136" t="s">
        <v>1165</v>
      </c>
      <c r="F4136" t="s">
        <v>1148</v>
      </c>
      <c r="G4136" t="s">
        <v>319</v>
      </c>
      <c r="H4136" s="502">
        <v>51124</v>
      </c>
      <c r="I4136" s="415">
        <v>0</v>
      </c>
      <c r="J4136" s="415">
        <v>0</v>
      </c>
      <c r="K4136" s="415">
        <v>0</v>
      </c>
      <c r="L4136" s="415">
        <v>20.52</v>
      </c>
      <c r="M4136" s="415">
        <v>0</v>
      </c>
      <c r="N4136" s="415">
        <v>0</v>
      </c>
      <c r="O4136" s="415">
        <v>0</v>
      </c>
      <c r="P4136" s="415">
        <v>0</v>
      </c>
      <c r="Q4136" s="481">
        <f t="shared" si="110"/>
        <v>0</v>
      </c>
    </row>
    <row r="4137" spans="1:17" x14ac:dyDescent="0.3">
      <c r="A4137" s="366" t="str">
        <f>IFERROR(VLOOKUP(RIGHT(E4137,3)+0,[1]SchLocTable!$A$2:$B$47,2,FALSE)," ")</f>
        <v>Hallen</v>
      </c>
      <c r="B4137" s="366" t="str">
        <f>VLOOKUP(VALUE(D4137),$D$3:F$106,3,FALSE)</f>
        <v>Custodians</v>
      </c>
      <c r="C4137" t="s">
        <v>314</v>
      </c>
      <c r="D4137">
        <v>887</v>
      </c>
      <c r="E4137" t="s">
        <v>1165</v>
      </c>
      <c r="F4137" t="s">
        <v>1154</v>
      </c>
      <c r="G4137" t="s">
        <v>319</v>
      </c>
      <c r="H4137" s="502">
        <v>51128</v>
      </c>
      <c r="I4137" s="415">
        <v>0</v>
      </c>
      <c r="J4137" s="415">
        <v>0</v>
      </c>
      <c r="K4137" s="415">
        <v>0</v>
      </c>
      <c r="L4137" s="415">
        <v>0</v>
      </c>
      <c r="M4137" s="415">
        <v>99.49</v>
      </c>
      <c r="N4137" s="415">
        <v>0</v>
      </c>
      <c r="O4137" s="415">
        <v>0</v>
      </c>
      <c r="P4137" s="415">
        <v>0</v>
      </c>
      <c r="Q4137" s="481">
        <f t="shared" si="110"/>
        <v>0</v>
      </c>
    </row>
    <row r="4138" spans="1:17" x14ac:dyDescent="0.3">
      <c r="A4138" s="366" t="str">
        <f>IFERROR(VLOOKUP(RIGHT(E4138,3)+0,[1]SchLocTable!$A$2:$B$47,2,FALSE)," ")</f>
        <v>Hallen</v>
      </c>
      <c r="B4138" s="366" t="str">
        <f>VLOOKUP(VALUE(D4138),$D$3:F$106,3,FALSE)</f>
        <v>Custodians</v>
      </c>
      <c r="C4138" t="s">
        <v>314</v>
      </c>
      <c r="D4138">
        <v>887</v>
      </c>
      <c r="E4138" t="s">
        <v>1165</v>
      </c>
      <c r="F4138" t="s">
        <v>324</v>
      </c>
      <c r="G4138" t="s">
        <v>319</v>
      </c>
      <c r="H4138" s="502">
        <v>52385</v>
      </c>
      <c r="I4138" s="415">
        <v>0</v>
      </c>
      <c r="J4138" s="415">
        <v>0</v>
      </c>
      <c r="K4138" s="415">
        <v>1235.79</v>
      </c>
      <c r="L4138" s="415">
        <v>0</v>
      </c>
      <c r="M4138" s="415">
        <v>1154.3800000000001</v>
      </c>
      <c r="N4138" s="415">
        <v>1264.8</v>
      </c>
      <c r="O4138" s="415">
        <v>0</v>
      </c>
      <c r="P4138" s="415">
        <v>0</v>
      </c>
      <c r="Q4138" s="481">
        <f t="shared" si="110"/>
        <v>0</v>
      </c>
    </row>
    <row r="4139" spans="1:17" x14ac:dyDescent="0.3">
      <c r="A4139" s="366" t="str">
        <f>IFERROR(VLOOKUP(RIGHT(E4139,3)+0,[1]SchLocTable!$A$2:$B$47,2,FALSE)," ")</f>
        <v>Hooker</v>
      </c>
      <c r="B4139" s="366" t="str">
        <f>VLOOKUP(VALUE(D4139),$D$3:F$106,3,FALSE)</f>
        <v>Custodians</v>
      </c>
      <c r="C4139" t="s">
        <v>314</v>
      </c>
      <c r="D4139">
        <v>887</v>
      </c>
      <c r="E4139" t="s">
        <v>1166</v>
      </c>
      <c r="F4139" t="s">
        <v>1089</v>
      </c>
      <c r="G4139" t="s">
        <v>319</v>
      </c>
      <c r="H4139" s="502">
        <v>51102</v>
      </c>
      <c r="I4139" s="415">
        <v>8766.2015999999985</v>
      </c>
      <c r="J4139" s="415">
        <v>0</v>
      </c>
      <c r="K4139" s="415">
        <v>0</v>
      </c>
      <c r="L4139" s="415">
        <v>1860.24</v>
      </c>
      <c r="M4139" s="415">
        <v>4189.92</v>
      </c>
      <c r="N4139" s="415">
        <v>2045.66</v>
      </c>
      <c r="O4139" s="415">
        <v>1013.77</v>
      </c>
      <c r="P4139" s="415">
        <v>464.79</v>
      </c>
      <c r="Q4139" s="481">
        <f t="shared" si="110"/>
        <v>-8766.2015999999985</v>
      </c>
    </row>
    <row r="4140" spans="1:17" x14ac:dyDescent="0.3">
      <c r="A4140" s="366" t="str">
        <f>IFERROR(VLOOKUP(RIGHT(E4140,3)+0,[1]SchLocTable!$A$2:$B$47,2,FALSE)," ")</f>
        <v>Hooker</v>
      </c>
      <c r="B4140" s="366" t="str">
        <f>VLOOKUP(VALUE(D4140),$D$3:F$106,3,FALSE)</f>
        <v>Custodians</v>
      </c>
      <c r="C4140" t="s">
        <v>314</v>
      </c>
      <c r="D4140">
        <v>887</v>
      </c>
      <c r="E4140" t="s">
        <v>1166</v>
      </c>
      <c r="F4140" t="s">
        <v>316</v>
      </c>
      <c r="G4140">
        <v>2</v>
      </c>
      <c r="H4140" s="502">
        <v>51000</v>
      </c>
      <c r="I4140" s="415">
        <v>120369.50639999998</v>
      </c>
      <c r="J4140" s="415">
        <v>116299</v>
      </c>
      <c r="K4140" s="415">
        <v>116222.5</v>
      </c>
      <c r="L4140" s="415">
        <v>145579.42000000001</v>
      </c>
      <c r="M4140" s="415">
        <v>139924.68</v>
      </c>
      <c r="N4140" s="415">
        <v>138303.79</v>
      </c>
      <c r="O4140" s="415">
        <v>143037.66</v>
      </c>
      <c r="P4140" s="415">
        <v>124639.61</v>
      </c>
      <c r="Q4140" s="481">
        <f t="shared" si="110"/>
        <v>-4070.5063999999838</v>
      </c>
    </row>
    <row r="4141" spans="1:17" x14ac:dyDescent="0.3">
      <c r="A4141" s="366" t="str">
        <f>IFERROR(VLOOKUP(RIGHT(E4141,3)+0,[1]SchLocTable!$A$2:$B$47,2,FALSE)," ")</f>
        <v>Hooker</v>
      </c>
      <c r="B4141" s="366" t="str">
        <f>VLOOKUP(VALUE(D4141),$D$3:F$106,3,FALSE)</f>
        <v>Custodians</v>
      </c>
      <c r="C4141" t="s">
        <v>314</v>
      </c>
      <c r="D4141">
        <v>887</v>
      </c>
      <c r="E4141" t="s">
        <v>1166</v>
      </c>
      <c r="F4141" t="s">
        <v>321</v>
      </c>
      <c r="G4141" t="s">
        <v>319</v>
      </c>
      <c r="H4141" s="502">
        <v>52917</v>
      </c>
      <c r="I4141" s="415">
        <v>60856.848000000005</v>
      </c>
      <c r="J4141" s="415">
        <v>50442</v>
      </c>
      <c r="K4141" s="415">
        <v>45975.34</v>
      </c>
      <c r="L4141" s="415">
        <v>56067.96</v>
      </c>
      <c r="M4141" s="415">
        <v>51200.31</v>
      </c>
      <c r="N4141" s="415">
        <v>43700.73</v>
      </c>
      <c r="O4141" s="415">
        <v>38396.32</v>
      </c>
      <c r="P4141" s="415">
        <v>23857.51</v>
      </c>
      <c r="Q4141" s="481">
        <f t="shared" si="110"/>
        <v>-10414.848000000005</v>
      </c>
    </row>
    <row r="4142" spans="1:17" x14ac:dyDescent="0.3">
      <c r="A4142" s="366" t="str">
        <f>IFERROR(VLOOKUP(RIGHT(E4142,3)+0,[1]SchLocTable!$A$2:$B$47,2,FALSE)," ")</f>
        <v>Hooker</v>
      </c>
      <c r="B4142" s="366" t="str">
        <f>VLOOKUP(VALUE(D4142),$D$3:F$106,3,FALSE)</f>
        <v>Custodians</v>
      </c>
      <c r="C4142" t="s">
        <v>314</v>
      </c>
      <c r="D4142">
        <v>887</v>
      </c>
      <c r="E4142" t="s">
        <v>1166</v>
      </c>
      <c r="F4142" t="s">
        <v>318</v>
      </c>
      <c r="G4142" t="s">
        <v>319</v>
      </c>
      <c r="H4142" s="502">
        <v>51140</v>
      </c>
      <c r="I4142" s="415">
        <v>1350</v>
      </c>
      <c r="J4142" s="415">
        <v>0</v>
      </c>
      <c r="K4142" s="415">
        <v>1275</v>
      </c>
      <c r="L4142" s="415">
        <v>1200</v>
      </c>
      <c r="M4142" s="415">
        <v>2105</v>
      </c>
      <c r="N4142" s="415">
        <v>1960</v>
      </c>
      <c r="O4142" s="415">
        <v>1815</v>
      </c>
      <c r="P4142" s="415">
        <v>770</v>
      </c>
      <c r="Q4142" s="481">
        <f t="shared" si="110"/>
        <v>-1350</v>
      </c>
    </row>
    <row r="4143" spans="1:17" x14ac:dyDescent="0.3">
      <c r="A4143" s="366" t="str">
        <f>IFERROR(VLOOKUP(RIGHT(E4143,3)+0,[1]SchLocTable!$A$2:$B$47,2,FALSE)," ")</f>
        <v>Hooker</v>
      </c>
      <c r="B4143" s="366" t="str">
        <f>VLOOKUP(VALUE(D4143),$D$3:F$106,3,FALSE)</f>
        <v>Custodians</v>
      </c>
      <c r="C4143" t="s">
        <v>314</v>
      </c>
      <c r="D4143">
        <v>887</v>
      </c>
      <c r="E4143" t="s">
        <v>1166</v>
      </c>
      <c r="F4143" t="s">
        <v>320</v>
      </c>
      <c r="G4143" t="s">
        <v>319</v>
      </c>
      <c r="H4143" s="502">
        <v>52360</v>
      </c>
      <c r="I4143" s="415">
        <v>2599.9161083999998</v>
      </c>
      <c r="J4143" s="415">
        <v>1471</v>
      </c>
      <c r="K4143" s="415">
        <v>2009.37</v>
      </c>
      <c r="L4143" s="415">
        <v>2477.87</v>
      </c>
      <c r="M4143" s="415">
        <v>2528.85</v>
      </c>
      <c r="N4143" s="415">
        <v>2368.89</v>
      </c>
      <c r="O4143" s="415">
        <v>2287.0100000000002</v>
      </c>
      <c r="P4143" s="415">
        <v>2058.9899999999998</v>
      </c>
      <c r="Q4143" s="481">
        <f t="shared" si="110"/>
        <v>-1128.9161083999998</v>
      </c>
    </row>
    <row r="4144" spans="1:17" x14ac:dyDescent="0.3">
      <c r="A4144" s="366" t="str">
        <f>IFERROR(VLOOKUP(RIGHT(E4144,3)+0,[1]SchLocTable!$A$2:$B$47,2,FALSE)," ")</f>
        <v>Hooker</v>
      </c>
      <c r="B4144" s="366" t="str">
        <f>VLOOKUP(VALUE(D4144),$D$3:F$106,3,FALSE)</f>
        <v>Custodians</v>
      </c>
      <c r="C4144" t="s">
        <v>314</v>
      </c>
      <c r="D4144">
        <v>887</v>
      </c>
      <c r="E4144" t="s">
        <v>1166</v>
      </c>
      <c r="F4144" t="s">
        <v>392</v>
      </c>
      <c r="G4144" t="s">
        <v>319</v>
      </c>
      <c r="H4144" s="502">
        <v>52504</v>
      </c>
      <c r="I4144" s="415">
        <v>37259.487401760001</v>
      </c>
      <c r="J4144" s="415">
        <v>24448</v>
      </c>
      <c r="K4144" s="415">
        <v>31383.91</v>
      </c>
      <c r="L4144" s="415">
        <v>38535.26</v>
      </c>
      <c r="M4144" s="415">
        <v>41250.620000000003</v>
      </c>
      <c r="N4144" s="415">
        <v>33702.660000000003</v>
      </c>
      <c r="O4144" s="415">
        <v>27312.81</v>
      </c>
      <c r="P4144" s="415">
        <v>21049.48</v>
      </c>
      <c r="Q4144" s="481">
        <f t="shared" si="110"/>
        <v>-12811.487401760001</v>
      </c>
    </row>
    <row r="4145" spans="1:17" x14ac:dyDescent="0.3">
      <c r="A4145" s="366" t="str">
        <f>IFERROR(VLOOKUP(RIGHT(E4145,3)+0,[1]SchLocTable!$A$2:$B$47,2,FALSE)," ")</f>
        <v>Hooker</v>
      </c>
      <c r="B4145" s="366" t="str">
        <f>VLOOKUP(VALUE(D4145),$D$3:F$106,3,FALSE)</f>
        <v>Custodians</v>
      </c>
      <c r="C4145" t="s">
        <v>314</v>
      </c>
      <c r="D4145">
        <v>887</v>
      </c>
      <c r="E4145" t="s">
        <v>1166</v>
      </c>
      <c r="F4145" t="s">
        <v>1090</v>
      </c>
      <c r="G4145" t="s">
        <v>319</v>
      </c>
      <c r="H4145" s="502">
        <v>51138</v>
      </c>
      <c r="I4145" s="415">
        <v>2785.7232000000004</v>
      </c>
      <c r="J4145" s="415">
        <v>4459.88</v>
      </c>
      <c r="K4145" s="415">
        <v>2261.9499999999998</v>
      </c>
      <c r="L4145" s="415">
        <v>4149.33</v>
      </c>
      <c r="M4145" s="415">
        <v>4291.04</v>
      </c>
      <c r="N4145" s="415">
        <v>3997.56</v>
      </c>
      <c r="O4145" s="415">
        <v>3912.58</v>
      </c>
      <c r="P4145" s="415">
        <v>3714.48</v>
      </c>
      <c r="Q4145" s="481">
        <f t="shared" si="110"/>
        <v>1674.1567999999997</v>
      </c>
    </row>
    <row r="4146" spans="1:17" x14ac:dyDescent="0.3">
      <c r="A4146" s="366" t="str">
        <f>IFERROR(VLOOKUP(RIGHT(E4146,3)+0,[1]SchLocTable!$A$2:$B$47,2,FALSE)," ")</f>
        <v>Hooker</v>
      </c>
      <c r="B4146" s="366" t="str">
        <f>VLOOKUP(VALUE(D4146),$D$3:F$106,3,FALSE)</f>
        <v>Custodians</v>
      </c>
      <c r="C4146" t="s">
        <v>314</v>
      </c>
      <c r="D4146">
        <v>887</v>
      </c>
      <c r="E4146" t="s">
        <v>1166</v>
      </c>
      <c r="F4146" t="s">
        <v>452</v>
      </c>
      <c r="G4146" t="s">
        <v>319</v>
      </c>
      <c r="H4146" s="502">
        <v>51108</v>
      </c>
      <c r="I4146" s="415">
        <v>0</v>
      </c>
      <c r="J4146" s="415">
        <v>4279.24</v>
      </c>
      <c r="K4146" s="415">
        <v>2606.85</v>
      </c>
      <c r="L4146" s="415">
        <v>3613.81</v>
      </c>
      <c r="M4146" s="415">
        <v>4484.8900000000003</v>
      </c>
      <c r="N4146" s="415">
        <v>2503.06</v>
      </c>
      <c r="O4146" s="415">
        <v>3184.35</v>
      </c>
      <c r="P4146" s="415">
        <v>1571.28</v>
      </c>
      <c r="Q4146" s="481">
        <f t="shared" si="110"/>
        <v>4279.24</v>
      </c>
    </row>
    <row r="4147" spans="1:17" x14ac:dyDescent="0.3">
      <c r="A4147" s="366" t="str">
        <f>IFERROR(VLOOKUP(RIGHT(E4147,3)+0,[1]SchLocTable!$A$2:$B$47,2,FALSE)," ")</f>
        <v>Hooker</v>
      </c>
      <c r="B4147" s="366" t="str">
        <f>VLOOKUP(VALUE(D4147),$D$3:F$106,3,FALSE)</f>
        <v>Custodians</v>
      </c>
      <c r="C4147" t="s">
        <v>314</v>
      </c>
      <c r="D4147">
        <v>887</v>
      </c>
      <c r="E4147" t="s">
        <v>1166</v>
      </c>
      <c r="F4147" t="s">
        <v>483</v>
      </c>
      <c r="G4147" t="s">
        <v>319</v>
      </c>
      <c r="H4147" s="502">
        <v>51122</v>
      </c>
      <c r="I4147" s="415">
        <v>29861.96720000001</v>
      </c>
      <c r="J4147" s="415">
        <v>19866.46</v>
      </c>
      <c r="K4147" s="415">
        <v>25928.45</v>
      </c>
      <c r="L4147" s="415">
        <v>17338.62</v>
      </c>
      <c r="M4147" s="415">
        <v>12597.64</v>
      </c>
      <c r="N4147" s="415">
        <v>7654.2</v>
      </c>
      <c r="O4147" s="415">
        <v>9339.51</v>
      </c>
      <c r="P4147" s="415">
        <v>5347.86</v>
      </c>
      <c r="Q4147" s="481">
        <f t="shared" si="110"/>
        <v>-9995.5072000000109</v>
      </c>
    </row>
    <row r="4148" spans="1:17" x14ac:dyDescent="0.3">
      <c r="A4148" s="366" t="str">
        <f>IFERROR(VLOOKUP(RIGHT(E4148,3)+0,[1]SchLocTable!$A$2:$B$47,2,FALSE)," ")</f>
        <v>Hooker</v>
      </c>
      <c r="B4148" s="366" t="str">
        <f>VLOOKUP(VALUE(D4148),$D$3:F$106,3,FALSE)</f>
        <v>Custodians</v>
      </c>
      <c r="C4148" t="s">
        <v>314</v>
      </c>
      <c r="D4148">
        <v>887</v>
      </c>
      <c r="E4148" t="s">
        <v>1166</v>
      </c>
      <c r="F4148" t="s">
        <v>1154</v>
      </c>
      <c r="G4148" t="s">
        <v>319</v>
      </c>
      <c r="H4148" s="502">
        <v>51128</v>
      </c>
      <c r="I4148" s="415">
        <v>0</v>
      </c>
      <c r="J4148" s="415">
        <v>0</v>
      </c>
      <c r="K4148" s="415">
        <v>0</v>
      </c>
      <c r="L4148" s="415">
        <v>0</v>
      </c>
      <c r="M4148" s="415">
        <v>104.43</v>
      </c>
      <c r="N4148" s="415">
        <v>0</v>
      </c>
      <c r="O4148" s="415">
        <v>0</v>
      </c>
      <c r="P4148" s="415">
        <v>0</v>
      </c>
      <c r="Q4148" s="481">
        <f t="shared" si="110"/>
        <v>0</v>
      </c>
    </row>
    <row r="4149" spans="1:17" x14ac:dyDescent="0.3">
      <c r="A4149" s="366" t="str">
        <f>IFERROR(VLOOKUP(RIGHT(E4149,3)+0,[1]SchLocTable!$A$2:$B$47,2,FALSE)," ")</f>
        <v>Hooker</v>
      </c>
      <c r="B4149" s="366" t="str">
        <f>VLOOKUP(VALUE(D4149),$D$3:F$106,3,FALSE)</f>
        <v>Custodians</v>
      </c>
      <c r="C4149" t="s">
        <v>314</v>
      </c>
      <c r="D4149">
        <v>887</v>
      </c>
      <c r="E4149" t="s">
        <v>1166</v>
      </c>
      <c r="F4149" t="s">
        <v>1155</v>
      </c>
      <c r="G4149" t="s">
        <v>319</v>
      </c>
      <c r="H4149" s="502">
        <v>51130</v>
      </c>
      <c r="I4149" s="415">
        <v>0</v>
      </c>
      <c r="J4149" s="415">
        <v>0</v>
      </c>
      <c r="K4149" s="415">
        <v>0</v>
      </c>
      <c r="L4149" s="415">
        <v>0</v>
      </c>
      <c r="M4149" s="415">
        <v>413.04</v>
      </c>
      <c r="N4149" s="415">
        <v>0</v>
      </c>
      <c r="O4149" s="415">
        <v>0</v>
      </c>
      <c r="P4149" s="415">
        <v>0</v>
      </c>
      <c r="Q4149" s="481">
        <f t="shared" si="110"/>
        <v>0</v>
      </c>
    </row>
    <row r="4150" spans="1:17" x14ac:dyDescent="0.3">
      <c r="A4150" s="366" t="str">
        <f>IFERROR(VLOOKUP(RIGHT(E4150,3)+0,[1]SchLocTable!$A$2:$B$47,2,FALSE)," ")</f>
        <v>Hooker</v>
      </c>
      <c r="B4150" s="366" t="str">
        <f>VLOOKUP(VALUE(D4150),$D$3:F$106,3,FALSE)</f>
        <v>Custodians</v>
      </c>
      <c r="C4150" t="s">
        <v>314</v>
      </c>
      <c r="D4150">
        <v>887</v>
      </c>
      <c r="E4150" t="s">
        <v>1166</v>
      </c>
      <c r="F4150" t="s">
        <v>356</v>
      </c>
      <c r="G4150" t="s">
        <v>319</v>
      </c>
      <c r="H4150" s="502">
        <v>51156</v>
      </c>
      <c r="I4150" s="415">
        <v>0</v>
      </c>
      <c r="J4150" s="415">
        <v>0</v>
      </c>
      <c r="K4150" s="415">
        <v>917.44</v>
      </c>
      <c r="L4150" s="415">
        <v>0</v>
      </c>
      <c r="M4150" s="415">
        <v>785.21</v>
      </c>
      <c r="N4150" s="415">
        <v>0</v>
      </c>
      <c r="O4150" s="415">
        <v>1672.07</v>
      </c>
      <c r="P4150" s="415">
        <v>0</v>
      </c>
      <c r="Q4150" s="481">
        <f t="shared" si="110"/>
        <v>0</v>
      </c>
    </row>
    <row r="4151" spans="1:17" x14ac:dyDescent="0.3">
      <c r="A4151" s="366" t="str">
        <f>IFERROR(VLOOKUP(RIGHT(E4151,3)+0,[1]SchLocTable!$A$2:$B$47,2,FALSE)," ")</f>
        <v>Batalla</v>
      </c>
      <c r="B4151" s="366" t="str">
        <f>VLOOKUP(VALUE(D4151),$D$3:F$106,3,FALSE)</f>
        <v>Custodians</v>
      </c>
      <c r="C4151" t="s">
        <v>314</v>
      </c>
      <c r="D4151">
        <v>887</v>
      </c>
      <c r="E4151" t="s">
        <v>1167</v>
      </c>
      <c r="F4151" t="s">
        <v>1089</v>
      </c>
      <c r="G4151" t="s">
        <v>319</v>
      </c>
      <c r="H4151" s="502">
        <v>51102</v>
      </c>
      <c r="I4151" s="415">
        <v>4385.2536</v>
      </c>
      <c r="J4151" s="415">
        <v>0</v>
      </c>
      <c r="K4151" s="415">
        <v>48.96</v>
      </c>
      <c r="L4151" s="415">
        <v>855.84</v>
      </c>
      <c r="M4151" s="415">
        <v>2308.27</v>
      </c>
      <c r="N4151" s="415">
        <v>2433.58</v>
      </c>
      <c r="O4151" s="415">
        <v>2201.98</v>
      </c>
      <c r="P4151" s="415">
        <v>1857.41</v>
      </c>
      <c r="Q4151" s="481">
        <f t="shared" si="110"/>
        <v>-4385.2536</v>
      </c>
    </row>
    <row r="4152" spans="1:17" x14ac:dyDescent="0.3">
      <c r="A4152" s="366" t="str">
        <f>IFERROR(VLOOKUP(RIGHT(E4152,3)+0,[1]SchLocTable!$A$2:$B$47,2,FALSE)," ")</f>
        <v>Batalla</v>
      </c>
      <c r="B4152" s="366" t="str">
        <f>VLOOKUP(VALUE(D4152),$D$3:F$106,3,FALSE)</f>
        <v>Custodians</v>
      </c>
      <c r="C4152" t="s">
        <v>314</v>
      </c>
      <c r="D4152">
        <v>887</v>
      </c>
      <c r="E4152" t="s">
        <v>1167</v>
      </c>
      <c r="F4152" t="s">
        <v>316</v>
      </c>
      <c r="G4152">
        <v>8</v>
      </c>
      <c r="H4152" s="502">
        <v>51000</v>
      </c>
      <c r="I4152" s="415">
        <v>369870.06981599994</v>
      </c>
      <c r="J4152" s="415">
        <v>290844.25</v>
      </c>
      <c r="K4152" s="415">
        <v>325430.89</v>
      </c>
      <c r="L4152" s="415">
        <v>288919.99</v>
      </c>
      <c r="M4152" s="415">
        <v>299162.40999999997</v>
      </c>
      <c r="N4152" s="415">
        <v>277281.13</v>
      </c>
      <c r="O4152" s="415">
        <v>273884.7</v>
      </c>
      <c r="P4152" s="415">
        <v>262145.21000000002</v>
      </c>
      <c r="Q4152" s="481">
        <f t="shared" si="110"/>
        <v>-79025.819815999945</v>
      </c>
    </row>
    <row r="4153" spans="1:17" x14ac:dyDescent="0.3">
      <c r="A4153" s="366" t="str">
        <f>IFERROR(VLOOKUP(RIGHT(E4153,3)+0,[1]SchLocTable!$A$2:$B$47,2,FALSE)," ")</f>
        <v>Batalla</v>
      </c>
      <c r="B4153" s="366" t="str">
        <f>VLOOKUP(VALUE(D4153),$D$3:F$106,3,FALSE)</f>
        <v>Custodians</v>
      </c>
      <c r="C4153" t="s">
        <v>314</v>
      </c>
      <c r="D4153">
        <v>887</v>
      </c>
      <c r="E4153" t="s">
        <v>1167</v>
      </c>
      <c r="F4153" t="s">
        <v>360</v>
      </c>
      <c r="G4153" t="s">
        <v>319</v>
      </c>
      <c r="H4153" s="502">
        <v>52920</v>
      </c>
      <c r="I4153" s="415">
        <v>83.34</v>
      </c>
      <c r="J4153" s="415">
        <v>0</v>
      </c>
      <c r="K4153" s="415">
        <v>2000</v>
      </c>
      <c r="L4153" s="415">
        <v>1000</v>
      </c>
      <c r="M4153" s="415">
        <v>0</v>
      </c>
      <c r="N4153" s="415">
        <v>958.35</v>
      </c>
      <c r="O4153" s="415">
        <v>3166.68</v>
      </c>
      <c r="P4153" s="415">
        <v>2500</v>
      </c>
      <c r="Q4153" s="481">
        <f t="shared" si="110"/>
        <v>-83.34</v>
      </c>
    </row>
    <row r="4154" spans="1:17" x14ac:dyDescent="0.3">
      <c r="A4154" s="366" t="str">
        <f>IFERROR(VLOOKUP(RIGHT(E4154,3)+0,[1]SchLocTable!$A$2:$B$47,2,FALSE)," ")</f>
        <v>Batalla</v>
      </c>
      <c r="B4154" s="366" t="str">
        <f>VLOOKUP(VALUE(D4154),$D$3:F$106,3,FALSE)</f>
        <v>Custodians</v>
      </c>
      <c r="C4154" t="s">
        <v>314</v>
      </c>
      <c r="D4154">
        <v>887</v>
      </c>
      <c r="E4154" t="s">
        <v>1167</v>
      </c>
      <c r="F4154" t="s">
        <v>321</v>
      </c>
      <c r="G4154" t="s">
        <v>319</v>
      </c>
      <c r="H4154" s="502">
        <v>52917</v>
      </c>
      <c r="I4154" s="415">
        <v>156101.712</v>
      </c>
      <c r="J4154" s="415">
        <v>133052</v>
      </c>
      <c r="K4154" s="415">
        <v>112217.23</v>
      </c>
      <c r="L4154" s="415">
        <v>105113.3</v>
      </c>
      <c r="M4154" s="415">
        <v>116170.21</v>
      </c>
      <c r="N4154" s="415">
        <v>92679.25</v>
      </c>
      <c r="O4154" s="415">
        <v>55341.67</v>
      </c>
      <c r="P4154" s="415">
        <v>60538.43</v>
      </c>
      <c r="Q4154" s="481">
        <f t="shared" si="110"/>
        <v>-23049.712</v>
      </c>
    </row>
    <row r="4155" spans="1:17" x14ac:dyDescent="0.3">
      <c r="A4155" s="366" t="str">
        <f>IFERROR(VLOOKUP(RIGHT(E4155,3)+0,[1]SchLocTable!$A$2:$B$47,2,FALSE)," ")</f>
        <v>Batalla</v>
      </c>
      <c r="B4155" s="366" t="str">
        <f>VLOOKUP(VALUE(D4155),$D$3:F$106,3,FALSE)</f>
        <v>Custodians</v>
      </c>
      <c r="C4155" t="s">
        <v>314</v>
      </c>
      <c r="D4155">
        <v>887</v>
      </c>
      <c r="E4155" t="s">
        <v>1167</v>
      </c>
      <c r="F4155" t="s">
        <v>318</v>
      </c>
      <c r="G4155" t="s">
        <v>319</v>
      </c>
      <c r="H4155" s="502">
        <v>51140</v>
      </c>
      <c r="I4155" s="415">
        <v>5100</v>
      </c>
      <c r="J4155" s="415">
        <v>1650</v>
      </c>
      <c r="K4155" s="415">
        <v>4800</v>
      </c>
      <c r="L4155" s="415">
        <v>4240.83</v>
      </c>
      <c r="M4155" s="415">
        <v>4120</v>
      </c>
      <c r="N4155" s="415">
        <v>5612.5</v>
      </c>
      <c r="O4155" s="415">
        <v>7300</v>
      </c>
      <c r="P4155" s="415">
        <v>5475</v>
      </c>
      <c r="Q4155" s="481">
        <f t="shared" si="110"/>
        <v>-3450</v>
      </c>
    </row>
    <row r="4156" spans="1:17" x14ac:dyDescent="0.3">
      <c r="A4156" s="366" t="str">
        <f>IFERROR(VLOOKUP(RIGHT(E4156,3)+0,[1]SchLocTable!$A$2:$B$47,2,FALSE)," ")</f>
        <v>Batalla</v>
      </c>
      <c r="B4156" s="366" t="str">
        <f>VLOOKUP(VALUE(D4156),$D$3:F$106,3,FALSE)</f>
        <v>Custodians</v>
      </c>
      <c r="C4156" t="s">
        <v>314</v>
      </c>
      <c r="D4156">
        <v>887</v>
      </c>
      <c r="E4156" t="s">
        <v>1167</v>
      </c>
      <c r="F4156" t="s">
        <v>320</v>
      </c>
      <c r="G4156" t="s">
        <v>319</v>
      </c>
      <c r="H4156" s="502">
        <v>52360</v>
      </c>
      <c r="I4156" s="415">
        <v>5808.0021718400003</v>
      </c>
      <c r="J4156" s="415">
        <v>4755</v>
      </c>
      <c r="K4156" s="415">
        <v>5162.93</v>
      </c>
      <c r="L4156" s="415">
        <v>4949.5600000000004</v>
      </c>
      <c r="M4156" s="415">
        <v>4814.01</v>
      </c>
      <c r="N4156" s="415">
        <v>4709.59</v>
      </c>
      <c r="O4156" s="415">
        <v>4961.18</v>
      </c>
      <c r="P4156" s="415">
        <v>4373.29</v>
      </c>
      <c r="Q4156" s="481">
        <f t="shared" si="110"/>
        <v>-1053.0021718400003</v>
      </c>
    </row>
    <row r="4157" spans="1:17" x14ac:dyDescent="0.3">
      <c r="A4157" s="366" t="str">
        <f>IFERROR(VLOOKUP(RIGHT(E4157,3)+0,[1]SchLocTable!$A$2:$B$47,2,FALSE)," ")</f>
        <v>Batalla</v>
      </c>
      <c r="B4157" s="366" t="str">
        <f>VLOOKUP(VALUE(D4157),$D$3:F$106,3,FALSE)</f>
        <v>Custodians</v>
      </c>
      <c r="C4157" t="s">
        <v>314</v>
      </c>
      <c r="D4157">
        <v>887</v>
      </c>
      <c r="E4157" t="s">
        <v>1167</v>
      </c>
      <c r="F4157" t="s">
        <v>392</v>
      </c>
      <c r="G4157" t="s">
        <v>319</v>
      </c>
      <c r="H4157" s="502">
        <v>52504</v>
      </c>
      <c r="I4157" s="415">
        <v>83234.679400575988</v>
      </c>
      <c r="J4157" s="415">
        <v>74516.009999999995</v>
      </c>
      <c r="K4157" s="415">
        <v>80892.42</v>
      </c>
      <c r="L4157" s="415">
        <v>76905.279999999999</v>
      </c>
      <c r="M4157" s="415">
        <v>81189.62</v>
      </c>
      <c r="N4157" s="415">
        <v>62196.86</v>
      </c>
      <c r="O4157" s="415">
        <v>55397.39</v>
      </c>
      <c r="P4157" s="415">
        <v>45241.89</v>
      </c>
      <c r="Q4157" s="481">
        <f t="shared" si="110"/>
        <v>-8718.6694005759928</v>
      </c>
    </row>
    <row r="4158" spans="1:17" x14ac:dyDescent="0.3">
      <c r="A4158" s="366" t="str">
        <f>IFERROR(VLOOKUP(RIGHT(E4158,3)+0,[1]SchLocTable!$A$2:$B$47,2,FALSE)," ")</f>
        <v>Batalla</v>
      </c>
      <c r="B4158" s="366" t="str">
        <f>VLOOKUP(VALUE(D4158),$D$3:F$106,3,FALSE)</f>
        <v>Custodians</v>
      </c>
      <c r="C4158" t="s">
        <v>314</v>
      </c>
      <c r="D4158">
        <v>887</v>
      </c>
      <c r="E4158" t="s">
        <v>1167</v>
      </c>
      <c r="F4158" t="s">
        <v>1090</v>
      </c>
      <c r="G4158" t="s">
        <v>319</v>
      </c>
      <c r="H4158" s="502">
        <v>51138</v>
      </c>
      <c r="I4158" s="415">
        <v>14323.834304000002</v>
      </c>
      <c r="J4158" s="415">
        <v>9062.92</v>
      </c>
      <c r="K4158" s="415">
        <v>3998.45</v>
      </c>
      <c r="L4158" s="415">
        <v>5588.96</v>
      </c>
      <c r="M4158" s="415">
        <v>7583.62</v>
      </c>
      <c r="N4158" s="415">
        <v>9198.7199999999993</v>
      </c>
      <c r="O4158" s="415">
        <v>8406.7199999999993</v>
      </c>
      <c r="P4158" s="415">
        <v>7311.98</v>
      </c>
      <c r="Q4158" s="481">
        <f t="shared" si="110"/>
        <v>-5260.9143040000017</v>
      </c>
    </row>
    <row r="4159" spans="1:17" x14ac:dyDescent="0.3">
      <c r="A4159" s="366" t="str">
        <f>IFERROR(VLOOKUP(RIGHT(E4159,3)+0,[1]SchLocTable!$A$2:$B$47,2,FALSE)," ")</f>
        <v>Batalla</v>
      </c>
      <c r="B4159" s="366" t="str">
        <f>VLOOKUP(VALUE(D4159),$D$3:F$106,3,FALSE)</f>
        <v>Custodians</v>
      </c>
      <c r="C4159" t="s">
        <v>314</v>
      </c>
      <c r="D4159">
        <v>887</v>
      </c>
      <c r="E4159" t="s">
        <v>1167</v>
      </c>
      <c r="F4159" t="s">
        <v>419</v>
      </c>
      <c r="G4159" t="s">
        <v>319</v>
      </c>
      <c r="H4159" s="502">
        <v>51318</v>
      </c>
      <c r="I4159" s="415">
        <v>0</v>
      </c>
      <c r="J4159" s="415">
        <v>0</v>
      </c>
      <c r="K4159" s="415">
        <v>0</v>
      </c>
      <c r="L4159" s="415">
        <v>630.19000000000005</v>
      </c>
      <c r="M4159" s="415">
        <v>0</v>
      </c>
      <c r="N4159" s="415">
        <v>0</v>
      </c>
      <c r="O4159" s="415">
        <v>493.87</v>
      </c>
      <c r="P4159" s="415">
        <v>0</v>
      </c>
      <c r="Q4159" s="481">
        <f t="shared" ref="Q4159:Q4222" si="111">J4159-I4159</f>
        <v>0</v>
      </c>
    </row>
    <row r="4160" spans="1:17" x14ac:dyDescent="0.3">
      <c r="A4160" s="366" t="str">
        <f>IFERROR(VLOOKUP(RIGHT(E4160,3)+0,[1]SchLocTable!$A$2:$B$47,2,FALSE)," ")</f>
        <v>Batalla</v>
      </c>
      <c r="B4160" s="366" t="str">
        <f>VLOOKUP(VALUE(D4160),$D$3:F$106,3,FALSE)</f>
        <v>Custodians</v>
      </c>
      <c r="C4160" t="s">
        <v>314</v>
      </c>
      <c r="D4160">
        <v>887</v>
      </c>
      <c r="E4160" t="s">
        <v>1167</v>
      </c>
      <c r="F4160" t="s">
        <v>452</v>
      </c>
      <c r="G4160" t="s">
        <v>319</v>
      </c>
      <c r="H4160" s="502">
        <v>51108</v>
      </c>
      <c r="I4160" s="415">
        <v>0</v>
      </c>
      <c r="J4160" s="415">
        <v>6190.49</v>
      </c>
      <c r="K4160" s="415">
        <v>8223.4599999999991</v>
      </c>
      <c r="L4160" s="415">
        <v>6407.37</v>
      </c>
      <c r="M4160" s="415">
        <v>5516.18</v>
      </c>
      <c r="N4160" s="415">
        <v>9562.0400000000009</v>
      </c>
      <c r="O4160" s="415">
        <v>3830.89</v>
      </c>
      <c r="P4160" s="415">
        <v>5366.2</v>
      </c>
      <c r="Q4160" s="481">
        <f t="shared" si="111"/>
        <v>6190.49</v>
      </c>
    </row>
    <row r="4161" spans="1:17" x14ac:dyDescent="0.3">
      <c r="A4161" s="366" t="str">
        <f>IFERROR(VLOOKUP(RIGHT(E4161,3)+0,[1]SchLocTable!$A$2:$B$47,2,FALSE)," ")</f>
        <v>Batalla</v>
      </c>
      <c r="B4161" s="366" t="str">
        <f>VLOOKUP(VALUE(D4161),$D$3:F$106,3,FALSE)</f>
        <v>Custodians</v>
      </c>
      <c r="C4161" t="s">
        <v>314</v>
      </c>
      <c r="D4161">
        <v>887</v>
      </c>
      <c r="E4161" t="s">
        <v>1167</v>
      </c>
      <c r="F4161" t="s">
        <v>483</v>
      </c>
      <c r="G4161" t="s">
        <v>319</v>
      </c>
      <c r="H4161" s="502">
        <v>51122</v>
      </c>
      <c r="I4161" s="415">
        <v>21134.644960000001</v>
      </c>
      <c r="J4161" s="415">
        <v>25372.03</v>
      </c>
      <c r="K4161" s="415">
        <v>40246.730000000003</v>
      </c>
      <c r="L4161" s="415">
        <v>36419.230000000003</v>
      </c>
      <c r="M4161" s="415">
        <v>28282.48</v>
      </c>
      <c r="N4161" s="415">
        <v>39698.230000000003</v>
      </c>
      <c r="O4161" s="415">
        <v>32564.25</v>
      </c>
      <c r="P4161" s="415">
        <v>21187.09</v>
      </c>
      <c r="Q4161" s="481">
        <f t="shared" si="111"/>
        <v>4237.3850399999974</v>
      </c>
    </row>
    <row r="4162" spans="1:17" x14ac:dyDescent="0.3">
      <c r="A4162" s="366" t="str">
        <f>IFERROR(VLOOKUP(RIGHT(E4162,3)+0,[1]SchLocTable!$A$2:$B$47,2,FALSE)," ")</f>
        <v>Batalla</v>
      </c>
      <c r="B4162" s="366" t="str">
        <f>VLOOKUP(VALUE(D4162),$D$3:F$106,3,FALSE)</f>
        <v>Custodians</v>
      </c>
      <c r="C4162" t="s">
        <v>314</v>
      </c>
      <c r="D4162">
        <v>887</v>
      </c>
      <c r="E4162" t="s">
        <v>1167</v>
      </c>
      <c r="F4162" t="s">
        <v>1148</v>
      </c>
      <c r="G4162" t="s">
        <v>319</v>
      </c>
      <c r="H4162" s="502">
        <v>51124</v>
      </c>
      <c r="I4162" s="415">
        <v>0</v>
      </c>
      <c r="J4162" s="415">
        <v>0</v>
      </c>
      <c r="K4162" s="415">
        <v>0</v>
      </c>
      <c r="L4162" s="415">
        <v>67</v>
      </c>
      <c r="M4162" s="415">
        <v>0</v>
      </c>
      <c r="N4162" s="415">
        <v>0</v>
      </c>
      <c r="O4162" s="415">
        <v>0</v>
      </c>
      <c r="P4162" s="415">
        <v>0</v>
      </c>
      <c r="Q4162" s="481">
        <f t="shared" si="111"/>
        <v>0</v>
      </c>
    </row>
    <row r="4163" spans="1:17" x14ac:dyDescent="0.3">
      <c r="A4163" s="366" t="str">
        <f>IFERROR(VLOOKUP(RIGHT(E4163,3)+0,[1]SchLocTable!$A$2:$B$47,2,FALSE)," ")</f>
        <v>Batalla</v>
      </c>
      <c r="B4163" s="366" t="str">
        <f>VLOOKUP(VALUE(D4163),$D$3:F$106,3,FALSE)</f>
        <v>Custodians</v>
      </c>
      <c r="C4163" t="s">
        <v>314</v>
      </c>
      <c r="D4163">
        <v>887</v>
      </c>
      <c r="E4163" t="s">
        <v>1167</v>
      </c>
      <c r="F4163" t="s">
        <v>324</v>
      </c>
      <c r="G4163" t="s">
        <v>319</v>
      </c>
      <c r="H4163" s="502">
        <v>52385</v>
      </c>
      <c r="I4163" s="415">
        <v>0</v>
      </c>
      <c r="J4163" s="415">
        <v>0</v>
      </c>
      <c r="K4163" s="415">
        <v>0</v>
      </c>
      <c r="L4163" s="415">
        <v>0</v>
      </c>
      <c r="M4163" s="415">
        <v>296.88</v>
      </c>
      <c r="N4163" s="415">
        <v>1823.53</v>
      </c>
      <c r="O4163" s="415">
        <v>206.77</v>
      </c>
      <c r="P4163" s="415">
        <v>0</v>
      </c>
      <c r="Q4163" s="481">
        <f t="shared" si="111"/>
        <v>0</v>
      </c>
    </row>
    <row r="4164" spans="1:17" x14ac:dyDescent="0.3">
      <c r="A4164" s="366" t="str">
        <f>IFERROR(VLOOKUP(RIGHT(E4164,3)+0,[1]SchLocTable!$A$2:$B$47,2,FALSE)," ")</f>
        <v>Batalla</v>
      </c>
      <c r="B4164" s="366" t="str">
        <f>VLOOKUP(VALUE(D4164),$D$3:F$106,3,FALSE)</f>
        <v>Custodians</v>
      </c>
      <c r="C4164" t="s">
        <v>314</v>
      </c>
      <c r="D4164">
        <v>887</v>
      </c>
      <c r="E4164" t="s">
        <v>1167</v>
      </c>
      <c r="F4164" t="s">
        <v>329</v>
      </c>
      <c r="G4164" t="s">
        <v>319</v>
      </c>
      <c r="H4164" s="502">
        <v>51154</v>
      </c>
      <c r="I4164" s="415">
        <v>0</v>
      </c>
      <c r="J4164" s="415">
        <v>0</v>
      </c>
      <c r="K4164" s="415">
        <v>0</v>
      </c>
      <c r="L4164" s="415">
        <v>554.76</v>
      </c>
      <c r="M4164" s="415">
        <v>0</v>
      </c>
      <c r="N4164" s="415">
        <v>1077.44</v>
      </c>
      <c r="O4164" s="415">
        <v>12928.13</v>
      </c>
      <c r="P4164" s="415">
        <v>0</v>
      </c>
      <c r="Q4164" s="481">
        <f t="shared" si="111"/>
        <v>0</v>
      </c>
    </row>
    <row r="4165" spans="1:17" x14ac:dyDescent="0.3">
      <c r="A4165" s="366" t="str">
        <f>IFERROR(VLOOKUP(RIGHT(E4165,3)+0,[1]SchLocTable!$A$2:$B$47,2,FALSE)," ")</f>
        <v>Batalla</v>
      </c>
      <c r="B4165" s="366" t="str">
        <f>VLOOKUP(VALUE(D4165),$D$3:F$106,3,FALSE)</f>
        <v>Custodians</v>
      </c>
      <c r="C4165" t="s">
        <v>314</v>
      </c>
      <c r="D4165">
        <v>887</v>
      </c>
      <c r="E4165" t="s">
        <v>1167</v>
      </c>
      <c r="F4165" t="s">
        <v>418</v>
      </c>
      <c r="G4165" t="s">
        <v>319</v>
      </c>
      <c r="H4165" s="502">
        <v>51314</v>
      </c>
      <c r="I4165" s="415">
        <v>0</v>
      </c>
      <c r="J4165" s="415">
        <v>0</v>
      </c>
      <c r="K4165" s="415">
        <v>0</v>
      </c>
      <c r="L4165" s="415">
        <v>3150.93</v>
      </c>
      <c r="M4165" s="415">
        <v>0</v>
      </c>
      <c r="N4165" s="415">
        <v>0</v>
      </c>
      <c r="O4165" s="415">
        <v>4609.47</v>
      </c>
      <c r="P4165" s="415">
        <v>0</v>
      </c>
      <c r="Q4165" s="481">
        <f t="shared" si="111"/>
        <v>0</v>
      </c>
    </row>
    <row r="4166" spans="1:17" x14ac:dyDescent="0.3">
      <c r="A4166" s="366" t="str">
        <f>IFERROR(VLOOKUP(RIGHT(E4166,3)+0,[1]SchLocTable!$A$2:$B$47,2,FALSE)," ")</f>
        <v>Batalla</v>
      </c>
      <c r="B4166" s="366" t="str">
        <f>VLOOKUP(VALUE(D4166),$D$3:F$106,3,FALSE)</f>
        <v>Custodians</v>
      </c>
      <c r="C4166" t="s">
        <v>314</v>
      </c>
      <c r="D4166">
        <v>887</v>
      </c>
      <c r="E4166" t="s">
        <v>1167</v>
      </c>
      <c r="F4166" t="s">
        <v>356</v>
      </c>
      <c r="G4166" t="s">
        <v>319</v>
      </c>
      <c r="H4166" s="502">
        <v>51156</v>
      </c>
      <c r="I4166" s="415">
        <v>0</v>
      </c>
      <c r="J4166" s="415">
        <v>0</v>
      </c>
      <c r="K4166" s="415">
        <v>0</v>
      </c>
      <c r="L4166" s="415">
        <v>2000.13</v>
      </c>
      <c r="M4166" s="415">
        <v>0</v>
      </c>
      <c r="N4166" s="415">
        <v>0</v>
      </c>
      <c r="O4166" s="415">
        <v>0</v>
      </c>
      <c r="P4166" s="415">
        <v>0</v>
      </c>
      <c r="Q4166" s="481">
        <f t="shared" si="111"/>
        <v>0</v>
      </c>
    </row>
    <row r="4167" spans="1:17" x14ac:dyDescent="0.3">
      <c r="A4167" s="366" t="str">
        <f>IFERROR(VLOOKUP(RIGHT(E4167,3)+0,[1]SchLocTable!$A$2:$B$47,2,FALSE)," ")</f>
        <v>Info Tech HS</v>
      </c>
      <c r="B4167" s="366" t="str">
        <f>VLOOKUP(VALUE(D4167),$D$3:F$106,3,FALSE)</f>
        <v>Custodians</v>
      </c>
      <c r="C4167" t="s">
        <v>314</v>
      </c>
      <c r="D4167">
        <v>887</v>
      </c>
      <c r="E4167" t="s">
        <v>1168</v>
      </c>
      <c r="F4167" t="s">
        <v>320</v>
      </c>
      <c r="G4167" t="s">
        <v>319</v>
      </c>
      <c r="H4167" s="502">
        <v>52360</v>
      </c>
      <c r="I4167" s="415">
        <v>0</v>
      </c>
      <c r="J4167" s="415">
        <v>0</v>
      </c>
      <c r="K4167" s="415">
        <v>0.9</v>
      </c>
      <c r="L4167" s="415">
        <v>0.73</v>
      </c>
      <c r="M4167" s="415">
        <v>0</v>
      </c>
      <c r="N4167" s="415">
        <v>0</v>
      </c>
      <c r="O4167" s="415">
        <v>0</v>
      </c>
      <c r="P4167" s="415">
        <v>0</v>
      </c>
      <c r="Q4167" s="481">
        <f t="shared" si="111"/>
        <v>0</v>
      </c>
    </row>
    <row r="4168" spans="1:17" x14ac:dyDescent="0.3">
      <c r="A4168" s="366" t="str">
        <f>IFERROR(VLOOKUP(RIGHT(E4168,3)+0,[1]SchLocTable!$A$2:$B$47,2,FALSE)," ")</f>
        <v>Info Tech HS</v>
      </c>
      <c r="B4168" s="366" t="str">
        <f>VLOOKUP(VALUE(D4168),$D$3:F$106,3,FALSE)</f>
        <v>Custodians</v>
      </c>
      <c r="C4168" t="s">
        <v>314</v>
      </c>
      <c r="D4168">
        <v>887</v>
      </c>
      <c r="E4168" t="s">
        <v>1168</v>
      </c>
      <c r="F4168" t="s">
        <v>392</v>
      </c>
      <c r="G4168" t="s">
        <v>319</v>
      </c>
      <c r="H4168" s="502">
        <v>52504</v>
      </c>
      <c r="I4168" s="415">
        <v>0</v>
      </c>
      <c r="J4168" s="415">
        <v>0</v>
      </c>
      <c r="K4168" s="415">
        <v>12.81</v>
      </c>
      <c r="L4168" s="415">
        <v>10.35</v>
      </c>
      <c r="M4168" s="415">
        <v>0</v>
      </c>
      <c r="N4168" s="415">
        <v>0</v>
      </c>
      <c r="O4168" s="415">
        <v>0</v>
      </c>
      <c r="P4168" s="415">
        <v>0</v>
      </c>
      <c r="Q4168" s="481">
        <f t="shared" si="111"/>
        <v>0</v>
      </c>
    </row>
    <row r="4169" spans="1:17" x14ac:dyDescent="0.3">
      <c r="A4169" s="366" t="str">
        <f>IFERROR(VLOOKUP(RIGHT(E4169,3)+0,[1]SchLocTable!$A$2:$B$47,2,FALSE)," ")</f>
        <v>Info Tech HS</v>
      </c>
      <c r="B4169" s="366" t="str">
        <f>VLOOKUP(VALUE(D4169),$D$3:F$106,3,FALSE)</f>
        <v>Custodians</v>
      </c>
      <c r="C4169" t="s">
        <v>314</v>
      </c>
      <c r="D4169">
        <v>887</v>
      </c>
      <c r="E4169" t="s">
        <v>1168</v>
      </c>
      <c r="F4169" t="s">
        <v>452</v>
      </c>
      <c r="G4169" t="s">
        <v>319</v>
      </c>
      <c r="H4169" s="502">
        <v>51108</v>
      </c>
      <c r="I4169" s="415">
        <v>0</v>
      </c>
      <c r="J4169" s="415">
        <v>0</v>
      </c>
      <c r="K4169" s="415">
        <v>51.48</v>
      </c>
      <c r="L4169" s="415">
        <v>0</v>
      </c>
      <c r="M4169" s="415">
        <v>0</v>
      </c>
      <c r="N4169" s="415">
        <v>0</v>
      </c>
      <c r="O4169" s="415">
        <v>0</v>
      </c>
      <c r="P4169" s="415">
        <v>0</v>
      </c>
      <c r="Q4169" s="481">
        <f t="shared" si="111"/>
        <v>0</v>
      </c>
    </row>
    <row r="4170" spans="1:17" x14ac:dyDescent="0.3">
      <c r="A4170" s="366" t="str">
        <f>IFERROR(VLOOKUP(RIGHT(E4170,3)+0,[1]SchLocTable!$A$2:$B$47,2,FALSE)," ")</f>
        <v>Info Tech HS</v>
      </c>
      <c r="B4170" s="366" t="str">
        <f>VLOOKUP(VALUE(D4170),$D$3:F$106,3,FALSE)</f>
        <v>Custodians</v>
      </c>
      <c r="C4170" t="s">
        <v>314</v>
      </c>
      <c r="D4170">
        <v>887</v>
      </c>
      <c r="E4170" t="s">
        <v>1168</v>
      </c>
      <c r="F4170" t="s">
        <v>483</v>
      </c>
      <c r="G4170" t="s">
        <v>319</v>
      </c>
      <c r="H4170" s="502">
        <v>51122</v>
      </c>
      <c r="I4170" s="415">
        <v>1817.0984000000001</v>
      </c>
      <c r="J4170" s="415">
        <v>0</v>
      </c>
      <c r="K4170" s="415">
        <v>10.64</v>
      </c>
      <c r="L4170" s="415">
        <v>50.25</v>
      </c>
      <c r="M4170" s="415">
        <v>0</v>
      </c>
      <c r="N4170" s="415">
        <v>0</v>
      </c>
      <c r="O4170" s="415">
        <v>0</v>
      </c>
      <c r="P4170" s="415">
        <v>0</v>
      </c>
      <c r="Q4170" s="481">
        <f t="shared" si="111"/>
        <v>-1817.0984000000001</v>
      </c>
    </row>
    <row r="4171" spans="1:17" x14ac:dyDescent="0.3">
      <c r="A4171" s="366" t="str">
        <f>IFERROR(VLOOKUP(RIGHT(E4171,3)+0,[1]SchLocTable!$A$2:$B$47,2,FALSE)," ")</f>
        <v>BMA HS</v>
      </c>
      <c r="B4171" s="366" t="str">
        <f>VLOOKUP(VALUE(D4171),$D$3:F$106,3,FALSE)</f>
        <v>Custodians</v>
      </c>
      <c r="C4171" t="s">
        <v>314</v>
      </c>
      <c r="D4171">
        <v>887</v>
      </c>
      <c r="E4171" t="s">
        <v>1169</v>
      </c>
      <c r="F4171" t="s">
        <v>1089</v>
      </c>
      <c r="G4171" t="s">
        <v>319</v>
      </c>
      <c r="H4171" s="502">
        <v>51102</v>
      </c>
      <c r="I4171" s="415">
        <v>22284.416544</v>
      </c>
      <c r="J4171" s="415">
        <v>0</v>
      </c>
      <c r="K4171" s="415">
        <v>0</v>
      </c>
      <c r="L4171" s="415">
        <v>379.44</v>
      </c>
      <c r="M4171" s="415">
        <v>2106.02</v>
      </c>
      <c r="N4171" s="415">
        <v>1232.8800000000001</v>
      </c>
      <c r="O4171" s="415">
        <v>1486.21</v>
      </c>
      <c r="P4171" s="415">
        <v>1706.02</v>
      </c>
      <c r="Q4171" s="481">
        <f t="shared" si="111"/>
        <v>-22284.416544</v>
      </c>
    </row>
    <row r="4172" spans="1:17" x14ac:dyDescent="0.3">
      <c r="A4172" s="366" t="str">
        <f>IFERROR(VLOOKUP(RIGHT(E4172,3)+0,[1]SchLocTable!$A$2:$B$47,2,FALSE)," ")</f>
        <v>BMA HS</v>
      </c>
      <c r="B4172" s="366" t="str">
        <f>VLOOKUP(VALUE(D4172),$D$3:F$106,3,FALSE)</f>
        <v>Custodians</v>
      </c>
      <c r="C4172" t="s">
        <v>314</v>
      </c>
      <c r="D4172">
        <v>887</v>
      </c>
      <c r="E4172" t="s">
        <v>1169</v>
      </c>
      <c r="F4172" t="s">
        <v>316</v>
      </c>
      <c r="G4172">
        <v>4</v>
      </c>
      <c r="H4172" s="502">
        <v>51000</v>
      </c>
      <c r="I4172" s="415">
        <v>190128.97056399999</v>
      </c>
      <c r="J4172" s="415">
        <v>130524</v>
      </c>
      <c r="K4172" s="415">
        <v>180193.2</v>
      </c>
      <c r="L4172" s="415">
        <v>176549.43</v>
      </c>
      <c r="M4172" s="415">
        <v>204458.9</v>
      </c>
      <c r="N4172" s="415">
        <v>160726.98000000001</v>
      </c>
      <c r="O4172" s="415">
        <v>182687.68</v>
      </c>
      <c r="P4172" s="415">
        <v>166673.07999999999</v>
      </c>
      <c r="Q4172" s="481">
        <f t="shared" si="111"/>
        <v>-59604.970563999988</v>
      </c>
    </row>
    <row r="4173" spans="1:17" x14ac:dyDescent="0.3">
      <c r="A4173" s="366" t="str">
        <f>IFERROR(VLOOKUP(RIGHT(E4173,3)+0,[1]SchLocTable!$A$2:$B$47,2,FALSE)," ")</f>
        <v>BMA HS</v>
      </c>
      <c r="B4173" s="366" t="str">
        <f>VLOOKUP(VALUE(D4173),$D$3:F$106,3,FALSE)</f>
        <v>Custodians</v>
      </c>
      <c r="C4173" t="s">
        <v>314</v>
      </c>
      <c r="D4173">
        <v>887</v>
      </c>
      <c r="E4173" t="s">
        <v>1169</v>
      </c>
      <c r="F4173" t="s">
        <v>360</v>
      </c>
      <c r="G4173" t="s">
        <v>319</v>
      </c>
      <c r="H4173" s="502">
        <v>52920</v>
      </c>
      <c r="I4173" s="415">
        <v>500</v>
      </c>
      <c r="J4173" s="415">
        <v>500</v>
      </c>
      <c r="K4173" s="415">
        <v>500</v>
      </c>
      <c r="L4173" s="415">
        <v>750</v>
      </c>
      <c r="M4173" s="415">
        <v>916.68</v>
      </c>
      <c r="N4173" s="415">
        <v>500</v>
      </c>
      <c r="O4173" s="415">
        <v>500</v>
      </c>
      <c r="P4173" s="415">
        <v>500</v>
      </c>
      <c r="Q4173" s="481">
        <f t="shared" si="111"/>
        <v>0</v>
      </c>
    </row>
    <row r="4174" spans="1:17" x14ac:dyDescent="0.3">
      <c r="A4174" s="366" t="str">
        <f>IFERROR(VLOOKUP(RIGHT(E4174,3)+0,[1]SchLocTable!$A$2:$B$47,2,FALSE)," ")</f>
        <v>BMA HS</v>
      </c>
      <c r="B4174" s="366" t="str">
        <f>VLOOKUP(VALUE(D4174),$D$3:F$106,3,FALSE)</f>
        <v>Custodians</v>
      </c>
      <c r="C4174" t="s">
        <v>314</v>
      </c>
      <c r="D4174">
        <v>887</v>
      </c>
      <c r="E4174" t="s">
        <v>1169</v>
      </c>
      <c r="F4174" t="s">
        <v>321</v>
      </c>
      <c r="G4174" t="s">
        <v>319</v>
      </c>
      <c r="H4174" s="502">
        <v>52917</v>
      </c>
      <c r="I4174" s="415">
        <v>36042.239999999998</v>
      </c>
      <c r="J4174" s="415">
        <v>29885</v>
      </c>
      <c r="K4174" s="415">
        <v>31841.87</v>
      </c>
      <c r="L4174" s="415">
        <v>50940.39</v>
      </c>
      <c r="M4174" s="415">
        <v>49986.42</v>
      </c>
      <c r="N4174" s="415">
        <v>39474.639999999999</v>
      </c>
      <c r="O4174" s="415">
        <v>54245.93</v>
      </c>
      <c r="P4174" s="415">
        <v>54922.05</v>
      </c>
      <c r="Q4174" s="481">
        <f t="shared" si="111"/>
        <v>-6157.239999999998</v>
      </c>
    </row>
    <row r="4175" spans="1:17" x14ac:dyDescent="0.3">
      <c r="A4175" s="366" t="str">
        <f>IFERROR(VLOOKUP(RIGHT(E4175,3)+0,[1]SchLocTable!$A$2:$B$47,2,FALSE)," ")</f>
        <v>BMA HS</v>
      </c>
      <c r="B4175" s="366" t="str">
        <f>VLOOKUP(VALUE(D4175),$D$3:F$106,3,FALSE)</f>
        <v>Custodians</v>
      </c>
      <c r="C4175" t="s">
        <v>314</v>
      </c>
      <c r="D4175">
        <v>887</v>
      </c>
      <c r="E4175" t="s">
        <v>1169</v>
      </c>
      <c r="F4175" t="s">
        <v>318</v>
      </c>
      <c r="G4175" t="s">
        <v>319</v>
      </c>
      <c r="H4175" s="502">
        <v>51140</v>
      </c>
      <c r="I4175" s="415">
        <v>840</v>
      </c>
      <c r="J4175" s="415">
        <v>0</v>
      </c>
      <c r="K4175" s="415">
        <v>770</v>
      </c>
      <c r="L4175" s="415">
        <v>1900</v>
      </c>
      <c r="M4175" s="415">
        <v>1125</v>
      </c>
      <c r="N4175" s="415">
        <v>1050</v>
      </c>
      <c r="O4175" s="415">
        <v>1955</v>
      </c>
      <c r="P4175" s="415">
        <v>1810</v>
      </c>
      <c r="Q4175" s="481">
        <f t="shared" si="111"/>
        <v>-840</v>
      </c>
    </row>
    <row r="4176" spans="1:17" x14ac:dyDescent="0.3">
      <c r="A4176" s="366" t="str">
        <f>IFERROR(VLOOKUP(RIGHT(E4176,3)+0,[1]SchLocTable!$A$2:$B$47,2,FALSE)," ")</f>
        <v>BMA HS</v>
      </c>
      <c r="B4176" s="366" t="str">
        <f>VLOOKUP(VALUE(D4176),$D$3:F$106,3,FALSE)</f>
        <v>Custodians</v>
      </c>
      <c r="C4176" t="s">
        <v>314</v>
      </c>
      <c r="D4176">
        <v>887</v>
      </c>
      <c r="E4176" t="s">
        <v>1169</v>
      </c>
      <c r="F4176" t="s">
        <v>320</v>
      </c>
      <c r="G4176" t="s">
        <v>319</v>
      </c>
      <c r="H4176" s="502">
        <v>52360</v>
      </c>
      <c r="I4176" s="415">
        <v>3319.0760678100005</v>
      </c>
      <c r="J4176" s="415">
        <v>1744</v>
      </c>
      <c r="K4176" s="415">
        <v>3133.66</v>
      </c>
      <c r="L4176" s="415">
        <v>2956.52</v>
      </c>
      <c r="M4176" s="415">
        <v>3500.18</v>
      </c>
      <c r="N4176" s="415">
        <v>2650.83</v>
      </c>
      <c r="O4176" s="415">
        <v>2644.42</v>
      </c>
      <c r="P4176" s="415">
        <v>2530.77</v>
      </c>
      <c r="Q4176" s="481">
        <f t="shared" si="111"/>
        <v>-1575.0760678100005</v>
      </c>
    </row>
    <row r="4177" spans="1:17" x14ac:dyDescent="0.3">
      <c r="A4177" s="366" t="str">
        <f>IFERROR(VLOOKUP(RIGHT(E4177,3)+0,[1]SchLocTable!$A$2:$B$47,2,FALSE)," ")</f>
        <v>BMA HS</v>
      </c>
      <c r="B4177" s="366" t="str">
        <f>VLOOKUP(VALUE(D4177),$D$3:F$106,3,FALSE)</f>
        <v>Custodians</v>
      </c>
      <c r="C4177" t="s">
        <v>314</v>
      </c>
      <c r="D4177">
        <v>887</v>
      </c>
      <c r="E4177" t="s">
        <v>1169</v>
      </c>
      <c r="F4177" t="s">
        <v>392</v>
      </c>
      <c r="G4177" t="s">
        <v>319</v>
      </c>
      <c r="H4177" s="502">
        <v>52504</v>
      </c>
      <c r="I4177" s="415">
        <v>47565.793578683995</v>
      </c>
      <c r="J4177" s="415">
        <v>19430</v>
      </c>
      <c r="K4177" s="415">
        <v>39056.160000000003</v>
      </c>
      <c r="L4177" s="415">
        <v>42321.19</v>
      </c>
      <c r="M4177" s="415">
        <v>44208.58</v>
      </c>
      <c r="N4177" s="415">
        <v>35937.56</v>
      </c>
      <c r="O4177" s="415">
        <v>33149.269999999997</v>
      </c>
      <c r="P4177" s="415">
        <v>27464.41</v>
      </c>
      <c r="Q4177" s="481">
        <f t="shared" si="111"/>
        <v>-28135.793578683995</v>
      </c>
    </row>
    <row r="4178" spans="1:17" x14ac:dyDescent="0.3">
      <c r="A4178" s="366" t="str">
        <f>IFERROR(VLOOKUP(RIGHT(E4178,3)+0,[1]SchLocTable!$A$2:$B$47,2,FALSE)," ")</f>
        <v>BMA HS</v>
      </c>
      <c r="B4178" s="366" t="str">
        <f>VLOOKUP(VALUE(D4178),$D$3:F$106,3,FALSE)</f>
        <v>Custodians</v>
      </c>
      <c r="C4178" t="s">
        <v>314</v>
      </c>
      <c r="D4178">
        <v>887</v>
      </c>
      <c r="E4178" t="s">
        <v>1169</v>
      </c>
      <c r="F4178" t="s">
        <v>1090</v>
      </c>
      <c r="G4178" t="s">
        <v>319</v>
      </c>
      <c r="H4178" s="502">
        <v>51138</v>
      </c>
      <c r="I4178" s="415">
        <v>7256.2516000000005</v>
      </c>
      <c r="J4178" s="415">
        <v>7082.21</v>
      </c>
      <c r="K4178" s="415">
        <v>4126.4799999999996</v>
      </c>
      <c r="L4178" s="415">
        <v>5713.08</v>
      </c>
      <c r="M4178" s="415">
        <v>7835.44</v>
      </c>
      <c r="N4178" s="415">
        <v>5273.55</v>
      </c>
      <c r="O4178" s="415">
        <v>6351.55</v>
      </c>
      <c r="P4178" s="415">
        <v>4846.9399999999996</v>
      </c>
      <c r="Q4178" s="481">
        <f t="shared" si="111"/>
        <v>-174.04160000000047</v>
      </c>
    </row>
    <row r="4179" spans="1:17" x14ac:dyDescent="0.3">
      <c r="A4179" s="366" t="str">
        <f>IFERROR(VLOOKUP(RIGHT(E4179,3)+0,[1]SchLocTable!$A$2:$B$47,2,FALSE)," ")</f>
        <v>BMA HS</v>
      </c>
      <c r="B4179" s="366" t="str">
        <f>VLOOKUP(VALUE(D4179),$D$3:F$106,3,FALSE)</f>
        <v>Custodians</v>
      </c>
      <c r="C4179" t="s">
        <v>314</v>
      </c>
      <c r="D4179">
        <v>887</v>
      </c>
      <c r="E4179" t="s">
        <v>1169</v>
      </c>
      <c r="F4179" t="s">
        <v>452</v>
      </c>
      <c r="G4179" t="s">
        <v>319</v>
      </c>
      <c r="H4179" s="502">
        <v>51108</v>
      </c>
      <c r="I4179" s="415">
        <v>0</v>
      </c>
      <c r="J4179" s="415">
        <v>16452.82</v>
      </c>
      <c r="K4179" s="415">
        <v>7379.32</v>
      </c>
      <c r="L4179" s="415">
        <v>6359.24</v>
      </c>
      <c r="M4179" s="415">
        <v>11436.45</v>
      </c>
      <c r="N4179" s="415">
        <v>8452.36</v>
      </c>
      <c r="O4179" s="415">
        <v>2575</v>
      </c>
      <c r="P4179" s="415">
        <v>1282.73</v>
      </c>
      <c r="Q4179" s="481">
        <f t="shared" si="111"/>
        <v>16452.82</v>
      </c>
    </row>
    <row r="4180" spans="1:17" x14ac:dyDescent="0.3">
      <c r="A4180" s="366" t="str">
        <f>IFERROR(VLOOKUP(RIGHT(E4180,3)+0,[1]SchLocTable!$A$2:$B$47,2,FALSE)," ")</f>
        <v>BMA HS</v>
      </c>
      <c r="B4180" s="366" t="str">
        <f>VLOOKUP(VALUE(D4180),$D$3:F$106,3,FALSE)</f>
        <v>Custodians</v>
      </c>
      <c r="C4180" t="s">
        <v>314</v>
      </c>
      <c r="D4180">
        <v>887</v>
      </c>
      <c r="E4180" t="s">
        <v>1169</v>
      </c>
      <c r="F4180" t="s">
        <v>483</v>
      </c>
      <c r="G4180" t="s">
        <v>319</v>
      </c>
      <c r="H4180" s="502">
        <v>51122</v>
      </c>
      <c r="I4180" s="415">
        <v>8837.4592384000025</v>
      </c>
      <c r="J4180" s="415">
        <v>15066.17</v>
      </c>
      <c r="K4180" s="415">
        <v>26891.98</v>
      </c>
      <c r="L4180" s="415">
        <v>10960.6</v>
      </c>
      <c r="M4180" s="415">
        <v>12664.13</v>
      </c>
      <c r="N4180" s="415">
        <v>13822.43</v>
      </c>
      <c r="O4180" s="415">
        <v>5133.1099999999997</v>
      </c>
      <c r="P4180" s="415">
        <v>5127.17</v>
      </c>
      <c r="Q4180" s="481">
        <f t="shared" si="111"/>
        <v>6228.7107615999976</v>
      </c>
    </row>
    <row r="4181" spans="1:17" x14ac:dyDescent="0.3">
      <c r="A4181" s="366" t="str">
        <f>IFERROR(VLOOKUP(RIGHT(E4181,3)+0,[1]SchLocTable!$A$2:$B$47,2,FALSE)," ")</f>
        <v>BMA HS</v>
      </c>
      <c r="B4181" s="366" t="str">
        <f>VLOOKUP(VALUE(D4181),$D$3:F$106,3,FALSE)</f>
        <v>Custodians</v>
      </c>
      <c r="C4181" t="s">
        <v>314</v>
      </c>
      <c r="D4181">
        <v>887</v>
      </c>
      <c r="E4181" t="s">
        <v>1169</v>
      </c>
      <c r="F4181" t="s">
        <v>324</v>
      </c>
      <c r="G4181" t="s">
        <v>319</v>
      </c>
      <c r="H4181" s="502">
        <v>52385</v>
      </c>
      <c r="I4181" s="415">
        <v>0</v>
      </c>
      <c r="J4181" s="415">
        <v>600.75</v>
      </c>
      <c r="K4181" s="415">
        <v>1876.08</v>
      </c>
      <c r="L4181" s="415">
        <v>257.32</v>
      </c>
      <c r="M4181" s="415">
        <v>2538.75</v>
      </c>
      <c r="N4181" s="415">
        <v>530.32000000000005</v>
      </c>
      <c r="O4181" s="415">
        <v>0</v>
      </c>
      <c r="P4181" s="415">
        <v>0</v>
      </c>
      <c r="Q4181" s="481">
        <f t="shared" si="111"/>
        <v>600.75</v>
      </c>
    </row>
    <row r="4182" spans="1:17" x14ac:dyDescent="0.3">
      <c r="A4182" s="366" t="str">
        <f>IFERROR(VLOOKUP(RIGHT(E4182,3)+0,[1]SchLocTable!$A$2:$B$47,2,FALSE)," ")</f>
        <v>BMA HS</v>
      </c>
      <c r="B4182" s="366" t="str">
        <f>VLOOKUP(VALUE(D4182),$D$3:F$106,3,FALSE)</f>
        <v>Custodians</v>
      </c>
      <c r="C4182" t="s">
        <v>314</v>
      </c>
      <c r="D4182">
        <v>887</v>
      </c>
      <c r="E4182" t="s">
        <v>1169</v>
      </c>
      <c r="F4182" t="s">
        <v>356</v>
      </c>
      <c r="G4182" t="s">
        <v>319</v>
      </c>
      <c r="H4182" s="502">
        <v>51156</v>
      </c>
      <c r="I4182" s="415">
        <v>0</v>
      </c>
      <c r="J4182" s="415">
        <v>0</v>
      </c>
      <c r="K4182" s="415">
        <v>966.38</v>
      </c>
      <c r="L4182" s="415">
        <v>1738.56</v>
      </c>
      <c r="M4182" s="415">
        <v>0</v>
      </c>
      <c r="N4182" s="415">
        <v>867.02</v>
      </c>
      <c r="O4182" s="415">
        <v>780.96</v>
      </c>
      <c r="P4182" s="415">
        <v>1561.6</v>
      </c>
      <c r="Q4182" s="481">
        <f t="shared" si="111"/>
        <v>0</v>
      </c>
    </row>
    <row r="4183" spans="1:17" x14ac:dyDescent="0.3">
      <c r="A4183" s="366" t="str">
        <f>IFERROR(VLOOKUP(RIGHT(E4183,3)+0,[1]SchLocTable!$A$2:$B$47,2,FALSE)," ")</f>
        <v>Park City Magnet</v>
      </c>
      <c r="B4183" s="366" t="str">
        <f>VLOOKUP(VALUE(D4183),$D$3:F$106,3,FALSE)</f>
        <v>Custodians</v>
      </c>
      <c r="C4183" t="s">
        <v>314</v>
      </c>
      <c r="D4183">
        <v>887</v>
      </c>
      <c r="E4183" t="s">
        <v>1170</v>
      </c>
      <c r="F4183" t="s">
        <v>1089</v>
      </c>
      <c r="G4183" t="s">
        <v>319</v>
      </c>
      <c r="H4183" s="502">
        <v>51102</v>
      </c>
      <c r="I4183" s="415">
        <v>0</v>
      </c>
      <c r="J4183" s="415">
        <v>0</v>
      </c>
      <c r="K4183" s="415">
        <v>0</v>
      </c>
      <c r="L4183" s="415">
        <v>1563.92</v>
      </c>
      <c r="M4183" s="415">
        <v>1055.42</v>
      </c>
      <c r="N4183" s="415">
        <v>1334.65</v>
      </c>
      <c r="O4183" s="415">
        <v>941.1</v>
      </c>
      <c r="P4183" s="415">
        <v>1182.32</v>
      </c>
      <c r="Q4183" s="481">
        <f t="shared" si="111"/>
        <v>0</v>
      </c>
    </row>
    <row r="4184" spans="1:17" x14ac:dyDescent="0.3">
      <c r="A4184" s="366" t="str">
        <f>IFERROR(VLOOKUP(RIGHT(E4184,3)+0,[1]SchLocTable!$A$2:$B$47,2,FALSE)," ")</f>
        <v>Park City Magnet</v>
      </c>
      <c r="B4184" s="366" t="str">
        <f>VLOOKUP(VALUE(D4184),$D$3:F$106,3,FALSE)</f>
        <v>Custodians</v>
      </c>
      <c r="C4184" t="s">
        <v>314</v>
      </c>
      <c r="D4184">
        <v>887</v>
      </c>
      <c r="E4184" t="s">
        <v>1170</v>
      </c>
      <c r="F4184" t="s">
        <v>316</v>
      </c>
      <c r="G4184" t="s">
        <v>319</v>
      </c>
      <c r="H4184" s="502">
        <v>51000</v>
      </c>
      <c r="I4184" s="415">
        <v>0</v>
      </c>
      <c r="J4184" s="415">
        <v>36924.86</v>
      </c>
      <c r="K4184" s="415">
        <v>90505.84</v>
      </c>
      <c r="L4184" s="415">
        <v>122299.4</v>
      </c>
      <c r="M4184" s="415">
        <v>111827.35</v>
      </c>
      <c r="N4184" s="415">
        <v>143280.93</v>
      </c>
      <c r="O4184" s="415">
        <v>145465.54999999999</v>
      </c>
      <c r="P4184" s="415">
        <v>130665.09</v>
      </c>
      <c r="Q4184" s="481">
        <f t="shared" si="111"/>
        <v>36924.86</v>
      </c>
    </row>
    <row r="4185" spans="1:17" x14ac:dyDescent="0.3">
      <c r="A4185" s="366" t="str">
        <f>IFERROR(VLOOKUP(RIGHT(E4185,3)+0,[1]SchLocTable!$A$2:$B$47,2,FALSE)," ")</f>
        <v>Park City Magnet</v>
      </c>
      <c r="B4185" s="366" t="str">
        <f>VLOOKUP(VALUE(D4185),$D$3:F$106,3,FALSE)</f>
        <v>Custodians</v>
      </c>
      <c r="C4185" t="s">
        <v>314</v>
      </c>
      <c r="D4185">
        <v>887</v>
      </c>
      <c r="E4185" t="s">
        <v>1170</v>
      </c>
      <c r="F4185" t="s">
        <v>321</v>
      </c>
      <c r="G4185" t="s">
        <v>319</v>
      </c>
      <c r="H4185" s="502">
        <v>52917</v>
      </c>
      <c r="I4185" s="415">
        <v>0</v>
      </c>
      <c r="J4185" s="415">
        <v>10698.91</v>
      </c>
      <c r="K4185" s="415">
        <v>32478.27</v>
      </c>
      <c r="L4185" s="415">
        <v>42654.3</v>
      </c>
      <c r="M4185" s="415">
        <v>30103.02</v>
      </c>
      <c r="N4185" s="415">
        <v>22271.58</v>
      </c>
      <c r="O4185" s="415">
        <v>25286.54</v>
      </c>
      <c r="P4185" s="415">
        <v>24408.22</v>
      </c>
      <c r="Q4185" s="481">
        <f t="shared" si="111"/>
        <v>10698.91</v>
      </c>
    </row>
    <row r="4186" spans="1:17" x14ac:dyDescent="0.3">
      <c r="A4186" s="366" t="str">
        <f>IFERROR(VLOOKUP(RIGHT(E4186,3)+0,[1]SchLocTable!$A$2:$B$47,2,FALSE)," ")</f>
        <v>Park City Magnet</v>
      </c>
      <c r="B4186" s="366" t="str">
        <f>VLOOKUP(VALUE(D4186),$D$3:F$106,3,FALSE)</f>
        <v>Custodians</v>
      </c>
      <c r="C4186" t="s">
        <v>314</v>
      </c>
      <c r="D4186">
        <v>887</v>
      </c>
      <c r="E4186" t="s">
        <v>1170</v>
      </c>
      <c r="F4186" t="s">
        <v>318</v>
      </c>
      <c r="G4186" t="s">
        <v>319</v>
      </c>
      <c r="H4186" s="502">
        <v>51140</v>
      </c>
      <c r="I4186" s="415">
        <v>0</v>
      </c>
      <c r="J4186" s="415">
        <v>0</v>
      </c>
      <c r="K4186" s="415">
        <v>2300</v>
      </c>
      <c r="L4186" s="415">
        <v>1275</v>
      </c>
      <c r="M4186" s="415">
        <v>900</v>
      </c>
      <c r="N4186" s="415">
        <v>825</v>
      </c>
      <c r="O4186" s="415">
        <v>750</v>
      </c>
      <c r="P4186" s="415">
        <v>0</v>
      </c>
      <c r="Q4186" s="481">
        <f t="shared" si="111"/>
        <v>0</v>
      </c>
    </row>
    <row r="4187" spans="1:17" x14ac:dyDescent="0.3">
      <c r="A4187" s="366" t="str">
        <f>IFERROR(VLOOKUP(RIGHT(E4187,3)+0,[1]SchLocTable!$A$2:$B$47,2,FALSE)," ")</f>
        <v>Park City Magnet</v>
      </c>
      <c r="B4187" s="366" t="str">
        <f>VLOOKUP(VALUE(D4187),$D$3:F$106,3,FALSE)</f>
        <v>Custodians</v>
      </c>
      <c r="C4187" t="s">
        <v>314</v>
      </c>
      <c r="D4187">
        <v>887</v>
      </c>
      <c r="E4187" t="s">
        <v>1170</v>
      </c>
      <c r="F4187" t="s">
        <v>320</v>
      </c>
      <c r="G4187" t="s">
        <v>319</v>
      </c>
      <c r="H4187" s="502">
        <v>52360</v>
      </c>
      <c r="I4187" s="415">
        <v>549.19946249999998</v>
      </c>
      <c r="J4187" s="415">
        <v>794.12</v>
      </c>
      <c r="K4187" s="415">
        <v>1743.09</v>
      </c>
      <c r="L4187" s="415">
        <v>2102.79</v>
      </c>
      <c r="M4187" s="415">
        <v>1806.7</v>
      </c>
      <c r="N4187" s="415">
        <v>2344.06</v>
      </c>
      <c r="O4187" s="415">
        <v>2161.75</v>
      </c>
      <c r="P4187" s="415">
        <v>2057.81</v>
      </c>
      <c r="Q4187" s="481">
        <f t="shared" si="111"/>
        <v>244.92053750000002</v>
      </c>
    </row>
    <row r="4188" spans="1:17" x14ac:dyDescent="0.3">
      <c r="A4188" s="366" t="str">
        <f>IFERROR(VLOOKUP(RIGHT(E4188,3)+0,[1]SchLocTable!$A$2:$B$47,2,FALSE)," ")</f>
        <v>Park City Magnet</v>
      </c>
      <c r="B4188" s="366" t="str">
        <f>VLOOKUP(VALUE(D4188),$D$3:F$106,3,FALSE)</f>
        <v>Custodians</v>
      </c>
      <c r="C4188" t="s">
        <v>314</v>
      </c>
      <c r="D4188">
        <v>887</v>
      </c>
      <c r="E4188" t="s">
        <v>1170</v>
      </c>
      <c r="F4188" t="s">
        <v>392</v>
      </c>
      <c r="G4188" t="s">
        <v>319</v>
      </c>
      <c r="H4188" s="502">
        <v>52504</v>
      </c>
      <c r="I4188" s="415">
        <v>7870.5964349999995</v>
      </c>
      <c r="J4188" s="415">
        <v>11703.76</v>
      </c>
      <c r="K4188" s="415">
        <v>19450.689999999999</v>
      </c>
      <c r="L4188" s="415">
        <v>32117.96</v>
      </c>
      <c r="M4188" s="415">
        <v>28628.32</v>
      </c>
      <c r="N4188" s="415">
        <v>32297.83</v>
      </c>
      <c r="O4188" s="415">
        <v>26229.919999999998</v>
      </c>
      <c r="P4188" s="415">
        <v>21506.05</v>
      </c>
      <c r="Q4188" s="481">
        <f t="shared" si="111"/>
        <v>3833.1635650000007</v>
      </c>
    </row>
    <row r="4189" spans="1:17" x14ac:dyDescent="0.3">
      <c r="A4189" s="366" t="str">
        <f>IFERROR(VLOOKUP(RIGHT(E4189,3)+0,[1]SchLocTable!$A$2:$B$47,2,FALSE)," ")</f>
        <v>Park City Magnet</v>
      </c>
      <c r="B4189" s="366" t="str">
        <f>VLOOKUP(VALUE(D4189),$D$3:F$106,3,FALSE)</f>
        <v>Custodians</v>
      </c>
      <c r="C4189" t="s">
        <v>314</v>
      </c>
      <c r="D4189">
        <v>887</v>
      </c>
      <c r="E4189" t="s">
        <v>1170</v>
      </c>
      <c r="F4189" t="s">
        <v>1090</v>
      </c>
      <c r="G4189" t="s">
        <v>319</v>
      </c>
      <c r="H4189" s="502">
        <v>51138</v>
      </c>
      <c r="I4189" s="415">
        <v>0</v>
      </c>
      <c r="J4189" s="415">
        <v>0</v>
      </c>
      <c r="K4189" s="415">
        <v>379.72</v>
      </c>
      <c r="L4189" s="415">
        <v>3083.03</v>
      </c>
      <c r="M4189" s="415">
        <v>2499.4899999999998</v>
      </c>
      <c r="N4189" s="415">
        <v>4540.25</v>
      </c>
      <c r="O4189" s="415">
        <v>3786.79</v>
      </c>
      <c r="P4189" s="415">
        <v>3259.58</v>
      </c>
      <c r="Q4189" s="481">
        <f t="shared" si="111"/>
        <v>0</v>
      </c>
    </row>
    <row r="4190" spans="1:17" x14ac:dyDescent="0.3">
      <c r="A4190" s="366" t="str">
        <f>IFERROR(VLOOKUP(RIGHT(E4190,3)+0,[1]SchLocTable!$A$2:$B$47,2,FALSE)," ")</f>
        <v>Park City Magnet</v>
      </c>
      <c r="B4190" s="366" t="str">
        <f>VLOOKUP(VALUE(D4190),$D$3:F$106,3,FALSE)</f>
        <v>Custodians</v>
      </c>
      <c r="C4190" t="s">
        <v>314</v>
      </c>
      <c r="D4190">
        <v>887</v>
      </c>
      <c r="E4190" t="s">
        <v>1170</v>
      </c>
      <c r="F4190" t="s">
        <v>419</v>
      </c>
      <c r="G4190" t="s">
        <v>319</v>
      </c>
      <c r="H4190" s="502">
        <v>51318</v>
      </c>
      <c r="I4190" s="415">
        <v>0</v>
      </c>
      <c r="J4190" s="415">
        <v>0</v>
      </c>
      <c r="K4190" s="415">
        <v>888.68</v>
      </c>
      <c r="L4190" s="415">
        <v>0</v>
      </c>
      <c r="M4190" s="415">
        <v>0</v>
      </c>
      <c r="N4190" s="415">
        <v>0</v>
      </c>
      <c r="O4190" s="415">
        <v>0</v>
      </c>
      <c r="P4190" s="415">
        <v>0</v>
      </c>
      <c r="Q4190" s="481">
        <f t="shared" si="111"/>
        <v>0</v>
      </c>
    </row>
    <row r="4191" spans="1:17" x14ac:dyDescent="0.3">
      <c r="A4191" s="366" t="str">
        <f>IFERROR(VLOOKUP(RIGHT(E4191,3)+0,[1]SchLocTable!$A$2:$B$47,2,FALSE)," ")</f>
        <v>Park City Magnet</v>
      </c>
      <c r="B4191" s="366" t="str">
        <f>VLOOKUP(VALUE(D4191),$D$3:F$106,3,FALSE)</f>
        <v>Custodians</v>
      </c>
      <c r="C4191" t="s">
        <v>314</v>
      </c>
      <c r="D4191">
        <v>887</v>
      </c>
      <c r="E4191" t="s">
        <v>1170</v>
      </c>
      <c r="F4191" t="s">
        <v>452</v>
      </c>
      <c r="G4191" t="s">
        <v>319</v>
      </c>
      <c r="H4191" s="502">
        <v>51108</v>
      </c>
      <c r="I4191" s="415">
        <v>10556.254799999999</v>
      </c>
      <c r="J4191" s="415">
        <v>877.58</v>
      </c>
      <c r="K4191" s="415">
        <v>5238.2299999999996</v>
      </c>
      <c r="L4191" s="415">
        <v>4396.91</v>
      </c>
      <c r="M4191" s="415">
        <v>1889.62</v>
      </c>
      <c r="N4191" s="415">
        <v>980.98</v>
      </c>
      <c r="O4191" s="415">
        <v>4226.8999999999996</v>
      </c>
      <c r="P4191" s="415">
        <v>735.65</v>
      </c>
      <c r="Q4191" s="481">
        <f t="shared" si="111"/>
        <v>-9678.6747999999989</v>
      </c>
    </row>
    <row r="4192" spans="1:17" x14ac:dyDescent="0.3">
      <c r="A4192" s="366" t="str">
        <f>IFERROR(VLOOKUP(RIGHT(E4192,3)+0,[1]SchLocTable!$A$2:$B$47,2,FALSE)," ")</f>
        <v>Park City Magnet</v>
      </c>
      <c r="B4192" s="366" t="str">
        <f>VLOOKUP(VALUE(D4192),$D$3:F$106,3,FALSE)</f>
        <v>Custodians</v>
      </c>
      <c r="C4192" t="s">
        <v>314</v>
      </c>
      <c r="D4192">
        <v>887</v>
      </c>
      <c r="E4192" t="s">
        <v>1170</v>
      </c>
      <c r="F4192" t="s">
        <v>483</v>
      </c>
      <c r="G4192" t="s">
        <v>319</v>
      </c>
      <c r="H4192" s="502">
        <v>51122</v>
      </c>
      <c r="I4192" s="415">
        <v>20505.798560000003</v>
      </c>
      <c r="J4192" s="415">
        <v>1703.02</v>
      </c>
      <c r="K4192" s="415">
        <v>11589.64</v>
      </c>
      <c r="L4192" s="415">
        <v>9920.5400000000009</v>
      </c>
      <c r="M4192" s="415">
        <v>5625.3</v>
      </c>
      <c r="N4192" s="415">
        <v>3075.71</v>
      </c>
      <c r="O4192" s="415">
        <v>3772.44</v>
      </c>
      <c r="P4192" s="415">
        <v>3751.39</v>
      </c>
      <c r="Q4192" s="481">
        <f t="shared" si="111"/>
        <v>-18802.778560000002</v>
      </c>
    </row>
    <row r="4193" spans="1:17" x14ac:dyDescent="0.3">
      <c r="A4193" s="366" t="str">
        <f>IFERROR(VLOOKUP(RIGHT(E4193,3)+0,[1]SchLocTable!$A$2:$B$47,2,FALSE)," ")</f>
        <v>Park City Magnet</v>
      </c>
      <c r="B4193" s="366" t="str">
        <f>VLOOKUP(VALUE(D4193),$D$3:F$106,3,FALSE)</f>
        <v>Custodians</v>
      </c>
      <c r="C4193" t="s">
        <v>314</v>
      </c>
      <c r="D4193">
        <v>887</v>
      </c>
      <c r="E4193" t="s">
        <v>1170</v>
      </c>
      <c r="F4193" t="s">
        <v>324</v>
      </c>
      <c r="G4193" t="s">
        <v>319</v>
      </c>
      <c r="H4193" s="502">
        <v>52385</v>
      </c>
      <c r="I4193" s="415">
        <v>0</v>
      </c>
      <c r="J4193" s="415">
        <v>0</v>
      </c>
      <c r="K4193" s="415">
        <v>1022.94</v>
      </c>
      <c r="L4193" s="415">
        <v>0</v>
      </c>
      <c r="M4193" s="415">
        <v>17.88</v>
      </c>
      <c r="N4193" s="415">
        <v>0</v>
      </c>
      <c r="O4193" s="415">
        <v>0</v>
      </c>
      <c r="P4193" s="415">
        <v>0</v>
      </c>
      <c r="Q4193" s="481">
        <f t="shared" si="111"/>
        <v>0</v>
      </c>
    </row>
    <row r="4194" spans="1:17" x14ac:dyDescent="0.3">
      <c r="A4194" s="366" t="str">
        <f>IFERROR(VLOOKUP(RIGHT(E4194,3)+0,[1]SchLocTable!$A$2:$B$47,2,FALSE)," ")</f>
        <v>Park City Magnet</v>
      </c>
      <c r="B4194" s="366" t="str">
        <f>VLOOKUP(VALUE(D4194),$D$3:F$106,3,FALSE)</f>
        <v>Custodians</v>
      </c>
      <c r="C4194" t="s">
        <v>314</v>
      </c>
      <c r="D4194">
        <v>887</v>
      </c>
      <c r="E4194" t="s">
        <v>1170</v>
      </c>
      <c r="F4194" t="s">
        <v>329</v>
      </c>
      <c r="G4194" t="s">
        <v>319</v>
      </c>
      <c r="H4194" s="502">
        <v>51154</v>
      </c>
      <c r="I4194" s="415">
        <v>0</v>
      </c>
      <c r="J4194" s="415">
        <v>0</v>
      </c>
      <c r="K4194" s="415">
        <v>13557.58</v>
      </c>
      <c r="L4194" s="415">
        <v>0</v>
      </c>
      <c r="M4194" s="415">
        <v>0</v>
      </c>
      <c r="N4194" s="415">
        <v>0</v>
      </c>
      <c r="O4194" s="415">
        <v>0</v>
      </c>
      <c r="P4194" s="415">
        <v>0</v>
      </c>
      <c r="Q4194" s="481">
        <f t="shared" si="111"/>
        <v>0</v>
      </c>
    </row>
    <row r="4195" spans="1:17" x14ac:dyDescent="0.3">
      <c r="A4195" s="366" t="str">
        <f>IFERROR(VLOOKUP(RIGHT(E4195,3)+0,[1]SchLocTable!$A$2:$B$47,2,FALSE)," ")</f>
        <v>Park City Magnet</v>
      </c>
      <c r="B4195" s="366" t="str">
        <f>VLOOKUP(VALUE(D4195),$D$3:F$106,3,FALSE)</f>
        <v>Custodians</v>
      </c>
      <c r="C4195" t="s">
        <v>314</v>
      </c>
      <c r="D4195">
        <v>887</v>
      </c>
      <c r="E4195" t="s">
        <v>1170</v>
      </c>
      <c r="F4195" t="s">
        <v>418</v>
      </c>
      <c r="G4195" t="s">
        <v>319</v>
      </c>
      <c r="H4195" s="502">
        <v>51314</v>
      </c>
      <c r="I4195" s="415">
        <v>4968.9775</v>
      </c>
      <c r="J4195" s="415">
        <v>0</v>
      </c>
      <c r="K4195" s="415">
        <v>4824.25</v>
      </c>
      <c r="L4195" s="415">
        <v>0</v>
      </c>
      <c r="M4195" s="415">
        <v>0</v>
      </c>
      <c r="N4195" s="415">
        <v>0</v>
      </c>
      <c r="O4195" s="415">
        <v>0</v>
      </c>
      <c r="P4195" s="415">
        <v>0</v>
      </c>
      <c r="Q4195" s="481">
        <f t="shared" si="111"/>
        <v>-4968.9775</v>
      </c>
    </row>
    <row r="4196" spans="1:17" x14ac:dyDescent="0.3">
      <c r="A4196" s="366" t="str">
        <f>IFERROR(VLOOKUP(RIGHT(E4196,3)+0,[1]SchLocTable!$A$2:$B$47,2,FALSE)," ")</f>
        <v>Park City Magnet</v>
      </c>
      <c r="B4196" s="366" t="str">
        <f>VLOOKUP(VALUE(D4196),$D$3:F$106,3,FALSE)</f>
        <v>Custodians</v>
      </c>
      <c r="C4196" t="s">
        <v>314</v>
      </c>
      <c r="D4196">
        <v>887</v>
      </c>
      <c r="E4196" t="s">
        <v>1170</v>
      </c>
      <c r="F4196" t="s">
        <v>356</v>
      </c>
      <c r="G4196" t="s">
        <v>319</v>
      </c>
      <c r="H4196" s="502">
        <v>51156</v>
      </c>
      <c r="I4196" s="415">
        <v>0</v>
      </c>
      <c r="J4196" s="415">
        <v>0</v>
      </c>
      <c r="K4196" s="415">
        <v>0</v>
      </c>
      <c r="L4196" s="415">
        <v>0</v>
      </c>
      <c r="M4196" s="415">
        <v>2393.3000000000002</v>
      </c>
      <c r="N4196" s="415">
        <v>1113.3499999999999</v>
      </c>
      <c r="O4196" s="415">
        <v>0</v>
      </c>
      <c r="P4196" s="415">
        <v>0</v>
      </c>
      <c r="Q4196" s="481">
        <f t="shared" si="111"/>
        <v>0</v>
      </c>
    </row>
    <row r="4197" spans="1:17" ht="8.1" customHeight="1" x14ac:dyDescent="0.3">
      <c r="A4197" s="366" t="str">
        <f>IFERROR(VLOOKUP(RIGHT(E4197,3)+0,[1]SchLocTable!$A$2:$B$47,2,FALSE)," ")</f>
        <v>Madison</v>
      </c>
      <c r="B4197" s="366" t="str">
        <f>VLOOKUP(VALUE(D4197),$D$3:F$106,3,FALSE)</f>
        <v>Custodians</v>
      </c>
      <c r="C4197" t="s">
        <v>314</v>
      </c>
      <c r="D4197">
        <v>887</v>
      </c>
      <c r="E4197" t="s">
        <v>1171</v>
      </c>
      <c r="F4197" t="s">
        <v>1089</v>
      </c>
      <c r="G4197" t="s">
        <v>319</v>
      </c>
      <c r="H4197" s="502">
        <v>51102</v>
      </c>
      <c r="I4197" s="415">
        <v>0</v>
      </c>
      <c r="J4197" s="415">
        <v>0</v>
      </c>
      <c r="K4197" s="415">
        <v>0</v>
      </c>
      <c r="L4197" s="415">
        <v>509.28</v>
      </c>
      <c r="M4197" s="415">
        <v>3366.4</v>
      </c>
      <c r="N4197" s="415">
        <v>220</v>
      </c>
      <c r="O4197" s="415">
        <v>0</v>
      </c>
      <c r="P4197" s="415">
        <v>21.12</v>
      </c>
      <c r="Q4197" s="481">
        <f t="shared" si="111"/>
        <v>0</v>
      </c>
    </row>
    <row r="4198" spans="1:17" x14ac:dyDescent="0.3">
      <c r="A4198" s="366" t="str">
        <f>IFERROR(VLOOKUP(RIGHT(E4198,3)+0,[1]SchLocTable!$A$2:$B$47,2,FALSE)," ")</f>
        <v>Madison</v>
      </c>
      <c r="B4198" s="366" t="str">
        <f>VLOOKUP(VALUE(D4198),$D$3:F$106,3,FALSE)</f>
        <v>Custodians</v>
      </c>
      <c r="C4198" t="s">
        <v>314</v>
      </c>
      <c r="D4198">
        <v>887</v>
      </c>
      <c r="E4198" t="s">
        <v>1171</v>
      </c>
      <c r="F4198" t="s">
        <v>316</v>
      </c>
      <c r="G4198">
        <v>3</v>
      </c>
      <c r="H4198" s="502">
        <v>51000</v>
      </c>
      <c r="I4198" s="415">
        <v>173030.22359999997</v>
      </c>
      <c r="J4198" s="415">
        <v>167179</v>
      </c>
      <c r="K4198" s="415">
        <v>161426.48000000001</v>
      </c>
      <c r="L4198" s="415">
        <v>148301.32</v>
      </c>
      <c r="M4198" s="415">
        <v>137311.93</v>
      </c>
      <c r="N4198" s="415">
        <v>70967.63</v>
      </c>
      <c r="O4198" s="415">
        <v>45150.62</v>
      </c>
      <c r="P4198" s="415">
        <v>51553.11</v>
      </c>
      <c r="Q4198" s="481">
        <f t="shared" si="111"/>
        <v>-5851.2235999999684</v>
      </c>
    </row>
    <row r="4199" spans="1:17" x14ac:dyDescent="0.3">
      <c r="A4199" s="366" t="str">
        <f>IFERROR(VLOOKUP(RIGHT(E4199,3)+0,[1]SchLocTable!$A$2:$B$47,2,FALSE)," ")</f>
        <v>Madison</v>
      </c>
      <c r="B4199" s="366" t="str">
        <f>VLOOKUP(VALUE(D4199),$D$3:F$106,3,FALSE)</f>
        <v>Custodians</v>
      </c>
      <c r="C4199" t="s">
        <v>314</v>
      </c>
      <c r="D4199">
        <v>887</v>
      </c>
      <c r="E4199" t="s">
        <v>1171</v>
      </c>
      <c r="F4199" t="s">
        <v>321</v>
      </c>
      <c r="G4199" t="s">
        <v>319</v>
      </c>
      <c r="H4199" s="502">
        <v>52917</v>
      </c>
      <c r="I4199" s="415">
        <v>67606.031999999992</v>
      </c>
      <c r="J4199" s="415">
        <v>56043</v>
      </c>
      <c r="K4199" s="415">
        <v>51251.040000000001</v>
      </c>
      <c r="L4199" s="415">
        <v>50200.95</v>
      </c>
      <c r="M4199" s="415">
        <v>39369.03</v>
      </c>
      <c r="N4199" s="415">
        <v>16225.22</v>
      </c>
      <c r="O4199" s="415">
        <v>8376.93</v>
      </c>
      <c r="P4199" s="415">
        <v>11966</v>
      </c>
      <c r="Q4199" s="481">
        <f t="shared" si="111"/>
        <v>-11563.031999999992</v>
      </c>
    </row>
    <row r="4200" spans="1:17" x14ac:dyDescent="0.3">
      <c r="A4200" s="366" t="str">
        <f>IFERROR(VLOOKUP(RIGHT(E4200,3)+0,[1]SchLocTable!$A$2:$B$47,2,FALSE)," ")</f>
        <v>Madison</v>
      </c>
      <c r="B4200" s="366" t="str">
        <f>VLOOKUP(VALUE(D4200),$D$3:F$106,3,FALSE)</f>
        <v>Custodians</v>
      </c>
      <c r="C4200" t="s">
        <v>314</v>
      </c>
      <c r="D4200">
        <v>887</v>
      </c>
      <c r="E4200" t="s">
        <v>1171</v>
      </c>
      <c r="F4200" t="s">
        <v>1087</v>
      </c>
      <c r="G4200" t="s">
        <v>319</v>
      </c>
      <c r="H4200" s="502">
        <v>51116</v>
      </c>
      <c r="I4200" s="415">
        <v>0</v>
      </c>
      <c r="J4200" s="415">
        <v>0</v>
      </c>
      <c r="K4200" s="415">
        <v>274.57</v>
      </c>
      <c r="L4200" s="415">
        <v>388.91</v>
      </c>
      <c r="M4200" s="415">
        <v>0</v>
      </c>
      <c r="N4200" s="415">
        <v>0</v>
      </c>
      <c r="O4200" s="415">
        <v>0</v>
      </c>
      <c r="P4200" s="415">
        <v>0</v>
      </c>
      <c r="Q4200" s="481">
        <f t="shared" si="111"/>
        <v>0</v>
      </c>
    </row>
    <row r="4201" spans="1:17" x14ac:dyDescent="0.3">
      <c r="A4201" s="366" t="str">
        <f>IFERROR(VLOOKUP(RIGHT(E4201,3)+0,[1]SchLocTable!$A$2:$B$47,2,FALSE)," ")</f>
        <v>Madison</v>
      </c>
      <c r="B4201" s="366" t="str">
        <f>VLOOKUP(VALUE(D4201),$D$3:F$106,3,FALSE)</f>
        <v>Custodians</v>
      </c>
      <c r="C4201" t="s">
        <v>314</v>
      </c>
      <c r="D4201">
        <v>887</v>
      </c>
      <c r="E4201" t="s">
        <v>1171</v>
      </c>
      <c r="F4201" t="s">
        <v>318</v>
      </c>
      <c r="G4201" t="s">
        <v>319</v>
      </c>
      <c r="H4201" s="502">
        <v>51140</v>
      </c>
      <c r="I4201" s="415">
        <v>2925</v>
      </c>
      <c r="J4201" s="415">
        <v>1275</v>
      </c>
      <c r="K4201" s="415">
        <v>2775</v>
      </c>
      <c r="L4201" s="415">
        <v>4337.5</v>
      </c>
      <c r="M4201" s="415">
        <v>1875</v>
      </c>
      <c r="N4201" s="415">
        <v>1800</v>
      </c>
      <c r="O4201" s="415">
        <v>0</v>
      </c>
      <c r="P4201" s="415">
        <v>2250</v>
      </c>
      <c r="Q4201" s="481">
        <f t="shared" si="111"/>
        <v>-1650</v>
      </c>
    </row>
    <row r="4202" spans="1:17" x14ac:dyDescent="0.3">
      <c r="A4202" s="366" t="str">
        <f>IFERROR(VLOOKUP(RIGHT(E4202,3)+0,[1]SchLocTable!$A$2:$B$47,2,FALSE)," ")</f>
        <v>Madison</v>
      </c>
      <c r="B4202" s="366" t="str">
        <f>VLOOKUP(VALUE(D4202),$D$3:F$106,3,FALSE)</f>
        <v>Custodians</v>
      </c>
      <c r="C4202" t="s">
        <v>314</v>
      </c>
      <c r="D4202">
        <v>887</v>
      </c>
      <c r="E4202" t="s">
        <v>1171</v>
      </c>
      <c r="F4202" t="s">
        <v>320</v>
      </c>
      <c r="G4202" t="s">
        <v>319</v>
      </c>
      <c r="H4202" s="502">
        <v>52360</v>
      </c>
      <c r="I4202" s="415">
        <v>2862.0803249999994</v>
      </c>
      <c r="J4202" s="415">
        <v>2196</v>
      </c>
      <c r="K4202" s="415">
        <v>2588.11</v>
      </c>
      <c r="L4202" s="415">
        <v>2377.16</v>
      </c>
      <c r="M4202" s="415">
        <v>2141.2199999999998</v>
      </c>
      <c r="N4202" s="415">
        <v>1619.75</v>
      </c>
      <c r="O4202" s="415">
        <v>1050.93</v>
      </c>
      <c r="P4202" s="415">
        <v>1244.3900000000001</v>
      </c>
      <c r="Q4202" s="481">
        <f t="shared" si="111"/>
        <v>-666.08032499999945</v>
      </c>
    </row>
    <row r="4203" spans="1:17" x14ac:dyDescent="0.3">
      <c r="A4203" s="366" t="str">
        <f>IFERROR(VLOOKUP(RIGHT(E4203,3)+0,[1]SchLocTable!$A$2:$B$47,2,FALSE)," ")</f>
        <v>Madison</v>
      </c>
      <c r="B4203" s="366" t="str">
        <f>VLOOKUP(VALUE(D4203),$D$3:F$106,3,FALSE)</f>
        <v>Custodians</v>
      </c>
      <c r="C4203" t="s">
        <v>314</v>
      </c>
      <c r="D4203">
        <v>887</v>
      </c>
      <c r="E4203" t="s">
        <v>1171</v>
      </c>
      <c r="F4203" t="s">
        <v>392</v>
      </c>
      <c r="G4203" t="s">
        <v>319</v>
      </c>
      <c r="H4203" s="502">
        <v>52504</v>
      </c>
      <c r="I4203" s="415">
        <v>41016.571830000001</v>
      </c>
      <c r="J4203" s="415">
        <v>35348</v>
      </c>
      <c r="K4203" s="415">
        <v>40015.46</v>
      </c>
      <c r="L4203" s="415">
        <v>36157.370000000003</v>
      </c>
      <c r="M4203" s="415">
        <v>34646.19</v>
      </c>
      <c r="N4203" s="415">
        <v>22040.240000000002</v>
      </c>
      <c r="O4203" s="415">
        <v>12564.2</v>
      </c>
      <c r="P4203" s="415">
        <v>12748.89</v>
      </c>
      <c r="Q4203" s="481">
        <f t="shared" si="111"/>
        <v>-5668.5718300000008</v>
      </c>
    </row>
    <row r="4204" spans="1:17" x14ac:dyDescent="0.3">
      <c r="A4204" s="366" t="str">
        <f>IFERROR(VLOOKUP(RIGHT(E4204,3)+0,[1]SchLocTable!$A$2:$B$47,2,FALSE)," ")</f>
        <v>Madison</v>
      </c>
      <c r="B4204" s="366" t="str">
        <f>VLOOKUP(VALUE(D4204),$D$3:F$106,3,FALSE)</f>
        <v>Custodians</v>
      </c>
      <c r="C4204" t="s">
        <v>314</v>
      </c>
      <c r="D4204">
        <v>887</v>
      </c>
      <c r="E4204" t="s">
        <v>1171</v>
      </c>
      <c r="F4204" t="s">
        <v>1090</v>
      </c>
      <c r="G4204" t="s">
        <v>319</v>
      </c>
      <c r="H4204" s="502">
        <v>51138</v>
      </c>
      <c r="I4204" s="415">
        <v>5106.979800000001</v>
      </c>
      <c r="J4204" s="415">
        <v>4414.92</v>
      </c>
      <c r="K4204" s="415">
        <v>4047.52</v>
      </c>
      <c r="L4204" s="415">
        <v>4221.08</v>
      </c>
      <c r="M4204" s="415">
        <v>4226.07</v>
      </c>
      <c r="N4204" s="415">
        <v>1732.5</v>
      </c>
      <c r="O4204" s="415">
        <v>0</v>
      </c>
      <c r="P4204" s="415">
        <v>690</v>
      </c>
      <c r="Q4204" s="481">
        <f t="shared" si="111"/>
        <v>-692.05980000000091</v>
      </c>
    </row>
    <row r="4205" spans="1:17" x14ac:dyDescent="0.3">
      <c r="A4205" s="366" t="str">
        <f>IFERROR(VLOOKUP(RIGHT(E4205,3)+0,[1]SchLocTable!$A$2:$B$47,2,FALSE)," ")</f>
        <v>Madison</v>
      </c>
      <c r="B4205" s="366" t="str">
        <f>VLOOKUP(VALUE(D4205),$D$3:F$106,3,FALSE)</f>
        <v>Custodians</v>
      </c>
      <c r="C4205" t="s">
        <v>314</v>
      </c>
      <c r="D4205">
        <v>887</v>
      </c>
      <c r="E4205" t="s">
        <v>1171</v>
      </c>
      <c r="F4205" t="s">
        <v>452</v>
      </c>
      <c r="G4205" t="s">
        <v>319</v>
      </c>
      <c r="H4205" s="502">
        <v>51108</v>
      </c>
      <c r="I4205" s="415">
        <v>19247.6466</v>
      </c>
      <c r="J4205" s="415">
        <v>1419.25</v>
      </c>
      <c r="K4205" s="415">
        <v>13928.79</v>
      </c>
      <c r="L4205" s="415">
        <v>5589.84</v>
      </c>
      <c r="M4205" s="415">
        <v>3280.78</v>
      </c>
      <c r="N4205" s="415">
        <v>1789.73</v>
      </c>
      <c r="O4205" s="415">
        <v>1985.33</v>
      </c>
      <c r="P4205" s="415">
        <v>1284.8499999999999</v>
      </c>
      <c r="Q4205" s="481">
        <f t="shared" si="111"/>
        <v>-17828.3966</v>
      </c>
    </row>
    <row r="4206" spans="1:17" x14ac:dyDescent="0.3">
      <c r="A4206" s="366" t="str">
        <f>IFERROR(VLOOKUP(RIGHT(E4206,3)+0,[1]SchLocTable!$A$2:$B$47,2,FALSE)," ")</f>
        <v>Madison</v>
      </c>
      <c r="B4206" s="366" t="str">
        <f>VLOOKUP(VALUE(D4206),$D$3:F$106,3,FALSE)</f>
        <v>Custodians</v>
      </c>
      <c r="C4206" t="s">
        <v>314</v>
      </c>
      <c r="D4206">
        <v>887</v>
      </c>
      <c r="E4206" t="s">
        <v>1171</v>
      </c>
      <c r="F4206" t="s">
        <v>483</v>
      </c>
      <c r="G4206" t="s">
        <v>319</v>
      </c>
      <c r="H4206" s="502">
        <v>51122</v>
      </c>
      <c r="I4206" s="415">
        <v>3363.9736000000003</v>
      </c>
      <c r="J4206" s="415">
        <v>4935.0600000000004</v>
      </c>
      <c r="K4206" s="415">
        <v>6155.9</v>
      </c>
      <c r="L4206" s="415">
        <v>5745.99</v>
      </c>
      <c r="M4206" s="415">
        <v>6150.73</v>
      </c>
      <c r="N4206" s="415">
        <v>14869.63</v>
      </c>
      <c r="O4206" s="415">
        <v>23460.27</v>
      </c>
      <c r="P4206" s="415">
        <v>22781.84</v>
      </c>
      <c r="Q4206" s="481">
        <f t="shared" si="111"/>
        <v>1571.0864000000001</v>
      </c>
    </row>
    <row r="4207" spans="1:17" x14ac:dyDescent="0.3">
      <c r="A4207" s="366" t="str">
        <f>IFERROR(VLOOKUP(RIGHT(E4207,3)+0,[1]SchLocTable!$A$2:$B$47,2,FALSE)," ")</f>
        <v>Madison</v>
      </c>
      <c r="B4207" s="366" t="str">
        <f>VLOOKUP(VALUE(D4207),$D$3:F$106,3,FALSE)</f>
        <v>Custodians</v>
      </c>
      <c r="C4207" t="s">
        <v>314</v>
      </c>
      <c r="D4207">
        <v>887</v>
      </c>
      <c r="E4207" t="s">
        <v>1171</v>
      </c>
      <c r="F4207" t="s">
        <v>1148</v>
      </c>
      <c r="G4207" t="s">
        <v>319</v>
      </c>
      <c r="H4207" s="502">
        <v>51124</v>
      </c>
      <c r="I4207" s="415">
        <v>0</v>
      </c>
      <c r="J4207" s="415">
        <v>0</v>
      </c>
      <c r="K4207" s="415">
        <v>0</v>
      </c>
      <c r="L4207" s="415">
        <v>93.2</v>
      </c>
      <c r="M4207" s="415">
        <v>0</v>
      </c>
      <c r="N4207" s="415">
        <v>0</v>
      </c>
      <c r="O4207" s="415">
        <v>0</v>
      </c>
      <c r="P4207" s="415">
        <v>0</v>
      </c>
      <c r="Q4207" s="481">
        <f t="shared" si="111"/>
        <v>0</v>
      </c>
    </row>
    <row r="4208" spans="1:17" x14ac:dyDescent="0.3">
      <c r="A4208" s="366" t="str">
        <f>IFERROR(VLOOKUP(RIGHT(E4208,3)+0,[1]SchLocTable!$A$2:$B$47,2,FALSE)," ")</f>
        <v>Madison</v>
      </c>
      <c r="B4208" s="366" t="str">
        <f>VLOOKUP(VALUE(D4208),$D$3:F$106,3,FALSE)</f>
        <v>Custodians</v>
      </c>
      <c r="C4208" t="s">
        <v>314</v>
      </c>
      <c r="D4208">
        <v>887</v>
      </c>
      <c r="E4208" t="s">
        <v>1171</v>
      </c>
      <c r="F4208" t="s">
        <v>324</v>
      </c>
      <c r="G4208" t="s">
        <v>319</v>
      </c>
      <c r="H4208" s="502">
        <v>52385</v>
      </c>
      <c r="I4208" s="415">
        <v>0</v>
      </c>
      <c r="J4208" s="415">
        <v>0</v>
      </c>
      <c r="K4208" s="415">
        <v>0</v>
      </c>
      <c r="L4208" s="415">
        <v>118.02</v>
      </c>
      <c r="M4208" s="415">
        <v>0</v>
      </c>
      <c r="N4208" s="415">
        <v>0</v>
      </c>
      <c r="O4208" s="415">
        <v>0</v>
      </c>
      <c r="P4208" s="415">
        <v>0</v>
      </c>
      <c r="Q4208" s="481">
        <f t="shared" si="111"/>
        <v>0</v>
      </c>
    </row>
    <row r="4209" spans="1:17" x14ac:dyDescent="0.3">
      <c r="A4209" s="366" t="str">
        <f>IFERROR(VLOOKUP(RIGHT(E4209,3)+0,[1]SchLocTable!$A$2:$B$47,2,FALSE)," ")</f>
        <v>Madison</v>
      </c>
      <c r="B4209" s="366" t="str">
        <f>VLOOKUP(VALUE(D4209),$D$3:F$106,3,FALSE)</f>
        <v>Custodians</v>
      </c>
      <c r="C4209" t="s">
        <v>314</v>
      </c>
      <c r="D4209">
        <v>887</v>
      </c>
      <c r="E4209" t="s">
        <v>1171</v>
      </c>
      <c r="F4209" t="s">
        <v>356</v>
      </c>
      <c r="G4209" t="s">
        <v>319</v>
      </c>
      <c r="H4209" s="502">
        <v>51156</v>
      </c>
      <c r="I4209" s="415">
        <v>0</v>
      </c>
      <c r="J4209" s="415">
        <v>0</v>
      </c>
      <c r="K4209" s="415">
        <v>917.44</v>
      </c>
      <c r="L4209" s="415">
        <v>866.48</v>
      </c>
      <c r="M4209" s="415">
        <v>0</v>
      </c>
      <c r="N4209" s="415">
        <v>823.12</v>
      </c>
      <c r="O4209" s="415">
        <v>0</v>
      </c>
      <c r="P4209" s="415">
        <v>0</v>
      </c>
      <c r="Q4209" s="481">
        <f t="shared" si="111"/>
        <v>0</v>
      </c>
    </row>
    <row r="4210" spans="1:17" x14ac:dyDescent="0.3">
      <c r="A4210" s="366" t="str">
        <f>IFERROR(VLOOKUP(RIGHT(E4210,3)+0,[1]SchLocTable!$A$2:$B$47,2,FALSE)," ")</f>
        <v>Classical Studies Academy</v>
      </c>
      <c r="B4210" s="366" t="str">
        <f>VLOOKUP(VALUE(D4210),$D$3:F$106,3,FALSE)</f>
        <v>Custodians</v>
      </c>
      <c r="C4210" t="s">
        <v>314</v>
      </c>
      <c r="D4210">
        <v>887</v>
      </c>
      <c r="E4210" t="s">
        <v>1172</v>
      </c>
      <c r="F4210" t="s">
        <v>1089</v>
      </c>
      <c r="G4210" t="s">
        <v>319</v>
      </c>
      <c r="H4210" s="502">
        <v>51102</v>
      </c>
      <c r="I4210" s="415">
        <v>1986.441184</v>
      </c>
      <c r="J4210" s="415">
        <v>0</v>
      </c>
      <c r="K4210" s="415">
        <v>0</v>
      </c>
      <c r="L4210" s="415">
        <v>1086.79</v>
      </c>
      <c r="M4210" s="415">
        <v>1862.81</v>
      </c>
      <c r="N4210" s="415">
        <v>1448.54</v>
      </c>
      <c r="O4210" s="415">
        <v>1288.03</v>
      </c>
      <c r="P4210" s="415">
        <v>1058.83</v>
      </c>
      <c r="Q4210" s="481">
        <f t="shared" si="111"/>
        <v>-1986.441184</v>
      </c>
    </row>
    <row r="4211" spans="1:17" x14ac:dyDescent="0.3">
      <c r="A4211" s="366" t="str">
        <f>IFERROR(VLOOKUP(RIGHT(E4211,3)+0,[1]SchLocTable!$A$2:$B$47,2,FALSE)," ")</f>
        <v>Classical Studies Academy</v>
      </c>
      <c r="B4211" s="366" t="str">
        <f>VLOOKUP(VALUE(D4211),$D$3:F$106,3,FALSE)</f>
        <v>Custodians</v>
      </c>
      <c r="C4211" t="s">
        <v>314</v>
      </c>
      <c r="D4211">
        <v>887</v>
      </c>
      <c r="E4211" t="s">
        <v>1172</v>
      </c>
      <c r="F4211" t="s">
        <v>316</v>
      </c>
      <c r="G4211">
        <v>4</v>
      </c>
      <c r="H4211" s="502">
        <v>51000</v>
      </c>
      <c r="I4211" s="415">
        <v>219352.23575199998</v>
      </c>
      <c r="J4211" s="415">
        <v>208960</v>
      </c>
      <c r="K4211" s="415">
        <v>201093.97</v>
      </c>
      <c r="L4211" s="415">
        <v>194598.56</v>
      </c>
      <c r="M4211" s="415">
        <v>227677.53</v>
      </c>
      <c r="N4211" s="415">
        <v>178375.15</v>
      </c>
      <c r="O4211" s="415">
        <v>163681.84</v>
      </c>
      <c r="P4211" s="415">
        <v>174533.27</v>
      </c>
      <c r="Q4211" s="481">
        <f t="shared" si="111"/>
        <v>-10392.235751999979</v>
      </c>
    </row>
    <row r="4212" spans="1:17" x14ac:dyDescent="0.3">
      <c r="A4212" s="366" t="str">
        <f>IFERROR(VLOOKUP(RIGHT(E4212,3)+0,[1]SchLocTable!$A$2:$B$47,2,FALSE)," ")</f>
        <v>Classical Studies Academy</v>
      </c>
      <c r="B4212" s="366" t="str">
        <f>VLOOKUP(VALUE(D4212),$D$3:F$106,3,FALSE)</f>
        <v>Custodians</v>
      </c>
      <c r="C4212" t="s">
        <v>314</v>
      </c>
      <c r="D4212">
        <v>887</v>
      </c>
      <c r="E4212" t="s">
        <v>1172</v>
      </c>
      <c r="F4212" t="s">
        <v>360</v>
      </c>
      <c r="G4212" t="s">
        <v>319</v>
      </c>
      <c r="H4212" s="502">
        <v>52920</v>
      </c>
      <c r="I4212" s="415">
        <v>500</v>
      </c>
      <c r="J4212" s="415">
        <v>2500</v>
      </c>
      <c r="K4212" s="415">
        <v>2500</v>
      </c>
      <c r="L4212" s="415">
        <v>2250</v>
      </c>
      <c r="M4212" s="415">
        <v>3333.34</v>
      </c>
      <c r="N4212" s="415">
        <v>2000</v>
      </c>
      <c r="O4212" s="415">
        <v>2000</v>
      </c>
      <c r="P4212" s="415">
        <v>2166.67</v>
      </c>
      <c r="Q4212" s="481">
        <f t="shared" si="111"/>
        <v>2000</v>
      </c>
    </row>
    <row r="4213" spans="1:17" x14ac:dyDescent="0.3">
      <c r="A4213" s="366" t="str">
        <f>IFERROR(VLOOKUP(RIGHT(E4213,3)+0,[1]SchLocTable!$A$2:$B$47,2,FALSE)," ")</f>
        <v>Classical Studies Academy</v>
      </c>
      <c r="B4213" s="366" t="str">
        <f>VLOOKUP(VALUE(D4213),$D$3:F$106,3,FALSE)</f>
        <v>Custodians</v>
      </c>
      <c r="C4213" t="s">
        <v>314</v>
      </c>
      <c r="D4213">
        <v>887</v>
      </c>
      <c r="E4213" t="s">
        <v>1172</v>
      </c>
      <c r="F4213" t="s">
        <v>321</v>
      </c>
      <c r="G4213" t="s">
        <v>319</v>
      </c>
      <c r="H4213" s="502">
        <v>52917</v>
      </c>
      <c r="I4213" s="415">
        <v>104596.128</v>
      </c>
      <c r="J4213" s="415">
        <v>86716</v>
      </c>
      <c r="K4213" s="415">
        <v>65355.13</v>
      </c>
      <c r="L4213" s="415">
        <v>66329.66</v>
      </c>
      <c r="M4213" s="415">
        <v>93527.33</v>
      </c>
      <c r="N4213" s="415">
        <v>72954.37</v>
      </c>
      <c r="O4213" s="415">
        <v>58830.35</v>
      </c>
      <c r="P4213" s="415">
        <v>40612.949999999997</v>
      </c>
      <c r="Q4213" s="481">
        <f t="shared" si="111"/>
        <v>-17880.127999999997</v>
      </c>
    </row>
    <row r="4214" spans="1:17" x14ac:dyDescent="0.3">
      <c r="A4214" s="366" t="str">
        <f>IFERROR(VLOOKUP(RIGHT(E4214,3)+0,[1]SchLocTable!$A$2:$B$47,2,FALSE)," ")</f>
        <v>Classical Studies Academy</v>
      </c>
      <c r="B4214" s="366" t="str">
        <f>VLOOKUP(VALUE(D4214),$D$3:F$106,3,FALSE)</f>
        <v>Custodians</v>
      </c>
      <c r="C4214" t="s">
        <v>314</v>
      </c>
      <c r="D4214">
        <v>887</v>
      </c>
      <c r="E4214" t="s">
        <v>1172</v>
      </c>
      <c r="F4214" t="s">
        <v>318</v>
      </c>
      <c r="G4214" t="s">
        <v>319</v>
      </c>
      <c r="H4214" s="502">
        <v>51140</v>
      </c>
      <c r="I4214" s="415">
        <v>6200</v>
      </c>
      <c r="J4214" s="415">
        <v>3150</v>
      </c>
      <c r="K4214" s="415">
        <v>5980</v>
      </c>
      <c r="L4214" s="415">
        <v>4747.5</v>
      </c>
      <c r="M4214" s="415">
        <v>975</v>
      </c>
      <c r="N4214" s="415">
        <v>2250</v>
      </c>
      <c r="O4214" s="415">
        <v>1875</v>
      </c>
      <c r="P4214" s="415">
        <v>750</v>
      </c>
      <c r="Q4214" s="481">
        <f t="shared" si="111"/>
        <v>-3050</v>
      </c>
    </row>
    <row r="4215" spans="1:17" x14ac:dyDescent="0.3">
      <c r="A4215" s="366" t="str">
        <f>IFERROR(VLOOKUP(RIGHT(E4215,3)+0,[1]SchLocTable!$A$2:$B$47,2,FALSE)," ")</f>
        <v>Classical Studies Academy</v>
      </c>
      <c r="B4215" s="366" t="str">
        <f>VLOOKUP(VALUE(D4215),$D$3:F$106,3,FALSE)</f>
        <v>Custodians</v>
      </c>
      <c r="C4215" t="s">
        <v>314</v>
      </c>
      <c r="D4215">
        <v>887</v>
      </c>
      <c r="E4215" t="s">
        <v>1172</v>
      </c>
      <c r="F4215" t="s">
        <v>320</v>
      </c>
      <c r="G4215" t="s">
        <v>319</v>
      </c>
      <c r="H4215" s="502">
        <v>52360</v>
      </c>
      <c r="I4215" s="415">
        <v>3987.556937672</v>
      </c>
      <c r="J4215" s="415">
        <v>2747</v>
      </c>
      <c r="K4215" s="415">
        <v>3455.5</v>
      </c>
      <c r="L4215" s="415">
        <v>3372.55</v>
      </c>
      <c r="M4215" s="415">
        <v>3563.47</v>
      </c>
      <c r="N4215" s="415">
        <v>3124.94</v>
      </c>
      <c r="O4215" s="415">
        <v>2675.93</v>
      </c>
      <c r="P4215" s="415">
        <v>2831.86</v>
      </c>
      <c r="Q4215" s="481">
        <f t="shared" si="111"/>
        <v>-1240.556937672</v>
      </c>
    </row>
    <row r="4216" spans="1:17" x14ac:dyDescent="0.3">
      <c r="A4216" s="366" t="str">
        <f>IFERROR(VLOOKUP(RIGHT(E4216,3)+0,[1]SchLocTable!$A$2:$B$47,2,FALSE)," ")</f>
        <v>Classical Studies Academy</v>
      </c>
      <c r="B4216" s="366" t="str">
        <f>VLOOKUP(VALUE(D4216),$D$3:F$106,3,FALSE)</f>
        <v>Custodians</v>
      </c>
      <c r="C4216" t="s">
        <v>314</v>
      </c>
      <c r="D4216">
        <v>887</v>
      </c>
      <c r="E4216" t="s">
        <v>1172</v>
      </c>
      <c r="F4216" t="s">
        <v>392</v>
      </c>
      <c r="G4216" t="s">
        <v>319</v>
      </c>
      <c r="H4216" s="502">
        <v>52504</v>
      </c>
      <c r="I4216" s="415">
        <v>57145.815975740807</v>
      </c>
      <c r="J4216" s="415">
        <v>44711</v>
      </c>
      <c r="K4216" s="415">
        <v>52310.92</v>
      </c>
      <c r="L4216" s="415">
        <v>50972.91</v>
      </c>
      <c r="M4216" s="415">
        <v>59656.31</v>
      </c>
      <c r="N4216" s="415">
        <v>45683.11</v>
      </c>
      <c r="O4216" s="415">
        <v>32686.560000000001</v>
      </c>
      <c r="P4216" s="415">
        <v>27286.12</v>
      </c>
      <c r="Q4216" s="481">
        <f t="shared" si="111"/>
        <v>-12434.815975740807</v>
      </c>
    </row>
    <row r="4217" spans="1:17" x14ac:dyDescent="0.3">
      <c r="A4217" s="366" t="str">
        <f>IFERROR(VLOOKUP(RIGHT(E4217,3)+0,[1]SchLocTable!$A$2:$B$47,2,FALSE)," ")</f>
        <v>Classical Studies Academy</v>
      </c>
      <c r="B4217" s="366" t="str">
        <f>VLOOKUP(VALUE(D4217),$D$3:F$106,3,FALSE)</f>
        <v>Custodians</v>
      </c>
      <c r="C4217" t="s">
        <v>314</v>
      </c>
      <c r="D4217">
        <v>887</v>
      </c>
      <c r="E4217" t="s">
        <v>1172</v>
      </c>
      <c r="F4217" t="s">
        <v>1090</v>
      </c>
      <c r="G4217" t="s">
        <v>319</v>
      </c>
      <c r="H4217" s="502">
        <v>51138</v>
      </c>
      <c r="I4217" s="415">
        <v>7875.1815999999999</v>
      </c>
      <c r="J4217" s="415">
        <v>4622.72</v>
      </c>
      <c r="K4217" s="415">
        <v>6323.17</v>
      </c>
      <c r="L4217" s="415">
        <v>4241.08</v>
      </c>
      <c r="M4217" s="415">
        <v>4477</v>
      </c>
      <c r="N4217" s="415">
        <v>3935.11</v>
      </c>
      <c r="O4217" s="415">
        <v>3759.13</v>
      </c>
      <c r="P4217" s="415">
        <v>2903.38</v>
      </c>
      <c r="Q4217" s="481">
        <f t="shared" si="111"/>
        <v>-3252.4615999999996</v>
      </c>
    </row>
    <row r="4218" spans="1:17" x14ac:dyDescent="0.3">
      <c r="A4218" s="366" t="str">
        <f>IFERROR(VLOOKUP(RIGHT(E4218,3)+0,[1]SchLocTable!$A$2:$B$47,2,FALSE)," ")</f>
        <v>Classical Studies Academy</v>
      </c>
      <c r="B4218" s="366" t="str">
        <f>VLOOKUP(VALUE(D4218),$D$3:F$106,3,FALSE)</f>
        <v>Custodians</v>
      </c>
      <c r="C4218" t="s">
        <v>314</v>
      </c>
      <c r="D4218">
        <v>887</v>
      </c>
      <c r="E4218" t="s">
        <v>1172</v>
      </c>
      <c r="F4218" t="s">
        <v>452</v>
      </c>
      <c r="G4218" t="s">
        <v>319</v>
      </c>
      <c r="H4218" s="502">
        <v>51108</v>
      </c>
      <c r="I4218" s="415">
        <v>9873.8171999999995</v>
      </c>
      <c r="J4218" s="415">
        <v>208.13</v>
      </c>
      <c r="K4218" s="415">
        <v>3883.22</v>
      </c>
      <c r="L4218" s="415">
        <v>2142.14</v>
      </c>
      <c r="M4218" s="415">
        <v>4580.8999999999996</v>
      </c>
      <c r="N4218" s="415">
        <v>7357.62</v>
      </c>
      <c r="O4218" s="415">
        <v>138.88999999999999</v>
      </c>
      <c r="P4218" s="415">
        <v>1202.74</v>
      </c>
      <c r="Q4218" s="481">
        <f t="shared" si="111"/>
        <v>-9665.6872000000003</v>
      </c>
    </row>
    <row r="4219" spans="1:17" x14ac:dyDescent="0.3">
      <c r="A4219" s="366" t="str">
        <f>IFERROR(VLOOKUP(RIGHT(E4219,3)+0,[1]SchLocTable!$A$2:$B$47,2,FALSE)," ")</f>
        <v>Classical Studies Academy</v>
      </c>
      <c r="B4219" s="366" t="str">
        <f>VLOOKUP(VALUE(D4219),$D$3:F$106,3,FALSE)</f>
        <v>Custodians</v>
      </c>
      <c r="C4219" t="s">
        <v>314</v>
      </c>
      <c r="D4219">
        <v>887</v>
      </c>
      <c r="E4219" t="s">
        <v>1172</v>
      </c>
      <c r="F4219" t="s">
        <v>483</v>
      </c>
      <c r="G4219" t="s">
        <v>319</v>
      </c>
      <c r="H4219" s="502">
        <v>51122</v>
      </c>
      <c r="I4219" s="415">
        <v>29532.838400000004</v>
      </c>
      <c r="J4219" s="415">
        <v>20602.990000000002</v>
      </c>
      <c r="K4219" s="415">
        <v>29633.29</v>
      </c>
      <c r="L4219" s="415">
        <v>0</v>
      </c>
      <c r="M4219" s="415">
        <v>22118.49</v>
      </c>
      <c r="N4219" s="415">
        <v>29014.37</v>
      </c>
      <c r="O4219" s="415">
        <v>20540.13</v>
      </c>
      <c r="P4219" s="415">
        <v>13588.11</v>
      </c>
      <c r="Q4219" s="481">
        <f t="shared" si="111"/>
        <v>-8929.8484000000026</v>
      </c>
    </row>
    <row r="4220" spans="1:17" x14ac:dyDescent="0.3">
      <c r="A4220" s="366" t="str">
        <f>IFERROR(VLOOKUP(RIGHT(E4220,3)+0,[1]SchLocTable!$A$2:$B$47,2,FALSE)," ")</f>
        <v>Classical Studies Academy</v>
      </c>
      <c r="B4220" s="366" t="str">
        <f>VLOOKUP(VALUE(D4220),$D$3:F$106,3,FALSE)</f>
        <v>Custodians</v>
      </c>
      <c r="C4220" t="s">
        <v>314</v>
      </c>
      <c r="D4220">
        <v>887</v>
      </c>
      <c r="E4220" t="s">
        <v>1172</v>
      </c>
      <c r="F4220" t="s">
        <v>356</v>
      </c>
      <c r="G4220" t="s">
        <v>319</v>
      </c>
      <c r="H4220" s="502">
        <v>51156</v>
      </c>
      <c r="I4220" s="415">
        <v>0</v>
      </c>
      <c r="J4220" s="415">
        <v>0</v>
      </c>
      <c r="K4220" s="415">
        <v>917.44</v>
      </c>
      <c r="L4220" s="415">
        <v>839.58</v>
      </c>
      <c r="M4220" s="415">
        <v>0</v>
      </c>
      <c r="N4220" s="415">
        <v>0</v>
      </c>
      <c r="O4220" s="415">
        <v>1167.3399999999999</v>
      </c>
      <c r="P4220" s="415">
        <v>0</v>
      </c>
      <c r="Q4220" s="481">
        <f t="shared" si="111"/>
        <v>0</v>
      </c>
    </row>
    <row r="4221" spans="1:17" x14ac:dyDescent="0.3">
      <c r="A4221" s="366" t="str">
        <f>IFERROR(VLOOKUP(RIGHT(E4221,3)+0,[1]SchLocTable!$A$2:$B$47,2,FALSE)," ")</f>
        <v>Tisdale</v>
      </c>
      <c r="B4221" s="366" t="str">
        <f>VLOOKUP(VALUE(D4221),$D$3:F$106,3,FALSE)</f>
        <v>Custodians</v>
      </c>
      <c r="C4221" t="s">
        <v>314</v>
      </c>
      <c r="D4221">
        <v>887</v>
      </c>
      <c r="E4221" t="s">
        <v>1173</v>
      </c>
      <c r="F4221" t="s">
        <v>1089</v>
      </c>
      <c r="G4221" t="s">
        <v>319</v>
      </c>
      <c r="H4221" s="502">
        <v>51102</v>
      </c>
      <c r="I4221" s="415">
        <v>22991.904000000002</v>
      </c>
      <c r="J4221" s="415">
        <v>0</v>
      </c>
      <c r="K4221" s="415">
        <v>0</v>
      </c>
      <c r="L4221" s="415">
        <v>5432.16</v>
      </c>
      <c r="M4221" s="415">
        <v>9521.6</v>
      </c>
      <c r="N4221" s="415">
        <v>1242.45</v>
      </c>
      <c r="O4221" s="415">
        <v>1673.36</v>
      </c>
      <c r="P4221" s="415">
        <v>1484.29</v>
      </c>
      <c r="Q4221" s="481">
        <f t="shared" si="111"/>
        <v>-22991.904000000002</v>
      </c>
    </row>
    <row r="4222" spans="1:17" x14ac:dyDescent="0.3">
      <c r="A4222" s="366" t="str">
        <f>IFERROR(VLOOKUP(RIGHT(E4222,3)+0,[1]SchLocTable!$A$2:$B$47,2,FALSE)," ")</f>
        <v>Tisdale</v>
      </c>
      <c r="B4222" s="366" t="str">
        <f>VLOOKUP(VALUE(D4222),$D$3:F$106,3,FALSE)</f>
        <v>Custodians</v>
      </c>
      <c r="C4222" t="s">
        <v>314</v>
      </c>
      <c r="D4222">
        <v>887</v>
      </c>
      <c r="E4222" t="s">
        <v>1173</v>
      </c>
      <c r="F4222" t="s">
        <v>316</v>
      </c>
      <c r="G4222">
        <v>4</v>
      </c>
      <c r="H4222" s="502">
        <v>51000</v>
      </c>
      <c r="I4222" s="415">
        <v>193265.92381199999</v>
      </c>
      <c r="J4222" s="415">
        <v>216690</v>
      </c>
      <c r="K4222" s="415">
        <v>228408.1</v>
      </c>
      <c r="L4222" s="415">
        <v>178737.11</v>
      </c>
      <c r="M4222" s="415">
        <v>139194.89000000001</v>
      </c>
      <c r="N4222" s="415">
        <v>192824.84</v>
      </c>
      <c r="O4222" s="415">
        <v>229531.27</v>
      </c>
      <c r="P4222" s="415">
        <v>216110.66</v>
      </c>
      <c r="Q4222" s="481">
        <f t="shared" si="111"/>
        <v>23424.076188000006</v>
      </c>
    </row>
    <row r="4223" spans="1:17" x14ac:dyDescent="0.3">
      <c r="A4223" s="366" t="str">
        <f>IFERROR(VLOOKUP(RIGHT(E4223,3)+0,[1]SchLocTable!$A$2:$B$47,2,FALSE)," ")</f>
        <v>Tisdale</v>
      </c>
      <c r="B4223" s="366" t="str">
        <f>VLOOKUP(VALUE(D4223),$D$3:F$106,3,FALSE)</f>
        <v>Custodians</v>
      </c>
      <c r="C4223" t="s">
        <v>314</v>
      </c>
      <c r="D4223">
        <v>887</v>
      </c>
      <c r="E4223" t="s">
        <v>1173</v>
      </c>
      <c r="F4223" t="s">
        <v>360</v>
      </c>
      <c r="G4223" t="s">
        <v>319</v>
      </c>
      <c r="H4223" s="502">
        <v>52920</v>
      </c>
      <c r="I4223" s="415">
        <v>2000</v>
      </c>
      <c r="J4223" s="415">
        <v>0</v>
      </c>
      <c r="K4223" s="415">
        <v>416.68</v>
      </c>
      <c r="L4223" s="415">
        <v>0</v>
      </c>
      <c r="M4223" s="415">
        <v>0</v>
      </c>
      <c r="N4223" s="415">
        <v>500</v>
      </c>
      <c r="O4223" s="415">
        <v>2500</v>
      </c>
      <c r="P4223" s="415">
        <v>2500</v>
      </c>
      <c r="Q4223" s="481">
        <f t="shared" ref="Q4223:Q4286" si="112">J4223-I4223</f>
        <v>-2000</v>
      </c>
    </row>
    <row r="4224" spans="1:17" x14ac:dyDescent="0.3">
      <c r="A4224" s="366" t="str">
        <f>IFERROR(VLOOKUP(RIGHT(E4224,3)+0,[1]SchLocTable!$A$2:$B$47,2,FALSE)," ")</f>
        <v>Tisdale</v>
      </c>
      <c r="B4224" s="366" t="str">
        <f>VLOOKUP(VALUE(D4224),$D$3:F$106,3,FALSE)</f>
        <v>Custodians</v>
      </c>
      <c r="C4224" t="s">
        <v>314</v>
      </c>
      <c r="D4224">
        <v>887</v>
      </c>
      <c r="E4224" t="s">
        <v>1173</v>
      </c>
      <c r="F4224" t="s">
        <v>321</v>
      </c>
      <c r="G4224" t="s">
        <v>319</v>
      </c>
      <c r="H4224" s="502">
        <v>52917</v>
      </c>
      <c r="I4224" s="415">
        <v>65528.111999999994</v>
      </c>
      <c r="J4224" s="415">
        <v>55562.54</v>
      </c>
      <c r="K4224" s="415">
        <v>60169.4</v>
      </c>
      <c r="L4224" s="415">
        <v>61018.41</v>
      </c>
      <c r="M4224" s="415">
        <v>46313.93</v>
      </c>
      <c r="N4224" s="415">
        <v>40362.29</v>
      </c>
      <c r="O4224" s="415">
        <v>28981.64</v>
      </c>
      <c r="P4224" s="415">
        <v>31356.99</v>
      </c>
      <c r="Q4224" s="481">
        <f t="shared" si="112"/>
        <v>-9965.5719999999928</v>
      </c>
    </row>
    <row r="4225" spans="1:17" x14ac:dyDescent="0.3">
      <c r="A4225" s="366" t="str">
        <f>IFERROR(VLOOKUP(RIGHT(E4225,3)+0,[1]SchLocTable!$A$2:$B$47,2,FALSE)," ")</f>
        <v>Tisdale</v>
      </c>
      <c r="B4225" s="366" t="str">
        <f>VLOOKUP(VALUE(D4225),$D$3:F$106,3,FALSE)</f>
        <v>Custodians</v>
      </c>
      <c r="C4225" t="s">
        <v>314</v>
      </c>
      <c r="D4225">
        <v>887</v>
      </c>
      <c r="E4225" t="s">
        <v>1173</v>
      </c>
      <c r="F4225" t="s">
        <v>318</v>
      </c>
      <c r="G4225" t="s">
        <v>319</v>
      </c>
      <c r="H4225" s="502">
        <v>51140</v>
      </c>
      <c r="I4225" s="415">
        <v>3150</v>
      </c>
      <c r="J4225" s="415">
        <v>2795</v>
      </c>
      <c r="K4225" s="415">
        <v>1900</v>
      </c>
      <c r="L4225" s="415">
        <v>2625</v>
      </c>
      <c r="M4225" s="415">
        <v>4735</v>
      </c>
      <c r="N4225" s="415">
        <v>3315</v>
      </c>
      <c r="O4225" s="415">
        <v>4820</v>
      </c>
      <c r="P4225" s="415">
        <v>4525</v>
      </c>
      <c r="Q4225" s="481">
        <f t="shared" si="112"/>
        <v>-355</v>
      </c>
    </row>
    <row r="4226" spans="1:17" x14ac:dyDescent="0.3">
      <c r="A4226" s="366" t="str">
        <f>IFERROR(VLOOKUP(RIGHT(E4226,3)+0,[1]SchLocTable!$A$2:$B$47,2,FALSE)," ")</f>
        <v>Tisdale</v>
      </c>
      <c r="B4226" s="366" t="str">
        <f>VLOOKUP(VALUE(D4226),$D$3:F$106,3,FALSE)</f>
        <v>Custodians</v>
      </c>
      <c r="C4226" t="s">
        <v>314</v>
      </c>
      <c r="D4226">
        <v>887</v>
      </c>
      <c r="E4226" t="s">
        <v>1173</v>
      </c>
      <c r="F4226" t="s">
        <v>320</v>
      </c>
      <c r="G4226" t="s">
        <v>319</v>
      </c>
      <c r="H4226" s="502">
        <v>52360</v>
      </c>
      <c r="I4226" s="415">
        <v>4340.0153587540008</v>
      </c>
      <c r="J4226" s="415">
        <v>2828</v>
      </c>
      <c r="K4226" s="415">
        <v>3834.05</v>
      </c>
      <c r="L4226" s="415">
        <v>3231.42</v>
      </c>
      <c r="M4226" s="415">
        <v>2732.99</v>
      </c>
      <c r="N4226" s="415">
        <v>3535.44</v>
      </c>
      <c r="O4226" s="415">
        <v>3817.2</v>
      </c>
      <c r="P4226" s="415">
        <v>3609.81</v>
      </c>
      <c r="Q4226" s="481">
        <f t="shared" si="112"/>
        <v>-1512.0153587540008</v>
      </c>
    </row>
    <row r="4227" spans="1:17" x14ac:dyDescent="0.3">
      <c r="A4227" s="366" t="str">
        <f>IFERROR(VLOOKUP(RIGHT(E4227,3)+0,[1]SchLocTable!$A$2:$B$47,2,FALSE)," ")</f>
        <v>Tisdale</v>
      </c>
      <c r="B4227" s="366" t="str">
        <f>VLOOKUP(VALUE(D4227),$D$3:F$106,3,FALSE)</f>
        <v>Custodians</v>
      </c>
      <c r="C4227" t="s">
        <v>314</v>
      </c>
      <c r="D4227">
        <v>887</v>
      </c>
      <c r="E4227" t="s">
        <v>1173</v>
      </c>
      <c r="F4227" t="s">
        <v>392</v>
      </c>
      <c r="G4227" t="s">
        <v>319</v>
      </c>
      <c r="H4227" s="502">
        <v>52504</v>
      </c>
      <c r="I4227" s="415">
        <v>62196.909762005591</v>
      </c>
      <c r="J4227" s="415">
        <v>45609</v>
      </c>
      <c r="K4227" s="415">
        <v>53849.9</v>
      </c>
      <c r="L4227" s="415">
        <v>47426.39</v>
      </c>
      <c r="M4227" s="415">
        <v>43936.66</v>
      </c>
      <c r="N4227" s="415">
        <v>48630.51</v>
      </c>
      <c r="O4227" s="415">
        <v>43727.54</v>
      </c>
      <c r="P4227" s="415">
        <v>36287.24</v>
      </c>
      <c r="Q4227" s="481">
        <f t="shared" si="112"/>
        <v>-16587.909762005591</v>
      </c>
    </row>
    <row r="4228" spans="1:17" x14ac:dyDescent="0.3">
      <c r="A4228" s="366" t="str">
        <f>IFERROR(VLOOKUP(RIGHT(E4228,3)+0,[1]SchLocTable!$A$2:$B$47,2,FALSE)," ")</f>
        <v>Tisdale</v>
      </c>
      <c r="B4228" s="366" t="str">
        <f>VLOOKUP(VALUE(D4228),$D$3:F$106,3,FALSE)</f>
        <v>Custodians</v>
      </c>
      <c r="C4228" t="s">
        <v>314</v>
      </c>
      <c r="D4228">
        <v>887</v>
      </c>
      <c r="E4228" t="s">
        <v>1173</v>
      </c>
      <c r="F4228" t="s">
        <v>1090</v>
      </c>
      <c r="G4228" t="s">
        <v>319</v>
      </c>
      <c r="H4228" s="502">
        <v>51138</v>
      </c>
      <c r="I4228" s="415">
        <v>9731.9716000000008</v>
      </c>
      <c r="J4228" s="415">
        <v>4316.88</v>
      </c>
      <c r="K4228" s="415">
        <v>10588.26</v>
      </c>
      <c r="L4228" s="415">
        <v>6259.33</v>
      </c>
      <c r="M4228" s="415">
        <v>4158.12</v>
      </c>
      <c r="N4228" s="415">
        <v>5079.55</v>
      </c>
      <c r="O4228" s="415">
        <v>5719.57</v>
      </c>
      <c r="P4228" s="415">
        <v>6274.72</v>
      </c>
      <c r="Q4228" s="481">
        <f t="shared" si="112"/>
        <v>-5415.0916000000007</v>
      </c>
    </row>
    <row r="4229" spans="1:17" x14ac:dyDescent="0.3">
      <c r="A4229" s="366" t="str">
        <f>IFERROR(VLOOKUP(RIGHT(E4229,3)+0,[1]SchLocTable!$A$2:$B$47,2,FALSE)," ")</f>
        <v>Tisdale</v>
      </c>
      <c r="B4229" s="366" t="str">
        <f>VLOOKUP(VALUE(D4229),$D$3:F$106,3,FALSE)</f>
        <v>Custodians</v>
      </c>
      <c r="C4229" t="s">
        <v>314</v>
      </c>
      <c r="D4229">
        <v>887</v>
      </c>
      <c r="E4229" t="s">
        <v>1173</v>
      </c>
      <c r="F4229" t="s">
        <v>452</v>
      </c>
      <c r="G4229" t="s">
        <v>319</v>
      </c>
      <c r="H4229" s="502">
        <v>51108</v>
      </c>
      <c r="I4229" s="415">
        <v>0</v>
      </c>
      <c r="J4229" s="415">
        <v>887.26</v>
      </c>
      <c r="K4229" s="415">
        <v>2896.18</v>
      </c>
      <c r="L4229" s="415">
        <v>4796.22</v>
      </c>
      <c r="M4229" s="415">
        <v>5233.9799999999996</v>
      </c>
      <c r="N4229" s="415">
        <v>4787.1899999999996</v>
      </c>
      <c r="O4229" s="415">
        <v>1890.11</v>
      </c>
      <c r="P4229" s="415">
        <v>2933.36</v>
      </c>
      <c r="Q4229" s="481">
        <f t="shared" si="112"/>
        <v>887.26</v>
      </c>
    </row>
    <row r="4230" spans="1:17" x14ac:dyDescent="0.3">
      <c r="A4230" s="366" t="str">
        <f>IFERROR(VLOOKUP(RIGHT(E4230,3)+0,[1]SchLocTable!$A$2:$B$47,2,FALSE)," ")</f>
        <v>Tisdale</v>
      </c>
      <c r="B4230" s="366" t="str">
        <f>VLOOKUP(VALUE(D4230),$D$3:F$106,3,FALSE)</f>
        <v>Custodians</v>
      </c>
      <c r="C4230" t="s">
        <v>314</v>
      </c>
      <c r="D4230">
        <v>887</v>
      </c>
      <c r="E4230" t="s">
        <v>1173</v>
      </c>
      <c r="F4230" t="s">
        <v>483</v>
      </c>
      <c r="G4230" t="s">
        <v>319</v>
      </c>
      <c r="H4230" s="502">
        <v>51122</v>
      </c>
      <c r="I4230" s="415">
        <v>56143.600448000012</v>
      </c>
      <c r="J4230" s="415">
        <v>28928.15</v>
      </c>
      <c r="K4230" s="415">
        <v>34525.49</v>
      </c>
      <c r="L4230" s="415">
        <v>19361.830000000002</v>
      </c>
      <c r="M4230" s="415">
        <v>17947.59</v>
      </c>
      <c r="N4230" s="415">
        <v>15910.03</v>
      </c>
      <c r="O4230" s="415">
        <v>18028.63</v>
      </c>
      <c r="P4230" s="415">
        <v>11669.29</v>
      </c>
      <c r="Q4230" s="481">
        <f t="shared" si="112"/>
        <v>-27215.450448000011</v>
      </c>
    </row>
    <row r="4231" spans="1:17" x14ac:dyDescent="0.3">
      <c r="A4231" s="366" t="str">
        <f>IFERROR(VLOOKUP(RIGHT(E4231,3)+0,[1]SchLocTable!$A$2:$B$47,2,FALSE)," ")</f>
        <v>Tisdale</v>
      </c>
      <c r="B4231" s="366" t="str">
        <f>VLOOKUP(VALUE(D4231),$D$3:F$106,3,FALSE)</f>
        <v>Custodians</v>
      </c>
      <c r="C4231" t="s">
        <v>314</v>
      </c>
      <c r="D4231">
        <v>887</v>
      </c>
      <c r="E4231" t="s">
        <v>1173</v>
      </c>
      <c r="F4231" t="s">
        <v>324</v>
      </c>
      <c r="G4231" t="s">
        <v>319</v>
      </c>
      <c r="H4231" s="502">
        <v>52385</v>
      </c>
      <c r="I4231" s="415">
        <v>0</v>
      </c>
      <c r="J4231" s="415">
        <v>0</v>
      </c>
      <c r="K4231" s="415">
        <v>1468.91</v>
      </c>
      <c r="L4231" s="415">
        <v>585.52</v>
      </c>
      <c r="M4231" s="415">
        <v>52.89</v>
      </c>
      <c r="N4231" s="415">
        <v>0</v>
      </c>
      <c r="O4231" s="415">
        <v>0</v>
      </c>
      <c r="P4231" s="415">
        <v>0</v>
      </c>
      <c r="Q4231" s="481">
        <f t="shared" si="112"/>
        <v>0</v>
      </c>
    </row>
    <row r="4232" spans="1:17" x14ac:dyDescent="0.3">
      <c r="A4232" s="366" t="str">
        <f>IFERROR(VLOOKUP(RIGHT(E4232,3)+0,[1]SchLocTable!$A$2:$B$47,2,FALSE)," ")</f>
        <v>Tisdale</v>
      </c>
      <c r="B4232" s="366" t="str">
        <f>VLOOKUP(VALUE(D4232),$D$3:F$106,3,FALSE)</f>
        <v>Custodians</v>
      </c>
      <c r="C4232" t="s">
        <v>314</v>
      </c>
      <c r="D4232">
        <v>887</v>
      </c>
      <c r="E4232" t="s">
        <v>1173</v>
      </c>
      <c r="F4232" t="s">
        <v>329</v>
      </c>
      <c r="G4232" t="s">
        <v>319</v>
      </c>
      <c r="H4232" s="502">
        <v>51154</v>
      </c>
      <c r="I4232" s="415">
        <v>0</v>
      </c>
      <c r="J4232" s="415">
        <v>0</v>
      </c>
      <c r="K4232" s="415">
        <v>23</v>
      </c>
      <c r="L4232" s="415">
        <v>0</v>
      </c>
      <c r="M4232" s="415">
        <v>0</v>
      </c>
      <c r="N4232" s="415">
        <v>0</v>
      </c>
      <c r="O4232" s="415">
        <v>0</v>
      </c>
      <c r="P4232" s="415">
        <v>0</v>
      </c>
      <c r="Q4232" s="481">
        <f t="shared" si="112"/>
        <v>0</v>
      </c>
    </row>
    <row r="4233" spans="1:17" x14ac:dyDescent="0.3">
      <c r="A4233" s="366" t="str">
        <f>IFERROR(VLOOKUP(RIGHT(E4233,3)+0,[1]SchLocTable!$A$2:$B$47,2,FALSE)," ")</f>
        <v>Tisdale</v>
      </c>
      <c r="B4233" s="366" t="str">
        <f>VLOOKUP(VALUE(D4233),$D$3:F$106,3,FALSE)</f>
        <v>Custodians</v>
      </c>
      <c r="C4233" t="s">
        <v>314</v>
      </c>
      <c r="D4233">
        <v>887</v>
      </c>
      <c r="E4233" t="s">
        <v>1173</v>
      </c>
      <c r="F4233" t="s">
        <v>418</v>
      </c>
      <c r="G4233" t="s">
        <v>319</v>
      </c>
      <c r="H4233" s="502">
        <v>51314</v>
      </c>
      <c r="I4233" s="415">
        <v>1424.9226000000001</v>
      </c>
      <c r="J4233" s="415">
        <v>0</v>
      </c>
      <c r="K4233" s="415">
        <v>1383.42</v>
      </c>
      <c r="L4233" s="415">
        <v>0</v>
      </c>
      <c r="M4233" s="415">
        <v>0</v>
      </c>
      <c r="N4233" s="415">
        <v>0</v>
      </c>
      <c r="O4233" s="415">
        <v>0</v>
      </c>
      <c r="P4233" s="415">
        <v>0</v>
      </c>
      <c r="Q4233" s="481">
        <f t="shared" si="112"/>
        <v>-1424.9226000000001</v>
      </c>
    </row>
    <row r="4234" spans="1:17" x14ac:dyDescent="0.3">
      <c r="A4234" s="366" t="str">
        <f>IFERROR(VLOOKUP(RIGHT(E4234,3)+0,[1]SchLocTable!$A$2:$B$47,2,FALSE)," ")</f>
        <v>Tisdale</v>
      </c>
      <c r="B4234" s="366" t="str">
        <f>VLOOKUP(VALUE(D4234),$D$3:F$106,3,FALSE)</f>
        <v>Custodians</v>
      </c>
      <c r="C4234" t="s">
        <v>314</v>
      </c>
      <c r="D4234">
        <v>887</v>
      </c>
      <c r="E4234" t="s">
        <v>1173</v>
      </c>
      <c r="F4234" t="s">
        <v>356</v>
      </c>
      <c r="G4234" t="s">
        <v>319</v>
      </c>
      <c r="H4234" s="502">
        <v>51156</v>
      </c>
      <c r="I4234" s="415">
        <v>0</v>
      </c>
      <c r="J4234" s="415">
        <v>0</v>
      </c>
      <c r="K4234" s="415">
        <v>1883.82</v>
      </c>
      <c r="L4234" s="415">
        <v>3916.3</v>
      </c>
      <c r="M4234" s="415">
        <v>1723.97</v>
      </c>
      <c r="N4234" s="415">
        <v>1981.83</v>
      </c>
      <c r="O4234" s="415">
        <v>2455.9699999999998</v>
      </c>
      <c r="P4234" s="415">
        <v>817</v>
      </c>
      <c r="Q4234" s="481">
        <f t="shared" si="112"/>
        <v>0</v>
      </c>
    </row>
    <row r="4235" spans="1:17" x14ac:dyDescent="0.3">
      <c r="A4235" s="366" t="str">
        <f>IFERROR(VLOOKUP(RIGHT(E4235,3)+0,[1]SchLocTable!$A$2:$B$47,2,FALSE)," ")</f>
        <v>Read</v>
      </c>
      <c r="B4235" s="366" t="str">
        <f>VLOOKUP(VALUE(D4235),$D$3:F$106,3,FALSE)</f>
        <v>Custodians</v>
      </c>
      <c r="C4235" t="s">
        <v>314</v>
      </c>
      <c r="D4235">
        <v>887</v>
      </c>
      <c r="E4235" t="s">
        <v>1174</v>
      </c>
      <c r="F4235" t="s">
        <v>1089</v>
      </c>
      <c r="G4235" t="s">
        <v>319</v>
      </c>
      <c r="H4235" s="502">
        <v>51102</v>
      </c>
      <c r="I4235" s="415">
        <v>21945.643199999999</v>
      </c>
      <c r="J4235" s="415">
        <v>0</v>
      </c>
      <c r="K4235" s="415">
        <v>0</v>
      </c>
      <c r="L4235" s="415">
        <v>5220.6000000000004</v>
      </c>
      <c r="M4235" s="415">
        <v>12910.38</v>
      </c>
      <c r="N4235" s="415">
        <v>4996.6000000000004</v>
      </c>
      <c r="O4235" s="415">
        <v>3071.8</v>
      </c>
      <c r="P4235" s="415">
        <v>3967.11</v>
      </c>
      <c r="Q4235" s="481">
        <f t="shared" si="112"/>
        <v>-21945.643199999999</v>
      </c>
    </row>
    <row r="4236" spans="1:17" x14ac:dyDescent="0.3">
      <c r="A4236" s="366" t="str">
        <f>IFERROR(VLOOKUP(RIGHT(E4236,3)+0,[1]SchLocTable!$A$2:$B$47,2,FALSE)," ")</f>
        <v>Read</v>
      </c>
      <c r="B4236" s="366" t="str">
        <f>VLOOKUP(VALUE(D4236),$D$3:F$106,3,FALSE)</f>
        <v>Custodians</v>
      </c>
      <c r="C4236" t="s">
        <v>314</v>
      </c>
      <c r="D4236">
        <v>887</v>
      </c>
      <c r="E4236" t="s">
        <v>1174</v>
      </c>
      <c r="F4236" t="s">
        <v>316</v>
      </c>
      <c r="G4236">
        <v>3</v>
      </c>
      <c r="H4236" s="502">
        <v>51000</v>
      </c>
      <c r="I4236" s="415">
        <v>155314.83239999998</v>
      </c>
      <c r="J4236" s="415">
        <v>231362.99</v>
      </c>
      <c r="K4236" s="415">
        <v>240323.33</v>
      </c>
      <c r="L4236" s="415">
        <v>216733.29</v>
      </c>
      <c r="M4236" s="415">
        <v>176067.7</v>
      </c>
      <c r="N4236" s="415">
        <v>181797.41</v>
      </c>
      <c r="O4236" s="415">
        <v>173775.21</v>
      </c>
      <c r="P4236" s="415">
        <v>148196.4</v>
      </c>
      <c r="Q4236" s="481">
        <f t="shared" si="112"/>
        <v>76048.157600000006</v>
      </c>
    </row>
    <row r="4237" spans="1:17" x14ac:dyDescent="0.3">
      <c r="A4237" s="366" t="str">
        <f>IFERROR(VLOOKUP(RIGHT(E4237,3)+0,[1]SchLocTable!$A$2:$B$47,2,FALSE)," ")</f>
        <v>Read</v>
      </c>
      <c r="B4237" s="366" t="str">
        <f>VLOOKUP(VALUE(D4237),$D$3:F$106,3,FALSE)</f>
        <v>Custodians</v>
      </c>
      <c r="C4237" t="s">
        <v>314</v>
      </c>
      <c r="D4237">
        <v>887</v>
      </c>
      <c r="E4237" t="s">
        <v>1174</v>
      </c>
      <c r="F4237" t="s">
        <v>360</v>
      </c>
      <c r="G4237" t="s">
        <v>319</v>
      </c>
      <c r="H4237" s="502">
        <v>52920</v>
      </c>
      <c r="I4237" s="415">
        <v>2000</v>
      </c>
      <c r="J4237" s="415">
        <v>0</v>
      </c>
      <c r="K4237" s="415">
        <v>4000</v>
      </c>
      <c r="L4237" s="415">
        <v>1750</v>
      </c>
      <c r="M4237" s="415">
        <v>2500</v>
      </c>
      <c r="N4237" s="415">
        <v>1166.68</v>
      </c>
      <c r="O4237" s="415">
        <v>0</v>
      </c>
      <c r="P4237" s="415">
        <v>0</v>
      </c>
      <c r="Q4237" s="481">
        <f t="shared" si="112"/>
        <v>-2000</v>
      </c>
    </row>
    <row r="4238" spans="1:17" x14ac:dyDescent="0.3">
      <c r="A4238" s="366" t="str">
        <f>IFERROR(VLOOKUP(RIGHT(E4238,3)+0,[1]SchLocTable!$A$2:$B$47,2,FALSE)," ")</f>
        <v>Read</v>
      </c>
      <c r="B4238" s="366" t="str">
        <f>VLOOKUP(VALUE(D4238),$D$3:F$106,3,FALSE)</f>
        <v>Custodians</v>
      </c>
      <c r="C4238" t="s">
        <v>314</v>
      </c>
      <c r="D4238">
        <v>887</v>
      </c>
      <c r="E4238" t="s">
        <v>1174</v>
      </c>
      <c r="F4238" t="s">
        <v>321</v>
      </c>
      <c r="G4238" t="s">
        <v>319</v>
      </c>
      <c r="H4238" s="502">
        <v>52917</v>
      </c>
      <c r="I4238" s="415">
        <v>53858.063999999998</v>
      </c>
      <c r="J4238" s="415">
        <v>56915</v>
      </c>
      <c r="K4238" s="415">
        <v>52119.59</v>
      </c>
      <c r="L4238" s="415">
        <v>45737.3</v>
      </c>
      <c r="M4238" s="415">
        <v>47037.61</v>
      </c>
      <c r="N4238" s="415">
        <v>62148.480000000003</v>
      </c>
      <c r="O4238" s="415">
        <v>58766.96</v>
      </c>
      <c r="P4238" s="415">
        <v>55374.64</v>
      </c>
      <c r="Q4238" s="481">
        <f t="shared" si="112"/>
        <v>3056.9360000000015</v>
      </c>
    </row>
    <row r="4239" spans="1:17" x14ac:dyDescent="0.3">
      <c r="A4239" s="366" t="str">
        <f>IFERROR(VLOOKUP(RIGHT(E4239,3)+0,[1]SchLocTable!$A$2:$B$47,2,FALSE)," ")</f>
        <v>Read</v>
      </c>
      <c r="B4239" s="366" t="str">
        <f>VLOOKUP(VALUE(D4239),$D$3:F$106,3,FALSE)</f>
        <v>Custodians</v>
      </c>
      <c r="C4239" t="s">
        <v>314</v>
      </c>
      <c r="D4239">
        <v>887</v>
      </c>
      <c r="E4239" t="s">
        <v>1174</v>
      </c>
      <c r="F4239" t="s">
        <v>1087</v>
      </c>
      <c r="G4239" t="s">
        <v>319</v>
      </c>
      <c r="H4239" s="502">
        <v>51116</v>
      </c>
      <c r="I4239" s="415">
        <v>72.820999999999998</v>
      </c>
      <c r="J4239" s="415">
        <v>0</v>
      </c>
      <c r="K4239" s="415">
        <v>0</v>
      </c>
      <c r="L4239" s="415">
        <v>0</v>
      </c>
      <c r="M4239" s="415">
        <v>0</v>
      </c>
      <c r="N4239" s="415">
        <v>0</v>
      </c>
      <c r="O4239" s="415">
        <v>0</v>
      </c>
      <c r="P4239" s="415">
        <v>0</v>
      </c>
      <c r="Q4239" s="481">
        <f t="shared" si="112"/>
        <v>-72.820999999999998</v>
      </c>
    </row>
    <row r="4240" spans="1:17" x14ac:dyDescent="0.3">
      <c r="A4240" s="366" t="str">
        <f>IFERROR(VLOOKUP(RIGHT(E4240,3)+0,[1]SchLocTable!$A$2:$B$47,2,FALSE)," ")</f>
        <v>Read</v>
      </c>
      <c r="B4240" s="366" t="str">
        <f>VLOOKUP(VALUE(D4240),$D$3:F$106,3,FALSE)</f>
        <v>Custodians</v>
      </c>
      <c r="C4240" t="s">
        <v>314</v>
      </c>
      <c r="D4240">
        <v>887</v>
      </c>
      <c r="E4240" t="s">
        <v>1174</v>
      </c>
      <c r="F4240" t="s">
        <v>318</v>
      </c>
      <c r="G4240" t="s">
        <v>319</v>
      </c>
      <c r="H4240" s="502">
        <v>51140</v>
      </c>
      <c r="I4240" s="415">
        <v>4572.92</v>
      </c>
      <c r="J4240" s="415">
        <v>4500</v>
      </c>
      <c r="K4240" s="415">
        <v>4200</v>
      </c>
      <c r="L4240" s="415">
        <v>3225</v>
      </c>
      <c r="M4240" s="415">
        <v>3965</v>
      </c>
      <c r="N4240" s="415">
        <v>3745</v>
      </c>
      <c r="O4240" s="415">
        <v>3525</v>
      </c>
      <c r="P4240" s="415">
        <v>3305</v>
      </c>
      <c r="Q4240" s="481">
        <f t="shared" si="112"/>
        <v>-72.920000000000073</v>
      </c>
    </row>
    <row r="4241" spans="1:17" x14ac:dyDescent="0.3">
      <c r="A4241" s="366" t="str">
        <f>IFERROR(VLOOKUP(RIGHT(E4241,3)+0,[1]SchLocTable!$A$2:$B$47,2,FALSE)," ")</f>
        <v>Read</v>
      </c>
      <c r="B4241" s="366" t="str">
        <f>VLOOKUP(VALUE(D4241),$D$3:F$106,3,FALSE)</f>
        <v>Custodians</v>
      </c>
      <c r="C4241" t="s">
        <v>314</v>
      </c>
      <c r="D4241">
        <v>887</v>
      </c>
      <c r="E4241" t="s">
        <v>1174</v>
      </c>
      <c r="F4241" t="s">
        <v>320</v>
      </c>
      <c r="G4241" t="s">
        <v>319</v>
      </c>
      <c r="H4241" s="502">
        <v>52360</v>
      </c>
      <c r="I4241" s="415">
        <v>3969.0408358999998</v>
      </c>
      <c r="J4241" s="415">
        <v>3392</v>
      </c>
      <c r="K4241" s="415">
        <v>4233.9799999999996</v>
      </c>
      <c r="L4241" s="415">
        <v>3960.74</v>
      </c>
      <c r="M4241" s="415">
        <v>3519.98</v>
      </c>
      <c r="N4241" s="415">
        <v>3079.22</v>
      </c>
      <c r="O4241" s="415">
        <v>2663.54</v>
      </c>
      <c r="P4241" s="415">
        <v>2497.0100000000002</v>
      </c>
      <c r="Q4241" s="481">
        <f t="shared" si="112"/>
        <v>-577.04083589999982</v>
      </c>
    </row>
    <row r="4242" spans="1:17" x14ac:dyDescent="0.3">
      <c r="A4242" s="366" t="str">
        <f>IFERROR(VLOOKUP(RIGHT(E4242,3)+0,[1]SchLocTable!$A$2:$B$47,2,FALSE)," ")</f>
        <v>Read</v>
      </c>
      <c r="B4242" s="366" t="str">
        <f>VLOOKUP(VALUE(D4242),$D$3:F$106,3,FALSE)</f>
        <v>Custodians</v>
      </c>
      <c r="C4242" t="s">
        <v>314</v>
      </c>
      <c r="D4242">
        <v>887</v>
      </c>
      <c r="E4242" t="s">
        <v>1174</v>
      </c>
      <c r="F4242" t="s">
        <v>392</v>
      </c>
      <c r="G4242" t="s">
        <v>319</v>
      </c>
      <c r="H4242" s="502">
        <v>52504</v>
      </c>
      <c r="I4242" s="415">
        <v>56880.461082759997</v>
      </c>
      <c r="J4242" s="415">
        <v>50416</v>
      </c>
      <c r="K4242" s="415">
        <v>60753.07</v>
      </c>
      <c r="L4242" s="415">
        <v>52514.02</v>
      </c>
      <c r="M4242" s="415">
        <v>51192.56</v>
      </c>
      <c r="N4242" s="415">
        <v>40475.089999999997</v>
      </c>
      <c r="O4242" s="415">
        <v>32420.99</v>
      </c>
      <c r="P4242" s="415">
        <v>26303.05</v>
      </c>
      <c r="Q4242" s="481">
        <f t="shared" si="112"/>
        <v>-6464.4610827599972</v>
      </c>
    </row>
    <row r="4243" spans="1:17" x14ac:dyDescent="0.3">
      <c r="A4243" s="366" t="str">
        <f>IFERROR(VLOOKUP(RIGHT(E4243,3)+0,[1]SchLocTable!$A$2:$B$47,2,FALSE)," ")</f>
        <v>Read</v>
      </c>
      <c r="B4243" s="366" t="str">
        <f>VLOOKUP(VALUE(D4243),$D$3:F$106,3,FALSE)</f>
        <v>Custodians</v>
      </c>
      <c r="C4243" t="s">
        <v>314</v>
      </c>
      <c r="D4243">
        <v>887</v>
      </c>
      <c r="E4243" t="s">
        <v>1174</v>
      </c>
      <c r="F4243" t="s">
        <v>1090</v>
      </c>
      <c r="G4243" t="s">
        <v>319</v>
      </c>
      <c r="H4243" s="502">
        <v>51138</v>
      </c>
      <c r="I4243" s="415">
        <v>7118.2332000000006</v>
      </c>
      <c r="J4243" s="415">
        <v>5553.01</v>
      </c>
      <c r="K4243" s="415">
        <v>8129.25</v>
      </c>
      <c r="L4243" s="415">
        <v>6851.63</v>
      </c>
      <c r="M4243" s="415">
        <v>4798.05</v>
      </c>
      <c r="N4243" s="415">
        <v>6537.17</v>
      </c>
      <c r="O4243" s="415">
        <v>5528.4</v>
      </c>
      <c r="P4243" s="415">
        <v>4651.45</v>
      </c>
      <c r="Q4243" s="481">
        <f t="shared" si="112"/>
        <v>-1565.2232000000004</v>
      </c>
    </row>
    <row r="4244" spans="1:17" x14ac:dyDescent="0.3">
      <c r="A4244" s="366" t="str">
        <f>IFERROR(VLOOKUP(RIGHT(E4244,3)+0,[1]SchLocTable!$A$2:$B$47,2,FALSE)," ")</f>
        <v>Read</v>
      </c>
      <c r="B4244" s="366" t="str">
        <f>VLOOKUP(VALUE(D4244),$D$3:F$106,3,FALSE)</f>
        <v>Custodians</v>
      </c>
      <c r="C4244" t="s">
        <v>314</v>
      </c>
      <c r="D4244">
        <v>887</v>
      </c>
      <c r="E4244" t="s">
        <v>1174</v>
      </c>
      <c r="F4244" t="s">
        <v>452</v>
      </c>
      <c r="G4244" t="s">
        <v>319</v>
      </c>
      <c r="H4244" s="502">
        <v>51108</v>
      </c>
      <c r="I4244" s="415">
        <v>0</v>
      </c>
      <c r="J4244" s="415">
        <v>53.03</v>
      </c>
      <c r="K4244" s="415">
        <v>1339.68</v>
      </c>
      <c r="L4244" s="415">
        <v>2357.59</v>
      </c>
      <c r="M4244" s="415">
        <v>6676.15</v>
      </c>
      <c r="N4244" s="415">
        <v>6000.86</v>
      </c>
      <c r="O4244" s="415">
        <v>3795.44</v>
      </c>
      <c r="P4244" s="415">
        <v>3665.56</v>
      </c>
      <c r="Q4244" s="481">
        <f t="shared" si="112"/>
        <v>53.03</v>
      </c>
    </row>
    <row r="4245" spans="1:17" x14ac:dyDescent="0.3">
      <c r="A4245" s="366" t="str">
        <f>IFERROR(VLOOKUP(RIGHT(E4245,3)+0,[1]SchLocTable!$A$2:$B$47,2,FALSE)," ")</f>
        <v>Read</v>
      </c>
      <c r="B4245" s="366" t="str">
        <f>VLOOKUP(VALUE(D4245),$D$3:F$106,3,FALSE)</f>
        <v>Custodians</v>
      </c>
      <c r="C4245" t="s">
        <v>314</v>
      </c>
      <c r="D4245">
        <v>887</v>
      </c>
      <c r="E4245" t="s">
        <v>1174</v>
      </c>
      <c r="F4245" t="s">
        <v>483</v>
      </c>
      <c r="G4245" t="s">
        <v>319</v>
      </c>
      <c r="H4245" s="502">
        <v>51122</v>
      </c>
      <c r="I4245" s="415">
        <v>62420.485920000014</v>
      </c>
      <c r="J4245" s="415">
        <v>29606.880000000001</v>
      </c>
      <c r="K4245" s="415">
        <v>32521.83</v>
      </c>
      <c r="L4245" s="415">
        <v>14064</v>
      </c>
      <c r="M4245" s="415">
        <v>17339.18</v>
      </c>
      <c r="N4245" s="415">
        <v>4866.0600000000004</v>
      </c>
      <c r="O4245" s="415">
        <v>6163.92</v>
      </c>
      <c r="P4245" s="415">
        <v>9999.74</v>
      </c>
      <c r="Q4245" s="481">
        <f t="shared" si="112"/>
        <v>-32813.605920000016</v>
      </c>
    </row>
    <row r="4246" spans="1:17" x14ac:dyDescent="0.3">
      <c r="A4246" s="366" t="str">
        <f>IFERROR(VLOOKUP(RIGHT(E4246,3)+0,[1]SchLocTable!$A$2:$B$47,2,FALSE)," ")</f>
        <v>Read</v>
      </c>
      <c r="B4246" s="366" t="str">
        <f>VLOOKUP(VALUE(D4246),$D$3:F$106,3,FALSE)</f>
        <v>Custodians</v>
      </c>
      <c r="C4246" t="s">
        <v>314</v>
      </c>
      <c r="D4246">
        <v>887</v>
      </c>
      <c r="E4246" t="s">
        <v>1174</v>
      </c>
      <c r="F4246" t="s">
        <v>1148</v>
      </c>
      <c r="G4246" t="s">
        <v>319</v>
      </c>
      <c r="H4246" s="502">
        <v>51124</v>
      </c>
      <c r="I4246" s="415">
        <v>0</v>
      </c>
      <c r="J4246" s="415">
        <v>0</v>
      </c>
      <c r="K4246" s="415">
        <v>0</v>
      </c>
      <c r="L4246" s="415">
        <v>0</v>
      </c>
      <c r="M4246" s="415">
        <v>0</v>
      </c>
      <c r="N4246" s="415">
        <v>0</v>
      </c>
      <c r="O4246" s="415">
        <v>0</v>
      </c>
      <c r="P4246" s="415">
        <v>0</v>
      </c>
      <c r="Q4246" s="481">
        <f t="shared" si="112"/>
        <v>0</v>
      </c>
    </row>
    <row r="4247" spans="1:17" x14ac:dyDescent="0.3">
      <c r="A4247" s="366" t="str">
        <f>IFERROR(VLOOKUP(RIGHT(E4247,3)+0,[1]SchLocTable!$A$2:$B$47,2,FALSE)," ")</f>
        <v>Read</v>
      </c>
      <c r="B4247" s="366" t="str">
        <f>VLOOKUP(VALUE(D4247),$D$3:F$106,3,FALSE)</f>
        <v>Custodians</v>
      </c>
      <c r="C4247" t="s">
        <v>314</v>
      </c>
      <c r="D4247">
        <v>887</v>
      </c>
      <c r="E4247" t="s">
        <v>1174</v>
      </c>
      <c r="F4247" t="s">
        <v>324</v>
      </c>
      <c r="G4247" t="s">
        <v>319</v>
      </c>
      <c r="H4247" s="502">
        <v>52385</v>
      </c>
      <c r="I4247" s="415">
        <v>0</v>
      </c>
      <c r="J4247" s="415">
        <v>0</v>
      </c>
      <c r="K4247" s="415">
        <v>0</v>
      </c>
      <c r="L4247" s="415">
        <v>1238.68</v>
      </c>
      <c r="M4247" s="415">
        <v>506.67</v>
      </c>
      <c r="N4247" s="415">
        <v>761.48</v>
      </c>
      <c r="O4247" s="415">
        <v>0</v>
      </c>
      <c r="P4247" s="415">
        <v>0</v>
      </c>
      <c r="Q4247" s="481">
        <f t="shared" si="112"/>
        <v>0</v>
      </c>
    </row>
    <row r="4248" spans="1:17" x14ac:dyDescent="0.3">
      <c r="A4248" s="366" t="str">
        <f>IFERROR(VLOOKUP(RIGHT(E4248,3)+0,[1]SchLocTable!$A$2:$B$47,2,FALSE)," ")</f>
        <v>Read</v>
      </c>
      <c r="B4248" s="366" t="str">
        <f>VLOOKUP(VALUE(D4248),$D$3:F$106,3,FALSE)</f>
        <v>Custodians</v>
      </c>
      <c r="C4248" t="s">
        <v>314</v>
      </c>
      <c r="D4248">
        <v>887</v>
      </c>
      <c r="E4248" t="s">
        <v>1174</v>
      </c>
      <c r="F4248" t="s">
        <v>533</v>
      </c>
      <c r="G4248" t="s">
        <v>319</v>
      </c>
      <c r="H4248" s="502">
        <v>52397</v>
      </c>
      <c r="I4248" s="415">
        <v>0</v>
      </c>
      <c r="J4248" s="415">
        <v>0</v>
      </c>
      <c r="K4248" s="415">
        <v>0</v>
      </c>
      <c r="L4248" s="415">
        <v>3601</v>
      </c>
      <c r="M4248" s="415">
        <v>0</v>
      </c>
      <c r="N4248" s="415">
        <v>0</v>
      </c>
      <c r="O4248" s="415">
        <v>0</v>
      </c>
      <c r="P4248" s="415">
        <v>0</v>
      </c>
      <c r="Q4248" s="481">
        <f t="shared" si="112"/>
        <v>0</v>
      </c>
    </row>
    <row r="4249" spans="1:17" x14ac:dyDescent="0.3">
      <c r="A4249" s="366" t="str">
        <f>IFERROR(VLOOKUP(RIGHT(E4249,3)+0,[1]SchLocTable!$A$2:$B$47,2,FALSE)," ")</f>
        <v>Read</v>
      </c>
      <c r="B4249" s="366" t="str">
        <f>VLOOKUP(VALUE(D4249),$D$3:F$106,3,FALSE)</f>
        <v>Custodians</v>
      </c>
      <c r="C4249" t="s">
        <v>314</v>
      </c>
      <c r="D4249">
        <v>887</v>
      </c>
      <c r="E4249" t="s">
        <v>1174</v>
      </c>
      <c r="F4249" t="s">
        <v>329</v>
      </c>
      <c r="G4249" t="s">
        <v>319</v>
      </c>
      <c r="H4249" s="502">
        <v>51154</v>
      </c>
      <c r="I4249" s="415">
        <v>428.5933</v>
      </c>
      <c r="J4249" s="415">
        <v>0</v>
      </c>
      <c r="K4249" s="415">
        <v>0</v>
      </c>
      <c r="L4249" s="415">
        <v>0</v>
      </c>
      <c r="M4249" s="415">
        <v>0</v>
      </c>
      <c r="N4249" s="415">
        <v>0</v>
      </c>
      <c r="O4249" s="415">
        <v>0</v>
      </c>
      <c r="P4249" s="415">
        <v>0</v>
      </c>
      <c r="Q4249" s="481">
        <f t="shared" si="112"/>
        <v>-428.5933</v>
      </c>
    </row>
    <row r="4250" spans="1:17" x14ac:dyDescent="0.3">
      <c r="A4250" s="366" t="str">
        <f>IFERROR(VLOOKUP(RIGHT(E4250,3)+0,[1]SchLocTable!$A$2:$B$47,2,FALSE)," ")</f>
        <v>Read</v>
      </c>
      <c r="B4250" s="366" t="str">
        <f>VLOOKUP(VALUE(D4250),$D$3:F$106,3,FALSE)</f>
        <v>Custodians</v>
      </c>
      <c r="C4250" t="s">
        <v>314</v>
      </c>
      <c r="D4250">
        <v>887</v>
      </c>
      <c r="E4250" t="s">
        <v>1174</v>
      </c>
      <c r="F4250" t="s">
        <v>418</v>
      </c>
      <c r="G4250" t="s">
        <v>319</v>
      </c>
      <c r="H4250" s="502">
        <v>51314</v>
      </c>
      <c r="I4250" s="415">
        <v>2978.3685999999998</v>
      </c>
      <c r="J4250" s="415">
        <v>0</v>
      </c>
      <c r="K4250" s="415">
        <v>0</v>
      </c>
      <c r="L4250" s="415">
        <v>0</v>
      </c>
      <c r="M4250" s="415">
        <v>0</v>
      </c>
      <c r="N4250" s="415">
        <v>0</v>
      </c>
      <c r="O4250" s="415">
        <v>0</v>
      </c>
      <c r="P4250" s="415">
        <v>0</v>
      </c>
      <c r="Q4250" s="481">
        <f t="shared" si="112"/>
        <v>-2978.3685999999998</v>
      </c>
    </row>
    <row r="4251" spans="1:17" x14ac:dyDescent="0.3">
      <c r="A4251" s="366" t="str">
        <f>IFERROR(VLOOKUP(RIGHT(E4251,3)+0,[1]SchLocTable!$A$2:$B$47,2,FALSE)," ")</f>
        <v>Read</v>
      </c>
      <c r="B4251" s="366" t="str">
        <f>VLOOKUP(VALUE(D4251),$D$3:F$106,3,FALSE)</f>
        <v>Custodians</v>
      </c>
      <c r="C4251" t="s">
        <v>314</v>
      </c>
      <c r="D4251">
        <v>887</v>
      </c>
      <c r="E4251" t="s">
        <v>1174</v>
      </c>
      <c r="F4251" t="s">
        <v>356</v>
      </c>
      <c r="G4251" t="s">
        <v>319</v>
      </c>
      <c r="H4251" s="502">
        <v>51156</v>
      </c>
      <c r="I4251" s="415">
        <v>0</v>
      </c>
      <c r="J4251" s="415">
        <v>0</v>
      </c>
      <c r="K4251" s="415">
        <v>966.38</v>
      </c>
      <c r="L4251" s="415">
        <v>938.23</v>
      </c>
      <c r="M4251" s="415">
        <v>884.37</v>
      </c>
      <c r="N4251" s="415">
        <v>867.02</v>
      </c>
      <c r="O4251" s="415">
        <v>0</v>
      </c>
      <c r="P4251" s="415">
        <v>0</v>
      </c>
      <c r="Q4251" s="481">
        <f t="shared" si="112"/>
        <v>0</v>
      </c>
    </row>
    <row r="4252" spans="1:17" x14ac:dyDescent="0.3">
      <c r="A4252" s="366" t="str">
        <f>IFERROR(VLOOKUP(RIGHT(E4252,3)+0,[1]SchLocTable!$A$2:$B$47,2,FALSE)," ")</f>
        <v>Roosevelt</v>
      </c>
      <c r="B4252" s="366" t="str">
        <f>VLOOKUP(VALUE(D4252),$D$3:F$106,3,FALSE)</f>
        <v>Custodians</v>
      </c>
      <c r="C4252" t="s">
        <v>314</v>
      </c>
      <c r="D4252">
        <v>887</v>
      </c>
      <c r="E4252" t="s">
        <v>1175</v>
      </c>
      <c r="F4252" t="s">
        <v>1089</v>
      </c>
      <c r="G4252" t="s">
        <v>319</v>
      </c>
      <c r="H4252" s="502">
        <v>51102</v>
      </c>
      <c r="I4252" s="415">
        <v>12179.476608000001</v>
      </c>
      <c r="J4252" s="415">
        <v>0</v>
      </c>
      <c r="K4252" s="415">
        <v>0</v>
      </c>
      <c r="L4252" s="415">
        <v>8289.92</v>
      </c>
      <c r="M4252" s="415">
        <v>15187.07</v>
      </c>
      <c r="N4252" s="415">
        <v>14339.06</v>
      </c>
      <c r="O4252" s="415">
        <v>13606.59</v>
      </c>
      <c r="P4252" s="415">
        <v>14002.87</v>
      </c>
      <c r="Q4252" s="481">
        <f t="shared" si="112"/>
        <v>-12179.476608000001</v>
      </c>
    </row>
    <row r="4253" spans="1:17" x14ac:dyDescent="0.3">
      <c r="A4253" s="366" t="str">
        <f>IFERROR(VLOOKUP(RIGHT(E4253,3)+0,[1]SchLocTable!$A$2:$B$47,2,FALSE)," ")</f>
        <v>Roosevelt</v>
      </c>
      <c r="B4253" s="366" t="str">
        <f>VLOOKUP(VALUE(D4253),$D$3:F$106,3,FALSE)</f>
        <v>Custodians</v>
      </c>
      <c r="C4253" t="s">
        <v>314</v>
      </c>
      <c r="D4253">
        <v>887</v>
      </c>
      <c r="E4253" t="s">
        <v>1175</v>
      </c>
      <c r="F4253" t="s">
        <v>316</v>
      </c>
      <c r="G4253">
        <v>5</v>
      </c>
      <c r="H4253" s="502">
        <v>51000</v>
      </c>
      <c r="I4253" s="415">
        <v>252788.86380799997</v>
      </c>
      <c r="J4253" s="415">
        <v>191026</v>
      </c>
      <c r="K4253" s="415">
        <v>193297.99</v>
      </c>
      <c r="L4253" s="415">
        <v>170973.41</v>
      </c>
      <c r="M4253" s="415">
        <v>164755.78</v>
      </c>
      <c r="N4253" s="415">
        <v>159076.95000000001</v>
      </c>
      <c r="O4253" s="415">
        <v>172703.87</v>
      </c>
      <c r="P4253" s="415">
        <v>187581.85</v>
      </c>
      <c r="Q4253" s="481">
        <f t="shared" si="112"/>
        <v>-61762.863807999966</v>
      </c>
    </row>
    <row r="4254" spans="1:17" x14ac:dyDescent="0.3">
      <c r="A4254" s="366" t="str">
        <f>IFERROR(VLOOKUP(RIGHT(E4254,3)+0,[1]SchLocTable!$A$2:$B$47,2,FALSE)," ")</f>
        <v>Roosevelt</v>
      </c>
      <c r="B4254" s="366" t="str">
        <f>VLOOKUP(VALUE(D4254),$D$3:F$106,3,FALSE)</f>
        <v>Custodians</v>
      </c>
      <c r="C4254" t="s">
        <v>314</v>
      </c>
      <c r="D4254">
        <v>887</v>
      </c>
      <c r="E4254" t="s">
        <v>1175</v>
      </c>
      <c r="F4254" t="s">
        <v>360</v>
      </c>
      <c r="G4254" t="s">
        <v>319</v>
      </c>
      <c r="H4254" s="502">
        <v>52920</v>
      </c>
      <c r="I4254" s="415">
        <v>0</v>
      </c>
      <c r="J4254" s="415">
        <v>0</v>
      </c>
      <c r="K4254" s="415">
        <v>0</v>
      </c>
      <c r="L4254" s="415">
        <v>125</v>
      </c>
      <c r="M4254" s="415">
        <v>750</v>
      </c>
      <c r="N4254" s="415">
        <v>250</v>
      </c>
      <c r="O4254" s="415">
        <v>0</v>
      </c>
      <c r="P4254" s="415">
        <v>0</v>
      </c>
      <c r="Q4254" s="481">
        <f t="shared" si="112"/>
        <v>0</v>
      </c>
    </row>
    <row r="4255" spans="1:17" x14ac:dyDescent="0.3">
      <c r="A4255" s="366" t="str">
        <f>IFERROR(VLOOKUP(RIGHT(E4255,3)+0,[1]SchLocTable!$A$2:$B$47,2,FALSE)," ")</f>
        <v>Roosevelt</v>
      </c>
      <c r="B4255" s="366" t="str">
        <f>VLOOKUP(VALUE(D4255),$D$3:F$106,3,FALSE)</f>
        <v>Custodians</v>
      </c>
      <c r="C4255" t="s">
        <v>314</v>
      </c>
      <c r="D4255">
        <v>887</v>
      </c>
      <c r="E4255" t="s">
        <v>1175</v>
      </c>
      <c r="F4255" t="s">
        <v>321</v>
      </c>
      <c r="G4255" t="s">
        <v>319</v>
      </c>
      <c r="H4255" s="502">
        <v>52917</v>
      </c>
      <c r="I4255" s="415">
        <v>103181.52</v>
      </c>
      <c r="J4255" s="415">
        <v>63149</v>
      </c>
      <c r="K4255" s="415">
        <v>67099.740000000005</v>
      </c>
      <c r="L4255" s="415">
        <v>64419.76</v>
      </c>
      <c r="M4255" s="415">
        <v>53675.08</v>
      </c>
      <c r="N4255" s="415">
        <v>54305.48</v>
      </c>
      <c r="O4255" s="415">
        <v>55575.89</v>
      </c>
      <c r="P4255" s="415">
        <v>67752.509999999995</v>
      </c>
      <c r="Q4255" s="481">
        <f t="shared" si="112"/>
        <v>-40032.520000000004</v>
      </c>
    </row>
    <row r="4256" spans="1:17" x14ac:dyDescent="0.3">
      <c r="A4256" s="366" t="str">
        <f>IFERROR(VLOOKUP(RIGHT(E4256,3)+0,[1]SchLocTable!$A$2:$B$47,2,FALSE)," ")</f>
        <v>Roosevelt</v>
      </c>
      <c r="B4256" s="366" t="str">
        <f>VLOOKUP(VALUE(D4256),$D$3:F$106,3,FALSE)</f>
        <v>Custodians</v>
      </c>
      <c r="C4256" t="s">
        <v>314</v>
      </c>
      <c r="D4256">
        <v>887</v>
      </c>
      <c r="E4256" t="s">
        <v>1175</v>
      </c>
      <c r="F4256" t="s">
        <v>1087</v>
      </c>
      <c r="G4256" t="s">
        <v>319</v>
      </c>
      <c r="H4256" s="502">
        <v>51116</v>
      </c>
      <c r="I4256" s="415">
        <v>36.410499999999999</v>
      </c>
      <c r="J4256" s="415">
        <v>0</v>
      </c>
      <c r="K4256" s="415">
        <v>0</v>
      </c>
      <c r="L4256" s="415">
        <v>64.7</v>
      </c>
      <c r="M4256" s="415">
        <v>0</v>
      </c>
      <c r="N4256" s="415">
        <v>0</v>
      </c>
      <c r="O4256" s="415">
        <v>0</v>
      </c>
      <c r="P4256" s="415">
        <v>0</v>
      </c>
      <c r="Q4256" s="481">
        <f t="shared" si="112"/>
        <v>-36.410499999999999</v>
      </c>
    </row>
    <row r="4257" spans="1:17" x14ac:dyDescent="0.3">
      <c r="A4257" s="366" t="str">
        <f>IFERROR(VLOOKUP(RIGHT(E4257,3)+0,[1]SchLocTable!$A$2:$B$47,2,FALSE)," ")</f>
        <v>Roosevelt</v>
      </c>
      <c r="B4257" s="366" t="str">
        <f>VLOOKUP(VALUE(D4257),$D$3:F$106,3,FALSE)</f>
        <v>Custodians</v>
      </c>
      <c r="C4257" t="s">
        <v>314</v>
      </c>
      <c r="D4257">
        <v>887</v>
      </c>
      <c r="E4257" t="s">
        <v>1175</v>
      </c>
      <c r="F4257" t="s">
        <v>318</v>
      </c>
      <c r="G4257" t="s">
        <v>319</v>
      </c>
      <c r="H4257" s="502">
        <v>51140</v>
      </c>
      <c r="I4257" s="415">
        <v>3525</v>
      </c>
      <c r="J4257" s="415">
        <v>3525</v>
      </c>
      <c r="K4257" s="415">
        <v>2625</v>
      </c>
      <c r="L4257" s="415">
        <v>2475</v>
      </c>
      <c r="M4257" s="415">
        <v>1800</v>
      </c>
      <c r="N4257" s="415">
        <v>2590</v>
      </c>
      <c r="O4257" s="415">
        <v>2450</v>
      </c>
      <c r="P4257" s="415">
        <v>4185</v>
      </c>
      <c r="Q4257" s="481">
        <f t="shared" si="112"/>
        <v>0</v>
      </c>
    </row>
    <row r="4258" spans="1:17" x14ac:dyDescent="0.3">
      <c r="A4258" s="366" t="str">
        <f>IFERROR(VLOOKUP(RIGHT(E4258,3)+0,[1]SchLocTable!$A$2:$B$47,2,FALSE)," ")</f>
        <v>Roosevelt</v>
      </c>
      <c r="B4258" s="366" t="str">
        <f>VLOOKUP(VALUE(D4258),$D$3:F$106,3,FALSE)</f>
        <v>Custodians</v>
      </c>
      <c r="C4258" t="s">
        <v>314</v>
      </c>
      <c r="D4258">
        <v>887</v>
      </c>
      <c r="E4258" t="s">
        <v>1175</v>
      </c>
      <c r="F4258" t="s">
        <v>320</v>
      </c>
      <c r="G4258" t="s">
        <v>319</v>
      </c>
      <c r="H4258" s="502">
        <v>52360</v>
      </c>
      <c r="I4258" s="415">
        <v>4345.3977700639998</v>
      </c>
      <c r="J4258" s="415">
        <v>2578</v>
      </c>
      <c r="K4258" s="415">
        <v>2994.06</v>
      </c>
      <c r="L4258" s="415">
        <v>2910.39</v>
      </c>
      <c r="M4258" s="415">
        <v>2944.52</v>
      </c>
      <c r="N4258" s="415">
        <v>2876.19</v>
      </c>
      <c r="O4258" s="415">
        <v>2890.74</v>
      </c>
      <c r="P4258" s="415">
        <v>3491.44</v>
      </c>
      <c r="Q4258" s="481">
        <f t="shared" si="112"/>
        <v>-1767.3977700639998</v>
      </c>
    </row>
    <row r="4259" spans="1:17" x14ac:dyDescent="0.3">
      <c r="A4259" s="366" t="str">
        <f>IFERROR(VLOOKUP(RIGHT(E4259,3)+0,[1]SchLocTable!$A$2:$B$47,2,FALSE)," ")</f>
        <v>Roosevelt</v>
      </c>
      <c r="B4259" s="366" t="str">
        <f>VLOOKUP(VALUE(D4259),$D$3:F$106,3,FALSE)</f>
        <v>Custodians</v>
      </c>
      <c r="C4259" t="s">
        <v>314</v>
      </c>
      <c r="D4259">
        <v>887</v>
      </c>
      <c r="E4259" t="s">
        <v>1175</v>
      </c>
      <c r="F4259" t="s">
        <v>392</v>
      </c>
      <c r="G4259" t="s">
        <v>319</v>
      </c>
      <c r="H4259" s="502">
        <v>52504</v>
      </c>
      <c r="I4259" s="415">
        <v>62274.045284089596</v>
      </c>
      <c r="J4259" s="415">
        <v>40428</v>
      </c>
      <c r="K4259" s="415">
        <v>46994.78</v>
      </c>
      <c r="L4259" s="415">
        <v>42212.36</v>
      </c>
      <c r="M4259" s="415">
        <v>44450.559999999998</v>
      </c>
      <c r="N4259" s="415">
        <v>39304.26</v>
      </c>
      <c r="O4259" s="415">
        <v>34108.18</v>
      </c>
      <c r="P4259" s="415">
        <v>34647.800000000003</v>
      </c>
      <c r="Q4259" s="481">
        <f t="shared" si="112"/>
        <v>-21846.045284089596</v>
      </c>
    </row>
    <row r="4260" spans="1:17" x14ac:dyDescent="0.3">
      <c r="A4260" s="366" t="str">
        <f>IFERROR(VLOOKUP(RIGHT(E4260,3)+0,[1]SchLocTable!$A$2:$B$47,2,FALSE)," ")</f>
        <v>Roosevelt</v>
      </c>
      <c r="B4260" s="366" t="str">
        <f>VLOOKUP(VALUE(D4260),$D$3:F$106,3,FALSE)</f>
        <v>Custodians</v>
      </c>
      <c r="C4260" t="s">
        <v>314</v>
      </c>
      <c r="D4260">
        <v>887</v>
      </c>
      <c r="E4260" t="s">
        <v>1175</v>
      </c>
      <c r="F4260" t="s">
        <v>1090</v>
      </c>
      <c r="G4260" t="s">
        <v>319</v>
      </c>
      <c r="H4260" s="502">
        <v>51138</v>
      </c>
      <c r="I4260" s="415">
        <v>9731.9716000000008</v>
      </c>
      <c r="J4260" s="415">
        <v>8263.5300000000007</v>
      </c>
      <c r="K4260" s="415">
        <v>7937.91</v>
      </c>
      <c r="L4260" s="415">
        <v>5603.83</v>
      </c>
      <c r="M4260" s="415">
        <v>5360.11</v>
      </c>
      <c r="N4260" s="415">
        <v>5783.7</v>
      </c>
      <c r="O4260" s="415">
        <v>5337.8</v>
      </c>
      <c r="P4260" s="415">
        <v>4171.3999999999996</v>
      </c>
      <c r="Q4260" s="481">
        <f t="shared" si="112"/>
        <v>-1468.4416000000001</v>
      </c>
    </row>
    <row r="4261" spans="1:17" x14ac:dyDescent="0.3">
      <c r="A4261" s="366" t="str">
        <f>IFERROR(VLOOKUP(RIGHT(E4261,3)+0,[1]SchLocTable!$A$2:$B$47,2,FALSE)," ")</f>
        <v>Roosevelt</v>
      </c>
      <c r="B4261" s="366" t="str">
        <f>VLOOKUP(VALUE(D4261),$D$3:F$106,3,FALSE)</f>
        <v>Custodians</v>
      </c>
      <c r="C4261" t="s">
        <v>314</v>
      </c>
      <c r="D4261">
        <v>887</v>
      </c>
      <c r="E4261" t="s">
        <v>1175</v>
      </c>
      <c r="F4261" t="s">
        <v>452</v>
      </c>
      <c r="G4261" t="s">
        <v>319</v>
      </c>
      <c r="H4261" s="502">
        <v>51108</v>
      </c>
      <c r="I4261" s="415">
        <v>0</v>
      </c>
      <c r="J4261" s="415">
        <v>748.54</v>
      </c>
      <c r="K4261" s="415">
        <v>1691.93</v>
      </c>
      <c r="L4261" s="415">
        <v>1041.0899999999999</v>
      </c>
      <c r="M4261" s="415">
        <v>1680.29</v>
      </c>
      <c r="N4261" s="415">
        <v>2022.44</v>
      </c>
      <c r="O4261" s="415">
        <v>14.2</v>
      </c>
      <c r="P4261" s="415">
        <v>2539.23</v>
      </c>
      <c r="Q4261" s="481">
        <f t="shared" si="112"/>
        <v>748.54</v>
      </c>
    </row>
    <row r="4262" spans="1:17" x14ac:dyDescent="0.3">
      <c r="A4262" s="366" t="str">
        <f>IFERROR(VLOOKUP(RIGHT(E4262,3)+0,[1]SchLocTable!$A$2:$B$47,2,FALSE)," ")</f>
        <v>Roosevelt</v>
      </c>
      <c r="B4262" s="366" t="str">
        <f>VLOOKUP(VALUE(D4262),$D$3:F$106,3,FALSE)</f>
        <v>Custodians</v>
      </c>
      <c r="C4262" t="s">
        <v>314</v>
      </c>
      <c r="D4262">
        <v>887</v>
      </c>
      <c r="E4262" t="s">
        <v>1175</v>
      </c>
      <c r="F4262" t="s">
        <v>483</v>
      </c>
      <c r="G4262" t="s">
        <v>319</v>
      </c>
      <c r="H4262" s="502">
        <v>51122</v>
      </c>
      <c r="I4262" s="415">
        <v>19080.335955200004</v>
      </c>
      <c r="J4262" s="415">
        <v>15039.96</v>
      </c>
      <c r="K4262" s="415">
        <v>15820.87</v>
      </c>
      <c r="L4262" s="415">
        <v>16434.79</v>
      </c>
      <c r="M4262" s="415">
        <v>12037.06</v>
      </c>
      <c r="N4262" s="415">
        <v>12379.75</v>
      </c>
      <c r="O4262" s="415">
        <v>1245.97</v>
      </c>
      <c r="P4262" s="415">
        <v>17393.32</v>
      </c>
      <c r="Q4262" s="481">
        <f t="shared" si="112"/>
        <v>-4040.3759552000047</v>
      </c>
    </row>
    <row r="4263" spans="1:17" x14ac:dyDescent="0.3">
      <c r="A4263" s="366" t="str">
        <f>IFERROR(VLOOKUP(RIGHT(E4263,3)+0,[1]SchLocTable!$A$2:$B$47,2,FALSE)," ")</f>
        <v>Roosevelt</v>
      </c>
      <c r="B4263" s="366" t="str">
        <f>VLOOKUP(VALUE(D4263),$D$3:F$106,3,FALSE)</f>
        <v>Custodians</v>
      </c>
      <c r="C4263" t="s">
        <v>314</v>
      </c>
      <c r="D4263">
        <v>887</v>
      </c>
      <c r="E4263" t="s">
        <v>1175</v>
      </c>
      <c r="F4263" t="s">
        <v>1148</v>
      </c>
      <c r="G4263" t="s">
        <v>319</v>
      </c>
      <c r="H4263" s="502">
        <v>51124</v>
      </c>
      <c r="I4263" s="415">
        <v>0</v>
      </c>
      <c r="J4263" s="415">
        <v>0</v>
      </c>
      <c r="K4263" s="415">
        <v>0</v>
      </c>
      <c r="L4263" s="415">
        <v>0</v>
      </c>
      <c r="M4263" s="415">
        <v>0</v>
      </c>
      <c r="N4263" s="415">
        <v>0</v>
      </c>
      <c r="O4263" s="415">
        <v>0</v>
      </c>
      <c r="P4263" s="415">
        <v>0</v>
      </c>
      <c r="Q4263" s="481">
        <f t="shared" si="112"/>
        <v>0</v>
      </c>
    </row>
    <row r="4264" spans="1:17" x14ac:dyDescent="0.3">
      <c r="A4264" s="366" t="str">
        <f>IFERROR(VLOOKUP(RIGHT(E4264,3)+0,[1]SchLocTable!$A$2:$B$47,2,FALSE)," ")</f>
        <v>Roosevelt</v>
      </c>
      <c r="B4264" s="366" t="str">
        <f>VLOOKUP(VALUE(D4264),$D$3:F$106,3,FALSE)</f>
        <v>Custodians</v>
      </c>
      <c r="C4264" t="s">
        <v>314</v>
      </c>
      <c r="D4264">
        <v>887</v>
      </c>
      <c r="E4264" t="s">
        <v>1175</v>
      </c>
      <c r="F4264" t="s">
        <v>324</v>
      </c>
      <c r="G4264" t="s">
        <v>319</v>
      </c>
      <c r="H4264" s="502">
        <v>52385</v>
      </c>
      <c r="I4264" s="415">
        <v>0</v>
      </c>
      <c r="J4264" s="415">
        <v>0</v>
      </c>
      <c r="K4264" s="415">
        <v>0</v>
      </c>
      <c r="L4264" s="415">
        <v>0</v>
      </c>
      <c r="M4264" s="415">
        <v>311.85000000000002</v>
      </c>
      <c r="N4264" s="415">
        <v>0</v>
      </c>
      <c r="O4264" s="415">
        <v>0</v>
      </c>
      <c r="P4264" s="415">
        <v>21.51</v>
      </c>
      <c r="Q4264" s="481">
        <f t="shared" si="112"/>
        <v>0</v>
      </c>
    </row>
    <row r="4265" spans="1:17" x14ac:dyDescent="0.3">
      <c r="A4265" s="366" t="str">
        <f>IFERROR(VLOOKUP(RIGHT(E4265,3)+0,[1]SchLocTable!$A$2:$B$47,2,FALSE)," ")</f>
        <v>Roosevelt</v>
      </c>
      <c r="B4265" s="366" t="str">
        <f>VLOOKUP(VALUE(D4265),$D$3:F$106,3,FALSE)</f>
        <v>Custodians</v>
      </c>
      <c r="C4265" t="s">
        <v>314</v>
      </c>
      <c r="D4265">
        <v>887</v>
      </c>
      <c r="E4265" t="s">
        <v>1175</v>
      </c>
      <c r="F4265" t="s">
        <v>356</v>
      </c>
      <c r="G4265" t="s">
        <v>319</v>
      </c>
      <c r="H4265" s="502">
        <v>51156</v>
      </c>
      <c r="I4265" s="415">
        <v>0</v>
      </c>
      <c r="J4265" s="415">
        <v>0</v>
      </c>
      <c r="K4265" s="415">
        <v>0</v>
      </c>
      <c r="L4265" s="415">
        <v>833.04</v>
      </c>
      <c r="M4265" s="415">
        <v>0</v>
      </c>
      <c r="N4265" s="415">
        <v>0</v>
      </c>
      <c r="O4265" s="415">
        <v>0</v>
      </c>
      <c r="P4265" s="415">
        <v>3002.53</v>
      </c>
      <c r="Q4265" s="481">
        <f t="shared" si="112"/>
        <v>0</v>
      </c>
    </row>
    <row r="4266" spans="1:17" x14ac:dyDescent="0.3">
      <c r="A4266" s="366" t="str">
        <f>IFERROR(VLOOKUP(RIGHT(E4266,3)+0,[1]SchLocTable!$A$2:$B$47,2,FALSE)," ")</f>
        <v>Bridgeport Learning Center</v>
      </c>
      <c r="B4266" s="366" t="str">
        <f>VLOOKUP(VALUE(D4266),$D$3:F$106,3,FALSE)</f>
        <v>Custodians</v>
      </c>
      <c r="C4266" t="s">
        <v>314</v>
      </c>
      <c r="D4266">
        <v>887</v>
      </c>
      <c r="E4266" t="s">
        <v>1176</v>
      </c>
      <c r="F4266" t="s">
        <v>316</v>
      </c>
      <c r="G4266">
        <v>1</v>
      </c>
      <c r="H4266" s="502">
        <v>51000</v>
      </c>
      <c r="I4266" s="415">
        <v>54984.126599999996</v>
      </c>
      <c r="J4266" s="415">
        <v>48303</v>
      </c>
      <c r="K4266" s="415">
        <v>49993.59</v>
      </c>
      <c r="L4266" s="415">
        <v>44031.77</v>
      </c>
      <c r="M4266" s="415">
        <v>42743.75</v>
      </c>
      <c r="N4266" s="415">
        <v>34909.35</v>
      </c>
      <c r="O4266" s="415">
        <v>39782.43</v>
      </c>
      <c r="P4266" s="415">
        <v>28632.67</v>
      </c>
      <c r="Q4266" s="481">
        <f t="shared" si="112"/>
        <v>-6681.126599999996</v>
      </c>
    </row>
    <row r="4267" spans="1:17" x14ac:dyDescent="0.3">
      <c r="A4267" s="366" t="str">
        <f>IFERROR(VLOOKUP(RIGHT(E4267,3)+0,[1]SchLocTable!$A$2:$B$47,2,FALSE)," ")</f>
        <v>Bridgeport Learning Center</v>
      </c>
      <c r="B4267" s="366" t="str">
        <f>VLOOKUP(VALUE(D4267),$D$3:F$106,3,FALSE)</f>
        <v>Custodians</v>
      </c>
      <c r="C4267" t="s">
        <v>314</v>
      </c>
      <c r="D4267">
        <v>887</v>
      </c>
      <c r="E4267" t="s">
        <v>1176</v>
      </c>
      <c r="F4267" t="s">
        <v>321</v>
      </c>
      <c r="G4267" t="s">
        <v>319</v>
      </c>
      <c r="H4267" s="502">
        <v>52917</v>
      </c>
      <c r="I4267" s="415">
        <v>14733.887999999999</v>
      </c>
      <c r="J4267" s="415">
        <v>411</v>
      </c>
      <c r="K4267" s="415">
        <v>11278.7</v>
      </c>
      <c r="L4267" s="415">
        <v>11321.34</v>
      </c>
      <c r="M4267" s="415">
        <v>10648.31</v>
      </c>
      <c r="N4267" s="415">
        <v>25903.439999999999</v>
      </c>
      <c r="O4267" s="415">
        <v>27630.59</v>
      </c>
      <c r="P4267" s="415">
        <v>26257.43</v>
      </c>
      <c r="Q4267" s="481">
        <f t="shared" si="112"/>
        <v>-14322.887999999999</v>
      </c>
    </row>
    <row r="4268" spans="1:17" x14ac:dyDescent="0.3">
      <c r="A4268" s="366" t="str">
        <f>IFERROR(VLOOKUP(RIGHT(E4268,3)+0,[1]SchLocTable!$A$2:$B$47,2,FALSE)," ")</f>
        <v>Bridgeport Learning Center</v>
      </c>
      <c r="B4268" s="366" t="str">
        <f>VLOOKUP(VALUE(D4268),$D$3:F$106,3,FALSE)</f>
        <v>Custodians</v>
      </c>
      <c r="C4268" t="s">
        <v>314</v>
      </c>
      <c r="D4268">
        <v>887</v>
      </c>
      <c r="E4268" t="s">
        <v>1176</v>
      </c>
      <c r="F4268" t="s">
        <v>1087</v>
      </c>
      <c r="G4268" t="s">
        <v>319</v>
      </c>
      <c r="H4268" s="502">
        <v>51116</v>
      </c>
      <c r="I4268" s="415">
        <v>0</v>
      </c>
      <c r="J4268" s="415">
        <v>0</v>
      </c>
      <c r="K4268" s="415">
        <v>68.64</v>
      </c>
      <c r="L4268" s="415">
        <v>0</v>
      </c>
      <c r="M4268" s="415">
        <v>0</v>
      </c>
      <c r="N4268" s="415">
        <v>0</v>
      </c>
      <c r="O4268" s="415">
        <v>0</v>
      </c>
      <c r="P4268" s="415">
        <v>0</v>
      </c>
      <c r="Q4268" s="481">
        <f t="shared" si="112"/>
        <v>0</v>
      </c>
    </row>
    <row r="4269" spans="1:17" x14ac:dyDescent="0.3">
      <c r="A4269" s="366" t="str">
        <f>IFERROR(VLOOKUP(RIGHT(E4269,3)+0,[1]SchLocTable!$A$2:$B$47,2,FALSE)," ")</f>
        <v>Bridgeport Learning Center</v>
      </c>
      <c r="B4269" s="366" t="str">
        <f>VLOOKUP(VALUE(D4269),$D$3:F$106,3,FALSE)</f>
        <v>Custodians</v>
      </c>
      <c r="C4269" t="s">
        <v>314</v>
      </c>
      <c r="D4269">
        <v>887</v>
      </c>
      <c r="E4269" t="s">
        <v>1176</v>
      </c>
      <c r="F4269" t="s">
        <v>318</v>
      </c>
      <c r="G4269" t="s">
        <v>319</v>
      </c>
      <c r="H4269" s="502">
        <v>51140</v>
      </c>
      <c r="I4269" s="415">
        <v>0</v>
      </c>
      <c r="J4269" s="415">
        <v>0</v>
      </c>
      <c r="K4269" s="415">
        <v>0</v>
      </c>
      <c r="L4269" s="415">
        <v>2250</v>
      </c>
      <c r="M4269" s="415">
        <v>2250</v>
      </c>
      <c r="N4269" s="415">
        <v>2250</v>
      </c>
      <c r="O4269" s="415">
        <v>2250</v>
      </c>
      <c r="P4269" s="415">
        <v>2250</v>
      </c>
      <c r="Q4269" s="481">
        <f t="shared" si="112"/>
        <v>0</v>
      </c>
    </row>
    <row r="4270" spans="1:17" x14ac:dyDescent="0.3">
      <c r="A4270" s="366" t="str">
        <f>IFERROR(VLOOKUP(RIGHT(E4270,3)+0,[1]SchLocTable!$A$2:$B$47,2,FALSE)," ")</f>
        <v>Bridgeport Learning Center</v>
      </c>
      <c r="B4270" s="366" t="str">
        <f>VLOOKUP(VALUE(D4270),$D$3:F$106,3,FALSE)</f>
        <v>Custodians</v>
      </c>
      <c r="C4270" t="s">
        <v>314</v>
      </c>
      <c r="D4270">
        <v>887</v>
      </c>
      <c r="E4270" t="s">
        <v>1176</v>
      </c>
      <c r="F4270" t="s">
        <v>320</v>
      </c>
      <c r="G4270" t="s">
        <v>319</v>
      </c>
      <c r="H4270" s="502">
        <v>52360</v>
      </c>
      <c r="I4270" s="415">
        <v>947.18275470000003</v>
      </c>
      <c r="J4270" s="415">
        <v>700</v>
      </c>
      <c r="K4270" s="415">
        <v>836.61</v>
      </c>
      <c r="L4270" s="415">
        <v>787.86</v>
      </c>
      <c r="M4270" s="415">
        <v>704.96</v>
      </c>
      <c r="N4270" s="415">
        <v>677.29</v>
      </c>
      <c r="O4270" s="415">
        <v>663.17</v>
      </c>
      <c r="P4270" s="415">
        <v>624.34</v>
      </c>
      <c r="Q4270" s="481">
        <f t="shared" si="112"/>
        <v>-247.18275470000003</v>
      </c>
    </row>
    <row r="4271" spans="1:17" x14ac:dyDescent="0.3">
      <c r="A4271" s="366" t="str">
        <f>IFERROR(VLOOKUP(RIGHT(E4271,3)+0,[1]SchLocTable!$A$2:$B$47,2,FALSE)," ")</f>
        <v>Bridgeport Learning Center</v>
      </c>
      <c r="B4271" s="366" t="str">
        <f>VLOOKUP(VALUE(D4271),$D$3:F$106,3,FALSE)</f>
        <v>Custodians</v>
      </c>
      <c r="C4271" t="s">
        <v>314</v>
      </c>
      <c r="D4271">
        <v>887</v>
      </c>
      <c r="E4271" t="s">
        <v>1176</v>
      </c>
      <c r="F4271" t="s">
        <v>392</v>
      </c>
      <c r="G4271" t="s">
        <v>319</v>
      </c>
      <c r="H4271" s="502">
        <v>52504</v>
      </c>
      <c r="I4271" s="415">
        <v>13574.108719079999</v>
      </c>
      <c r="J4271" s="415">
        <v>10038</v>
      </c>
      <c r="K4271" s="415">
        <v>12711.39</v>
      </c>
      <c r="L4271" s="415">
        <v>11430.51</v>
      </c>
      <c r="M4271" s="415">
        <v>10307.799999999999</v>
      </c>
      <c r="N4271" s="415">
        <v>8922.3799999999992</v>
      </c>
      <c r="O4271" s="415">
        <v>7431.13</v>
      </c>
      <c r="P4271" s="415">
        <v>6046.97</v>
      </c>
      <c r="Q4271" s="481">
        <f t="shared" si="112"/>
        <v>-3536.108719079999</v>
      </c>
    </row>
    <row r="4272" spans="1:17" x14ac:dyDescent="0.3">
      <c r="A4272" s="366" t="str">
        <f>IFERROR(VLOOKUP(RIGHT(E4272,3)+0,[1]SchLocTable!$A$2:$B$47,2,FALSE)," ")</f>
        <v>Bridgeport Learning Center</v>
      </c>
      <c r="B4272" s="366" t="str">
        <f>VLOOKUP(VALUE(D4272),$D$3:F$106,3,FALSE)</f>
        <v>Custodians</v>
      </c>
      <c r="C4272" t="s">
        <v>314</v>
      </c>
      <c r="D4272">
        <v>887</v>
      </c>
      <c r="E4272" t="s">
        <v>1176</v>
      </c>
      <c r="F4272" t="s">
        <v>452</v>
      </c>
      <c r="G4272" t="s">
        <v>319</v>
      </c>
      <c r="H4272" s="502">
        <v>51108</v>
      </c>
      <c r="I4272" s="415">
        <v>0</v>
      </c>
      <c r="J4272" s="415">
        <v>49.04</v>
      </c>
      <c r="K4272" s="415">
        <v>711.99</v>
      </c>
      <c r="L4272" s="415">
        <v>749.12</v>
      </c>
      <c r="M4272" s="415">
        <v>244.15</v>
      </c>
      <c r="N4272" s="415">
        <v>1857.18</v>
      </c>
      <c r="O4272" s="415">
        <v>259.93</v>
      </c>
      <c r="P4272" s="415">
        <v>136.18</v>
      </c>
      <c r="Q4272" s="481">
        <f t="shared" si="112"/>
        <v>49.04</v>
      </c>
    </row>
    <row r="4273" spans="1:17" x14ac:dyDescent="0.3">
      <c r="A4273" s="366" t="str">
        <f>IFERROR(VLOOKUP(RIGHT(E4273,3)+0,[1]SchLocTable!$A$2:$B$47,2,FALSE)," ")</f>
        <v>Bridgeport Learning Center</v>
      </c>
      <c r="B4273" s="366" t="str">
        <f>VLOOKUP(VALUE(D4273),$D$3:F$106,3,FALSE)</f>
        <v>Custodians</v>
      </c>
      <c r="C4273" t="s">
        <v>314</v>
      </c>
      <c r="D4273">
        <v>887</v>
      </c>
      <c r="E4273" t="s">
        <v>1176</v>
      </c>
      <c r="F4273" t="s">
        <v>483</v>
      </c>
      <c r="G4273" t="s">
        <v>319</v>
      </c>
      <c r="H4273" s="502">
        <v>51122</v>
      </c>
      <c r="I4273" s="415">
        <v>11374.875200000002</v>
      </c>
      <c r="J4273" s="415">
        <v>51.18</v>
      </c>
      <c r="K4273" s="415">
        <v>9185.09</v>
      </c>
      <c r="L4273" s="415">
        <v>4759.09</v>
      </c>
      <c r="M4273" s="415">
        <v>34.69</v>
      </c>
      <c r="N4273" s="415">
        <v>403.3</v>
      </c>
      <c r="O4273" s="415">
        <v>2570.4699999999998</v>
      </c>
      <c r="P4273" s="415">
        <v>453.76</v>
      </c>
      <c r="Q4273" s="481">
        <f t="shared" si="112"/>
        <v>-11323.695200000002</v>
      </c>
    </row>
    <row r="4274" spans="1:17" x14ac:dyDescent="0.3">
      <c r="A4274" s="366" t="str">
        <f>IFERROR(VLOOKUP(RIGHT(E4274,3)+0,[1]SchLocTable!$A$2:$B$47,2,FALSE)," ")</f>
        <v>Bridgeport Learning Center</v>
      </c>
      <c r="B4274" s="366" t="str">
        <f>VLOOKUP(VALUE(D4274),$D$3:F$106,3,FALSE)</f>
        <v>Custodians</v>
      </c>
      <c r="C4274" t="s">
        <v>314</v>
      </c>
      <c r="D4274">
        <v>887</v>
      </c>
      <c r="E4274" t="s">
        <v>1176</v>
      </c>
      <c r="F4274" t="s">
        <v>356</v>
      </c>
      <c r="G4274" t="s">
        <v>319</v>
      </c>
      <c r="H4274" s="502">
        <v>51156</v>
      </c>
      <c r="I4274" s="415">
        <v>0</v>
      </c>
      <c r="J4274" s="415">
        <v>0</v>
      </c>
      <c r="K4274" s="415">
        <v>0</v>
      </c>
      <c r="L4274" s="415">
        <v>0</v>
      </c>
      <c r="M4274" s="415">
        <v>816.75</v>
      </c>
      <c r="N4274" s="415">
        <v>0</v>
      </c>
      <c r="O4274" s="415">
        <v>757.46</v>
      </c>
      <c r="P4274" s="415">
        <v>725.4</v>
      </c>
      <c r="Q4274" s="481">
        <f t="shared" si="112"/>
        <v>0</v>
      </c>
    </row>
    <row r="4275" spans="1:17" x14ac:dyDescent="0.3">
      <c r="A4275" s="366" t="str">
        <f>IFERROR(VLOOKUP(RIGHT(E4275,3)+0,[1]SchLocTable!$A$2:$B$47,2,FALSE)," ")</f>
        <v>Waltersville</v>
      </c>
      <c r="B4275" s="366" t="str">
        <f>VLOOKUP(VALUE(D4275),$D$3:F$106,3,FALSE)</f>
        <v>Custodians</v>
      </c>
      <c r="C4275" t="s">
        <v>314</v>
      </c>
      <c r="D4275">
        <v>887</v>
      </c>
      <c r="E4275" t="s">
        <v>1177</v>
      </c>
      <c r="F4275" t="s">
        <v>1089</v>
      </c>
      <c r="G4275" t="s">
        <v>319</v>
      </c>
      <c r="H4275" s="502">
        <v>51102</v>
      </c>
      <c r="I4275" s="415">
        <v>0</v>
      </c>
      <c r="J4275" s="415">
        <v>0</v>
      </c>
      <c r="K4275" s="415">
        <v>0</v>
      </c>
      <c r="L4275" s="415">
        <v>306.08</v>
      </c>
      <c r="M4275" s="415">
        <v>424.44</v>
      </c>
      <c r="N4275" s="415">
        <v>3640.53</v>
      </c>
      <c r="O4275" s="415">
        <v>0</v>
      </c>
      <c r="P4275" s="415">
        <v>1585.33</v>
      </c>
      <c r="Q4275" s="481">
        <f t="shared" si="112"/>
        <v>0</v>
      </c>
    </row>
    <row r="4276" spans="1:17" x14ac:dyDescent="0.3">
      <c r="A4276" s="366" t="str">
        <f>IFERROR(VLOOKUP(RIGHT(E4276,3)+0,[1]SchLocTable!$A$2:$B$47,2,FALSE)," ")</f>
        <v>Waltersville</v>
      </c>
      <c r="B4276" s="366" t="str">
        <f>VLOOKUP(VALUE(D4276),$D$3:F$106,3,FALSE)</f>
        <v>Custodians</v>
      </c>
      <c r="C4276" t="s">
        <v>314</v>
      </c>
      <c r="D4276">
        <v>887</v>
      </c>
      <c r="E4276" t="s">
        <v>1177</v>
      </c>
      <c r="F4276" t="s">
        <v>316</v>
      </c>
      <c r="G4276">
        <v>3</v>
      </c>
      <c r="H4276" s="502">
        <v>51000</v>
      </c>
      <c r="I4276" s="415">
        <v>96315.948351999992</v>
      </c>
      <c r="J4276" s="415">
        <v>98283.48</v>
      </c>
      <c r="K4276" s="415">
        <v>166267.81</v>
      </c>
      <c r="L4276" s="415">
        <v>185074.46</v>
      </c>
      <c r="M4276" s="415">
        <v>182879.79</v>
      </c>
      <c r="N4276" s="415">
        <v>174903.12</v>
      </c>
      <c r="O4276" s="415">
        <v>166714.01999999999</v>
      </c>
      <c r="P4276" s="415">
        <v>116312.52</v>
      </c>
      <c r="Q4276" s="481">
        <f t="shared" si="112"/>
        <v>1967.5316480000038</v>
      </c>
    </row>
    <row r="4277" spans="1:17" x14ac:dyDescent="0.3">
      <c r="A4277" s="366" t="str">
        <f>IFERROR(VLOOKUP(RIGHT(E4277,3)+0,[1]SchLocTable!$A$2:$B$47,2,FALSE)," ")</f>
        <v>Waltersville</v>
      </c>
      <c r="B4277" s="366" t="str">
        <f>VLOOKUP(VALUE(D4277),$D$3:F$106,3,FALSE)</f>
        <v>Custodians</v>
      </c>
      <c r="C4277" t="s">
        <v>314</v>
      </c>
      <c r="D4277">
        <v>887</v>
      </c>
      <c r="E4277" t="s">
        <v>1177</v>
      </c>
      <c r="F4277" t="s">
        <v>360</v>
      </c>
      <c r="G4277" t="s">
        <v>319</v>
      </c>
      <c r="H4277" s="502">
        <v>52920</v>
      </c>
      <c r="I4277" s="415">
        <v>0</v>
      </c>
      <c r="J4277" s="415">
        <v>0</v>
      </c>
      <c r="K4277" s="415">
        <v>1000</v>
      </c>
      <c r="L4277" s="415">
        <v>2000</v>
      </c>
      <c r="M4277" s="415">
        <v>0</v>
      </c>
      <c r="N4277" s="415">
        <v>0</v>
      </c>
      <c r="O4277" s="415">
        <v>1500</v>
      </c>
      <c r="P4277" s="415">
        <v>1000</v>
      </c>
      <c r="Q4277" s="481">
        <f t="shared" si="112"/>
        <v>0</v>
      </c>
    </row>
    <row r="4278" spans="1:17" x14ac:dyDescent="0.3">
      <c r="A4278" s="366" t="str">
        <f>IFERROR(VLOOKUP(RIGHT(E4278,3)+0,[1]SchLocTable!$A$2:$B$47,2,FALSE)," ")</f>
        <v>Waltersville</v>
      </c>
      <c r="B4278" s="366" t="str">
        <f>VLOOKUP(VALUE(D4278),$D$3:F$106,3,FALSE)</f>
        <v>Custodians</v>
      </c>
      <c r="C4278" t="s">
        <v>314</v>
      </c>
      <c r="D4278">
        <v>887</v>
      </c>
      <c r="E4278" t="s">
        <v>1177</v>
      </c>
      <c r="F4278" t="s">
        <v>321</v>
      </c>
      <c r="G4278" t="s">
        <v>319</v>
      </c>
      <c r="H4278" s="502">
        <v>52917</v>
      </c>
      <c r="I4278" s="415">
        <v>28083.119999999999</v>
      </c>
      <c r="J4278" s="415">
        <v>30624.27</v>
      </c>
      <c r="K4278" s="415">
        <v>62563.67</v>
      </c>
      <c r="L4278" s="415">
        <v>63800.63</v>
      </c>
      <c r="M4278" s="415">
        <v>58811.7</v>
      </c>
      <c r="N4278" s="415">
        <v>72101.05</v>
      </c>
      <c r="O4278" s="415">
        <v>55090.03</v>
      </c>
      <c r="P4278" s="415">
        <v>50581.51</v>
      </c>
      <c r="Q4278" s="481">
        <f t="shared" si="112"/>
        <v>2541.1500000000015</v>
      </c>
    </row>
    <row r="4279" spans="1:17" x14ac:dyDescent="0.3">
      <c r="A4279" s="366" t="str">
        <f>IFERROR(VLOOKUP(RIGHT(E4279,3)+0,[1]SchLocTable!$A$2:$B$47,2,FALSE)," ")</f>
        <v>Waltersville</v>
      </c>
      <c r="B4279" s="366" t="str">
        <f>VLOOKUP(VALUE(D4279),$D$3:F$106,3,FALSE)</f>
        <v>Custodians</v>
      </c>
      <c r="C4279" t="s">
        <v>314</v>
      </c>
      <c r="D4279">
        <v>887</v>
      </c>
      <c r="E4279" t="s">
        <v>1177</v>
      </c>
      <c r="F4279" t="s">
        <v>1087</v>
      </c>
      <c r="G4279" t="s">
        <v>319</v>
      </c>
      <c r="H4279" s="502">
        <v>51116</v>
      </c>
      <c r="I4279" s="415">
        <v>0</v>
      </c>
      <c r="J4279" s="415">
        <v>0</v>
      </c>
      <c r="K4279" s="415">
        <v>0</v>
      </c>
      <c r="L4279" s="415">
        <v>239.33</v>
      </c>
      <c r="M4279" s="415">
        <v>0</v>
      </c>
      <c r="N4279" s="415">
        <v>0</v>
      </c>
      <c r="O4279" s="415">
        <v>0</v>
      </c>
      <c r="P4279" s="415">
        <v>0</v>
      </c>
      <c r="Q4279" s="481">
        <f t="shared" si="112"/>
        <v>0</v>
      </c>
    </row>
    <row r="4280" spans="1:17" x14ac:dyDescent="0.3">
      <c r="A4280" s="366" t="str">
        <f>IFERROR(VLOOKUP(RIGHT(E4280,3)+0,[1]SchLocTable!$A$2:$B$47,2,FALSE)," ")</f>
        <v>Waltersville</v>
      </c>
      <c r="B4280" s="366" t="str">
        <f>VLOOKUP(VALUE(D4280),$D$3:F$106,3,FALSE)</f>
        <v>Custodians</v>
      </c>
      <c r="C4280" t="s">
        <v>314</v>
      </c>
      <c r="D4280">
        <v>887</v>
      </c>
      <c r="E4280" t="s">
        <v>1177</v>
      </c>
      <c r="F4280" t="s">
        <v>318</v>
      </c>
      <c r="G4280" t="s">
        <v>319</v>
      </c>
      <c r="H4280" s="502">
        <v>51140</v>
      </c>
      <c r="I4280" s="415">
        <v>3062.5</v>
      </c>
      <c r="J4280" s="415">
        <v>1712.5</v>
      </c>
      <c r="K4280" s="415">
        <v>1275</v>
      </c>
      <c r="L4280" s="415">
        <v>1200</v>
      </c>
      <c r="M4280" s="415">
        <v>1050</v>
      </c>
      <c r="N4280" s="415">
        <v>975</v>
      </c>
      <c r="O4280" s="415">
        <v>900</v>
      </c>
      <c r="P4280" s="415">
        <v>1950</v>
      </c>
      <c r="Q4280" s="481">
        <f t="shared" si="112"/>
        <v>-1350</v>
      </c>
    </row>
    <row r="4281" spans="1:17" x14ac:dyDescent="0.3">
      <c r="A4281" s="366" t="str">
        <f>IFERROR(VLOOKUP(RIGHT(E4281,3)+0,[1]SchLocTable!$A$2:$B$47,2,FALSE)," ")</f>
        <v>Waltersville</v>
      </c>
      <c r="B4281" s="366" t="str">
        <f>VLOOKUP(VALUE(D4281),$D$3:F$106,3,FALSE)</f>
        <v>Custodians</v>
      </c>
      <c r="C4281" t="s">
        <v>314</v>
      </c>
      <c r="D4281">
        <v>887</v>
      </c>
      <c r="E4281" t="s">
        <v>1177</v>
      </c>
      <c r="F4281" t="s">
        <v>320</v>
      </c>
      <c r="G4281" t="s">
        <v>319</v>
      </c>
      <c r="H4281" s="502">
        <v>52360</v>
      </c>
      <c r="I4281" s="415">
        <v>2914.1900763040003</v>
      </c>
      <c r="J4281" s="415">
        <v>2121.9899999999998</v>
      </c>
      <c r="K4281" s="415">
        <v>2446.4299999999998</v>
      </c>
      <c r="L4281" s="415">
        <v>2769.06</v>
      </c>
      <c r="M4281" s="415">
        <v>2838.9</v>
      </c>
      <c r="N4281" s="415">
        <v>2767.06</v>
      </c>
      <c r="O4281" s="415">
        <v>2491.67</v>
      </c>
      <c r="P4281" s="415">
        <v>2169.5100000000002</v>
      </c>
      <c r="Q4281" s="481">
        <f t="shared" si="112"/>
        <v>-792.2000763040005</v>
      </c>
    </row>
    <row r="4282" spans="1:17" x14ac:dyDescent="0.3">
      <c r="A4282" s="366" t="str">
        <f>IFERROR(VLOOKUP(RIGHT(E4282,3)+0,[1]SchLocTable!$A$2:$B$47,2,FALSE)," ")</f>
        <v>Waltersville</v>
      </c>
      <c r="B4282" s="366" t="str">
        <f>VLOOKUP(VALUE(D4282),$D$3:F$106,3,FALSE)</f>
        <v>Custodians</v>
      </c>
      <c r="C4282" t="s">
        <v>314</v>
      </c>
      <c r="D4282">
        <v>887</v>
      </c>
      <c r="E4282" t="s">
        <v>1177</v>
      </c>
      <c r="F4282" t="s">
        <v>392</v>
      </c>
      <c r="G4282" t="s">
        <v>319</v>
      </c>
      <c r="H4282" s="502">
        <v>52504</v>
      </c>
      <c r="I4282" s="415">
        <v>41763.358472825603</v>
      </c>
      <c r="J4282" s="415">
        <v>30489.58</v>
      </c>
      <c r="K4282" s="415">
        <v>40079.449999999997</v>
      </c>
      <c r="L4282" s="415">
        <v>43773.74</v>
      </c>
      <c r="M4282" s="415">
        <v>42913.63</v>
      </c>
      <c r="N4282" s="415">
        <v>42151.69</v>
      </c>
      <c r="O4282" s="415">
        <v>32378.52</v>
      </c>
      <c r="P4282" s="415">
        <v>23792.639999999999</v>
      </c>
      <c r="Q4282" s="481">
        <f t="shared" si="112"/>
        <v>-11273.778472825601</v>
      </c>
    </row>
    <row r="4283" spans="1:17" x14ac:dyDescent="0.3">
      <c r="A4283" s="366" t="str">
        <f>IFERROR(VLOOKUP(RIGHT(E4283,3)+0,[1]SchLocTable!$A$2:$B$47,2,FALSE)," ")</f>
        <v>Waltersville</v>
      </c>
      <c r="B4283" s="366" t="str">
        <f>VLOOKUP(VALUE(D4283),$D$3:F$106,3,FALSE)</f>
        <v>Custodians</v>
      </c>
      <c r="C4283" t="s">
        <v>314</v>
      </c>
      <c r="D4283">
        <v>887</v>
      </c>
      <c r="E4283" t="s">
        <v>1177</v>
      </c>
      <c r="F4283" t="s">
        <v>1090</v>
      </c>
      <c r="G4283" t="s">
        <v>319</v>
      </c>
      <c r="H4283" s="502">
        <v>51138</v>
      </c>
      <c r="I4283" s="415">
        <v>2321.2566000000002</v>
      </c>
      <c r="J4283" s="415">
        <v>5334.92</v>
      </c>
      <c r="K4283" s="415">
        <v>5020.08</v>
      </c>
      <c r="L4283" s="415">
        <v>5949.13</v>
      </c>
      <c r="M4283" s="415">
        <v>5166.22</v>
      </c>
      <c r="N4283" s="415">
        <v>5830.2</v>
      </c>
      <c r="O4283" s="415">
        <v>5568.69</v>
      </c>
      <c r="P4283" s="415">
        <v>2514.91</v>
      </c>
      <c r="Q4283" s="481">
        <f t="shared" si="112"/>
        <v>3013.6633999999999</v>
      </c>
    </row>
    <row r="4284" spans="1:17" x14ac:dyDescent="0.3">
      <c r="A4284" s="366" t="str">
        <f>IFERROR(VLOOKUP(RIGHT(E4284,3)+0,[1]SchLocTable!$A$2:$B$47,2,FALSE)," ")</f>
        <v>Waltersville</v>
      </c>
      <c r="B4284" s="366" t="str">
        <f>VLOOKUP(VALUE(D4284),$D$3:F$106,3,FALSE)</f>
        <v>Custodians</v>
      </c>
      <c r="C4284" t="s">
        <v>314</v>
      </c>
      <c r="D4284">
        <v>887</v>
      </c>
      <c r="E4284" t="s">
        <v>1177</v>
      </c>
      <c r="F4284" t="s">
        <v>452</v>
      </c>
      <c r="G4284" t="s">
        <v>319</v>
      </c>
      <c r="H4284" s="502">
        <v>51108</v>
      </c>
      <c r="I4284" s="415">
        <v>10744.6248</v>
      </c>
      <c r="J4284" s="415">
        <v>4701.79</v>
      </c>
      <c r="K4284" s="415">
        <v>1529.95</v>
      </c>
      <c r="L4284" s="415">
        <v>2028.76</v>
      </c>
      <c r="M4284" s="415">
        <v>3781.31</v>
      </c>
      <c r="N4284" s="415">
        <v>6848.97</v>
      </c>
      <c r="O4284" s="415">
        <v>892.4</v>
      </c>
      <c r="P4284" s="415">
        <v>6627.52</v>
      </c>
      <c r="Q4284" s="481">
        <f t="shared" si="112"/>
        <v>-6042.8347999999996</v>
      </c>
    </row>
    <row r="4285" spans="1:17" x14ac:dyDescent="0.3">
      <c r="A4285" s="366" t="str">
        <f>IFERROR(VLOOKUP(RIGHT(E4285,3)+0,[1]SchLocTable!$A$2:$B$47,2,FALSE)," ")</f>
        <v>Waltersville</v>
      </c>
      <c r="B4285" s="366" t="str">
        <f>VLOOKUP(VALUE(D4285),$D$3:F$106,3,FALSE)</f>
        <v>Custodians</v>
      </c>
      <c r="C4285" t="s">
        <v>314</v>
      </c>
      <c r="D4285">
        <v>887</v>
      </c>
      <c r="E4285" t="s">
        <v>1177</v>
      </c>
      <c r="F4285" t="s">
        <v>483</v>
      </c>
      <c r="G4285" t="s">
        <v>319</v>
      </c>
      <c r="H4285" s="502">
        <v>51122</v>
      </c>
      <c r="I4285" s="415">
        <v>60393.282560000007</v>
      </c>
      <c r="J4285" s="415">
        <v>21946.5</v>
      </c>
      <c r="K4285" s="415">
        <v>14662.32</v>
      </c>
      <c r="L4285" s="415">
        <v>7358.07</v>
      </c>
      <c r="M4285" s="415">
        <v>6725.31</v>
      </c>
      <c r="N4285" s="415">
        <v>21213.86</v>
      </c>
      <c r="O4285" s="415">
        <v>3728</v>
      </c>
      <c r="P4285" s="415">
        <v>24515.37</v>
      </c>
      <c r="Q4285" s="481">
        <f t="shared" si="112"/>
        <v>-38446.782560000007</v>
      </c>
    </row>
    <row r="4286" spans="1:17" x14ac:dyDescent="0.3">
      <c r="A4286" s="366" t="str">
        <f>IFERROR(VLOOKUP(RIGHT(E4286,3)+0,[1]SchLocTable!$A$2:$B$47,2,FALSE)," ")</f>
        <v>Waltersville</v>
      </c>
      <c r="B4286" s="366" t="str">
        <f>VLOOKUP(VALUE(D4286),$D$3:F$106,3,FALSE)</f>
        <v>Custodians</v>
      </c>
      <c r="C4286" t="s">
        <v>314</v>
      </c>
      <c r="D4286">
        <v>887</v>
      </c>
      <c r="E4286" t="s">
        <v>1177</v>
      </c>
      <c r="F4286" t="s">
        <v>324</v>
      </c>
      <c r="G4286" t="s">
        <v>319</v>
      </c>
      <c r="H4286" s="502">
        <v>52385</v>
      </c>
      <c r="I4286" s="415">
        <v>0</v>
      </c>
      <c r="J4286" s="415">
        <v>0</v>
      </c>
      <c r="K4286" s="415">
        <v>0</v>
      </c>
      <c r="L4286" s="415">
        <v>0</v>
      </c>
      <c r="M4286" s="415">
        <v>1282.47</v>
      </c>
      <c r="N4286" s="415">
        <v>6.18</v>
      </c>
      <c r="O4286" s="415">
        <v>0</v>
      </c>
      <c r="P4286" s="415">
        <v>0</v>
      </c>
      <c r="Q4286" s="481">
        <f t="shared" si="112"/>
        <v>0</v>
      </c>
    </row>
    <row r="4287" spans="1:17" x14ac:dyDescent="0.3">
      <c r="A4287" s="366" t="str">
        <f>IFERROR(VLOOKUP(RIGHT(E4287,3)+0,[1]SchLocTable!$A$2:$B$47,2,FALSE)," ")</f>
        <v>Waltersville</v>
      </c>
      <c r="B4287" s="366" t="str">
        <f>VLOOKUP(VALUE(D4287),$D$3:F$106,3,FALSE)</f>
        <v>Custodians</v>
      </c>
      <c r="C4287" t="s">
        <v>314</v>
      </c>
      <c r="D4287">
        <v>887</v>
      </c>
      <c r="E4287" t="s">
        <v>1177</v>
      </c>
      <c r="F4287" t="s">
        <v>329</v>
      </c>
      <c r="G4287" t="s">
        <v>319</v>
      </c>
      <c r="H4287" s="502">
        <v>51154</v>
      </c>
      <c r="I4287" s="415">
        <v>4155.9573</v>
      </c>
      <c r="J4287" s="415">
        <v>0</v>
      </c>
      <c r="K4287" s="415">
        <v>0</v>
      </c>
      <c r="L4287" s="415">
        <v>0</v>
      </c>
      <c r="M4287" s="415">
        <v>0</v>
      </c>
      <c r="N4287" s="415">
        <v>0</v>
      </c>
      <c r="O4287" s="415">
        <v>0</v>
      </c>
      <c r="P4287" s="415">
        <v>6757.31</v>
      </c>
      <c r="Q4287" s="481">
        <f t="shared" ref="Q4287:Q4350" si="113">J4287-I4287</f>
        <v>-4155.9573</v>
      </c>
    </row>
    <row r="4288" spans="1:17" x14ac:dyDescent="0.3">
      <c r="A4288" s="366" t="str">
        <f>IFERROR(VLOOKUP(RIGHT(E4288,3)+0,[1]SchLocTable!$A$2:$B$47,2,FALSE)," ")</f>
        <v>Waltersville</v>
      </c>
      <c r="B4288" s="366" t="str">
        <f>VLOOKUP(VALUE(D4288),$D$3:F$106,3,FALSE)</f>
        <v>Custodians</v>
      </c>
      <c r="C4288" t="s">
        <v>314</v>
      </c>
      <c r="D4288">
        <v>887</v>
      </c>
      <c r="E4288" t="s">
        <v>1177</v>
      </c>
      <c r="F4288" t="s">
        <v>418</v>
      </c>
      <c r="G4288" t="s">
        <v>319</v>
      </c>
      <c r="H4288" s="502">
        <v>51314</v>
      </c>
      <c r="I4288" s="415">
        <v>4783.835</v>
      </c>
      <c r="J4288" s="415">
        <v>0</v>
      </c>
      <c r="K4288" s="415">
        <v>0</v>
      </c>
      <c r="L4288" s="415">
        <v>0</v>
      </c>
      <c r="M4288" s="415">
        <v>0</v>
      </c>
      <c r="N4288" s="415">
        <v>0</v>
      </c>
      <c r="O4288" s="415">
        <v>0</v>
      </c>
      <c r="P4288" s="415">
        <v>3024.96</v>
      </c>
      <c r="Q4288" s="481">
        <f t="shared" si="113"/>
        <v>-4783.835</v>
      </c>
    </row>
    <row r="4289" spans="1:17" x14ac:dyDescent="0.3">
      <c r="A4289" s="366" t="str">
        <f>IFERROR(VLOOKUP(RIGHT(E4289,3)+0,[1]SchLocTable!$A$2:$B$47,2,FALSE)," ")</f>
        <v>Claytor</v>
      </c>
      <c r="B4289" s="366" t="str">
        <f>VLOOKUP(VALUE(D4289),$D$3:F$106,3,FALSE)</f>
        <v>Custodians</v>
      </c>
      <c r="C4289" t="s">
        <v>314</v>
      </c>
      <c r="D4289">
        <v>887</v>
      </c>
      <c r="E4289" t="s">
        <v>1178</v>
      </c>
      <c r="F4289" t="s">
        <v>1089</v>
      </c>
      <c r="G4289" t="s">
        <v>319</v>
      </c>
      <c r="H4289" s="502">
        <v>51102</v>
      </c>
      <c r="I4289" s="415">
        <v>12830.688</v>
      </c>
      <c r="J4289" s="415">
        <v>0</v>
      </c>
      <c r="K4289" s="415">
        <v>0</v>
      </c>
      <c r="L4289" s="415">
        <v>430.64</v>
      </c>
      <c r="M4289" s="415">
        <v>784.96</v>
      </c>
      <c r="N4289" s="415">
        <v>4666.87</v>
      </c>
      <c r="O4289" s="415">
        <v>2280.29</v>
      </c>
      <c r="P4289" s="415">
        <v>1772.48</v>
      </c>
      <c r="Q4289" s="481">
        <f t="shared" si="113"/>
        <v>-12830.688</v>
      </c>
    </row>
    <row r="4290" spans="1:17" x14ac:dyDescent="0.3">
      <c r="A4290" s="366" t="str">
        <f>IFERROR(VLOOKUP(RIGHT(E4290,3)+0,[1]SchLocTable!$A$2:$B$47,2,FALSE)," ")</f>
        <v>Claytor</v>
      </c>
      <c r="B4290" s="366" t="str">
        <f>VLOOKUP(VALUE(D4290),$D$3:F$106,3,FALSE)</f>
        <v>Custodians</v>
      </c>
      <c r="C4290" t="s">
        <v>314</v>
      </c>
      <c r="D4290">
        <v>887</v>
      </c>
      <c r="E4290" t="s">
        <v>1178</v>
      </c>
      <c r="F4290" t="s">
        <v>316</v>
      </c>
      <c r="G4290">
        <v>3</v>
      </c>
      <c r="H4290" s="502">
        <v>51000</v>
      </c>
      <c r="I4290" s="415">
        <v>146286.74257599999</v>
      </c>
      <c r="J4290" s="415">
        <v>137046</v>
      </c>
      <c r="K4290" s="415">
        <v>164159.25</v>
      </c>
      <c r="L4290" s="415">
        <v>156902.85</v>
      </c>
      <c r="M4290" s="415">
        <v>144464.43</v>
      </c>
      <c r="N4290" s="415">
        <v>152094.45000000001</v>
      </c>
      <c r="O4290" s="415">
        <v>135820.84</v>
      </c>
      <c r="P4290" s="415">
        <v>150820.35999999999</v>
      </c>
      <c r="Q4290" s="481">
        <f t="shared" si="113"/>
        <v>-9240.7425759999896</v>
      </c>
    </row>
    <row r="4291" spans="1:17" x14ac:dyDescent="0.3">
      <c r="A4291" s="366" t="str">
        <f>IFERROR(VLOOKUP(RIGHT(E4291,3)+0,[1]SchLocTable!$A$2:$B$47,2,FALSE)," ")</f>
        <v>Claytor</v>
      </c>
      <c r="B4291" s="366" t="str">
        <f>VLOOKUP(VALUE(D4291),$D$3:F$106,3,FALSE)</f>
        <v>Custodians</v>
      </c>
      <c r="C4291" t="s">
        <v>314</v>
      </c>
      <c r="D4291">
        <v>887</v>
      </c>
      <c r="E4291" t="s">
        <v>1178</v>
      </c>
      <c r="F4291" t="s">
        <v>321</v>
      </c>
      <c r="G4291" t="s">
        <v>319</v>
      </c>
      <c r="H4291" s="502">
        <v>52917</v>
      </c>
      <c r="I4291" s="415">
        <v>58879.392</v>
      </c>
      <c r="J4291" s="415">
        <v>47246.26</v>
      </c>
      <c r="K4291" s="415">
        <v>75601.58</v>
      </c>
      <c r="L4291" s="415">
        <v>78458.740000000005</v>
      </c>
      <c r="M4291" s="415">
        <v>70550.66</v>
      </c>
      <c r="N4291" s="415">
        <v>63155.08</v>
      </c>
      <c r="O4291" s="415">
        <v>60384.04</v>
      </c>
      <c r="P4291" s="415">
        <v>58631.06</v>
      </c>
      <c r="Q4291" s="481">
        <f t="shared" si="113"/>
        <v>-11633.131999999998</v>
      </c>
    </row>
    <row r="4292" spans="1:17" x14ac:dyDescent="0.3">
      <c r="A4292" s="366" t="str">
        <f>IFERROR(VLOOKUP(RIGHT(E4292,3)+0,[1]SchLocTable!$A$2:$B$47,2,FALSE)," ")</f>
        <v>Claytor</v>
      </c>
      <c r="B4292" s="366" t="str">
        <f>VLOOKUP(VALUE(D4292),$D$3:F$106,3,FALSE)</f>
        <v>Custodians</v>
      </c>
      <c r="C4292" t="s">
        <v>314</v>
      </c>
      <c r="D4292">
        <v>887</v>
      </c>
      <c r="E4292" t="s">
        <v>1178</v>
      </c>
      <c r="F4292" t="s">
        <v>1087</v>
      </c>
      <c r="G4292" t="s">
        <v>319</v>
      </c>
      <c r="H4292" s="502">
        <v>51116</v>
      </c>
      <c r="I4292" s="415">
        <v>327.69450000000001</v>
      </c>
      <c r="J4292" s="415">
        <v>0</v>
      </c>
      <c r="K4292" s="415">
        <v>0</v>
      </c>
      <c r="L4292" s="415">
        <v>205.73</v>
      </c>
      <c r="M4292" s="415">
        <v>0</v>
      </c>
      <c r="N4292" s="415">
        <v>0</v>
      </c>
      <c r="O4292" s="415">
        <v>0</v>
      </c>
      <c r="P4292" s="415">
        <v>0</v>
      </c>
      <c r="Q4292" s="481">
        <f t="shared" si="113"/>
        <v>-327.69450000000001</v>
      </c>
    </row>
    <row r="4293" spans="1:17" x14ac:dyDescent="0.3">
      <c r="A4293" s="366" t="str">
        <f>IFERROR(VLOOKUP(RIGHT(E4293,3)+0,[1]SchLocTable!$A$2:$B$47,2,FALSE)," ")</f>
        <v>Claytor</v>
      </c>
      <c r="B4293" s="366" t="str">
        <f>VLOOKUP(VALUE(D4293),$D$3:F$106,3,FALSE)</f>
        <v>Custodians</v>
      </c>
      <c r="C4293" t="s">
        <v>314</v>
      </c>
      <c r="D4293">
        <v>887</v>
      </c>
      <c r="E4293" t="s">
        <v>1178</v>
      </c>
      <c r="F4293" t="s">
        <v>318</v>
      </c>
      <c r="G4293" t="s">
        <v>319</v>
      </c>
      <c r="H4293" s="502">
        <v>51140</v>
      </c>
      <c r="I4293" s="415">
        <v>0</v>
      </c>
      <c r="J4293" s="415">
        <v>0</v>
      </c>
      <c r="K4293" s="415">
        <v>750</v>
      </c>
      <c r="L4293" s="415">
        <v>1350</v>
      </c>
      <c r="M4293" s="415">
        <v>1275</v>
      </c>
      <c r="N4293" s="415">
        <v>1200</v>
      </c>
      <c r="O4293" s="415">
        <v>1125</v>
      </c>
      <c r="P4293" s="415">
        <v>1050</v>
      </c>
      <c r="Q4293" s="481">
        <f t="shared" si="113"/>
        <v>0</v>
      </c>
    </row>
    <row r="4294" spans="1:17" x14ac:dyDescent="0.3">
      <c r="A4294" s="366" t="str">
        <f>IFERROR(VLOOKUP(RIGHT(E4294,3)+0,[1]SchLocTable!$A$2:$B$47,2,FALSE)," ")</f>
        <v>Claytor</v>
      </c>
      <c r="B4294" s="366" t="str">
        <f>VLOOKUP(VALUE(D4294),$D$3:F$106,3,FALSE)</f>
        <v>Custodians</v>
      </c>
      <c r="C4294" t="s">
        <v>314</v>
      </c>
      <c r="D4294">
        <v>887</v>
      </c>
      <c r="E4294" t="s">
        <v>1178</v>
      </c>
      <c r="F4294" t="s">
        <v>320</v>
      </c>
      <c r="G4294" t="s">
        <v>319</v>
      </c>
      <c r="H4294" s="502">
        <v>52360</v>
      </c>
      <c r="I4294" s="415">
        <v>2905.4057086339999</v>
      </c>
      <c r="J4294" s="415">
        <v>1523</v>
      </c>
      <c r="K4294" s="415">
        <v>2912.43</v>
      </c>
      <c r="L4294" s="415">
        <v>2818.16</v>
      </c>
      <c r="M4294" s="415">
        <v>2230.87</v>
      </c>
      <c r="N4294" s="415">
        <v>2452.71</v>
      </c>
      <c r="O4294" s="415">
        <v>2038.83</v>
      </c>
      <c r="P4294" s="415">
        <v>2362.52</v>
      </c>
      <c r="Q4294" s="481">
        <f t="shared" si="113"/>
        <v>-1382.4057086339999</v>
      </c>
    </row>
    <row r="4295" spans="1:17" x14ac:dyDescent="0.3">
      <c r="A4295" s="366" t="str">
        <f>IFERROR(VLOOKUP(RIGHT(E4295,3)+0,[1]SchLocTable!$A$2:$B$47,2,FALSE)," ")</f>
        <v>Claytor</v>
      </c>
      <c r="B4295" s="366" t="str">
        <f>VLOOKUP(VALUE(D4295),$D$3:F$106,3,FALSE)</f>
        <v>Custodians</v>
      </c>
      <c r="C4295" t="s">
        <v>314</v>
      </c>
      <c r="D4295">
        <v>887</v>
      </c>
      <c r="E4295" t="s">
        <v>1178</v>
      </c>
      <c r="F4295" t="s">
        <v>392</v>
      </c>
      <c r="G4295" t="s">
        <v>319</v>
      </c>
      <c r="H4295" s="502">
        <v>52504</v>
      </c>
      <c r="I4295" s="415">
        <v>41637.469396837601</v>
      </c>
      <c r="J4295" s="415">
        <v>28635</v>
      </c>
      <c r="K4295" s="415">
        <v>43255.83</v>
      </c>
      <c r="L4295" s="415">
        <v>43432.11</v>
      </c>
      <c r="M4295" s="415">
        <v>38519.5</v>
      </c>
      <c r="N4295" s="415">
        <v>35627.769999999997</v>
      </c>
      <c r="O4295" s="415">
        <v>27953.06</v>
      </c>
      <c r="P4295" s="415">
        <v>26190.28</v>
      </c>
      <c r="Q4295" s="481">
        <f t="shared" si="113"/>
        <v>-13002.469396837601</v>
      </c>
    </row>
    <row r="4296" spans="1:17" x14ac:dyDescent="0.3">
      <c r="A4296" s="366" t="str">
        <f>IFERROR(VLOOKUP(RIGHT(E4296,3)+0,[1]SchLocTable!$A$2:$B$47,2,FALSE)," ")</f>
        <v>Claytor</v>
      </c>
      <c r="B4296" s="366" t="str">
        <f>VLOOKUP(VALUE(D4296),$D$3:F$106,3,FALSE)</f>
        <v>Custodians</v>
      </c>
      <c r="C4296" t="s">
        <v>314</v>
      </c>
      <c r="D4296">
        <v>887</v>
      </c>
      <c r="E4296" t="s">
        <v>1178</v>
      </c>
      <c r="F4296" t="s">
        <v>1090</v>
      </c>
      <c r="G4296" t="s">
        <v>319</v>
      </c>
      <c r="H4296" s="502">
        <v>51138</v>
      </c>
      <c r="I4296" s="415">
        <v>4771.9204520000003</v>
      </c>
      <c r="J4296" s="415">
        <v>4394.8100000000004</v>
      </c>
      <c r="K4296" s="415">
        <v>3769.59</v>
      </c>
      <c r="L4296" s="415">
        <v>4149.33</v>
      </c>
      <c r="M4296" s="415">
        <v>4220.21</v>
      </c>
      <c r="N4296" s="415">
        <v>2625.71</v>
      </c>
      <c r="O4296" s="415">
        <v>3948.87</v>
      </c>
      <c r="P4296" s="415">
        <v>3792.42</v>
      </c>
      <c r="Q4296" s="481">
        <f t="shared" si="113"/>
        <v>-377.1104519999999</v>
      </c>
    </row>
    <row r="4297" spans="1:17" x14ac:dyDescent="0.3">
      <c r="A4297" s="366" t="str">
        <f>IFERROR(VLOOKUP(RIGHT(E4297,3)+0,[1]SchLocTable!$A$2:$B$47,2,FALSE)," ")</f>
        <v>Claytor</v>
      </c>
      <c r="B4297" s="366" t="str">
        <f>VLOOKUP(VALUE(D4297),$D$3:F$106,3,FALSE)</f>
        <v>Custodians</v>
      </c>
      <c r="C4297" t="s">
        <v>314</v>
      </c>
      <c r="D4297">
        <v>887</v>
      </c>
      <c r="E4297" t="s">
        <v>1178</v>
      </c>
      <c r="F4297" t="s">
        <v>452</v>
      </c>
      <c r="G4297" t="s">
        <v>319</v>
      </c>
      <c r="H4297" s="502">
        <v>51108</v>
      </c>
      <c r="I4297" s="415">
        <v>5707.610999999999</v>
      </c>
      <c r="J4297" s="415">
        <v>142.28</v>
      </c>
      <c r="K4297" s="415">
        <v>2355.58</v>
      </c>
      <c r="L4297" s="415">
        <v>6732.31</v>
      </c>
      <c r="M4297" s="415">
        <v>4587.5600000000004</v>
      </c>
      <c r="N4297" s="415">
        <v>1984.95</v>
      </c>
      <c r="O4297" s="415">
        <v>6042.04</v>
      </c>
      <c r="P4297" s="415">
        <v>4042.3</v>
      </c>
      <c r="Q4297" s="481">
        <f t="shared" si="113"/>
        <v>-5565.3309999999992</v>
      </c>
    </row>
    <row r="4298" spans="1:17" x14ac:dyDescent="0.3">
      <c r="A4298" s="366" t="str">
        <f>IFERROR(VLOOKUP(RIGHT(E4298,3)+0,[1]SchLocTable!$A$2:$B$47,2,FALSE)," ")</f>
        <v>Claytor</v>
      </c>
      <c r="B4298" s="366" t="str">
        <f>VLOOKUP(VALUE(D4298),$D$3:F$106,3,FALSE)</f>
        <v>Custodians</v>
      </c>
      <c r="C4298" t="s">
        <v>314</v>
      </c>
      <c r="D4298">
        <v>887</v>
      </c>
      <c r="E4298" t="s">
        <v>1178</v>
      </c>
      <c r="F4298" t="s">
        <v>483</v>
      </c>
      <c r="G4298" t="s">
        <v>319</v>
      </c>
      <c r="H4298" s="502">
        <v>51122</v>
      </c>
      <c r="I4298" s="415">
        <v>30936.397980800004</v>
      </c>
      <c r="J4298" s="415">
        <v>15061.65</v>
      </c>
      <c r="K4298" s="415">
        <v>50599.77</v>
      </c>
      <c r="L4298" s="415">
        <v>29218.37</v>
      </c>
      <c r="M4298" s="415">
        <v>1032.0899999999999</v>
      </c>
      <c r="N4298" s="415">
        <v>17411.43</v>
      </c>
      <c r="O4298" s="415">
        <v>10704.71</v>
      </c>
      <c r="P4298" s="415">
        <v>8869.4599999999991</v>
      </c>
      <c r="Q4298" s="481">
        <f t="shared" si="113"/>
        <v>-15874.747980800004</v>
      </c>
    </row>
    <row r="4299" spans="1:17" x14ac:dyDescent="0.3">
      <c r="A4299" s="366" t="str">
        <f>IFERROR(VLOOKUP(RIGHT(E4299,3)+0,[1]SchLocTable!$A$2:$B$47,2,FALSE)," ")</f>
        <v>Claytor</v>
      </c>
      <c r="B4299" s="366" t="str">
        <f>VLOOKUP(VALUE(D4299),$D$3:F$106,3,FALSE)</f>
        <v>Custodians</v>
      </c>
      <c r="C4299" t="s">
        <v>314</v>
      </c>
      <c r="D4299">
        <v>887</v>
      </c>
      <c r="E4299" t="s">
        <v>1178</v>
      </c>
      <c r="F4299" t="s">
        <v>1148</v>
      </c>
      <c r="G4299" t="s">
        <v>319</v>
      </c>
      <c r="H4299" s="502">
        <v>51124</v>
      </c>
      <c r="I4299" s="415">
        <v>0</v>
      </c>
      <c r="J4299" s="415">
        <v>0</v>
      </c>
      <c r="K4299" s="415">
        <v>0</v>
      </c>
      <c r="L4299" s="415">
        <v>0</v>
      </c>
      <c r="M4299" s="415">
        <v>0</v>
      </c>
      <c r="N4299" s="415">
        <v>0</v>
      </c>
      <c r="O4299" s="415">
        <v>0</v>
      </c>
      <c r="P4299" s="415">
        <v>0</v>
      </c>
      <c r="Q4299" s="481">
        <f t="shared" si="113"/>
        <v>0</v>
      </c>
    </row>
    <row r="4300" spans="1:17" x14ac:dyDescent="0.3">
      <c r="A4300" s="366" t="str">
        <f>IFERROR(VLOOKUP(RIGHT(E4300,3)+0,[1]SchLocTable!$A$2:$B$47,2,FALSE)," ")</f>
        <v>Claytor</v>
      </c>
      <c r="B4300" s="366" t="str">
        <f>VLOOKUP(VALUE(D4300),$D$3:F$106,3,FALSE)</f>
        <v>Custodians</v>
      </c>
      <c r="C4300" t="s">
        <v>314</v>
      </c>
      <c r="D4300">
        <v>887</v>
      </c>
      <c r="E4300" t="s">
        <v>1178</v>
      </c>
      <c r="F4300" t="s">
        <v>324</v>
      </c>
      <c r="G4300" t="s">
        <v>319</v>
      </c>
      <c r="H4300" s="502">
        <v>52385</v>
      </c>
      <c r="I4300" s="415">
        <v>0</v>
      </c>
      <c r="J4300" s="415">
        <v>0</v>
      </c>
      <c r="K4300" s="415">
        <v>510.66</v>
      </c>
      <c r="L4300" s="415">
        <v>397.83</v>
      </c>
      <c r="M4300" s="415">
        <v>0</v>
      </c>
      <c r="N4300" s="415">
        <v>41.22</v>
      </c>
      <c r="O4300" s="415">
        <v>0</v>
      </c>
      <c r="P4300" s="415">
        <v>0</v>
      </c>
      <c r="Q4300" s="481">
        <f t="shared" si="113"/>
        <v>0</v>
      </c>
    </row>
    <row r="4301" spans="1:17" x14ac:dyDescent="0.3">
      <c r="A4301" s="366" t="str">
        <f>IFERROR(VLOOKUP(RIGHT(E4301,3)+0,[1]SchLocTable!$A$2:$B$47,2,FALSE)," ")</f>
        <v>Claytor</v>
      </c>
      <c r="B4301" s="366" t="str">
        <f>VLOOKUP(VALUE(D4301),$D$3:F$106,3,FALSE)</f>
        <v>Custodians</v>
      </c>
      <c r="C4301" t="s">
        <v>314</v>
      </c>
      <c r="D4301">
        <v>887</v>
      </c>
      <c r="E4301" t="s">
        <v>1178</v>
      </c>
      <c r="F4301" t="s">
        <v>329</v>
      </c>
      <c r="G4301" t="s">
        <v>319</v>
      </c>
      <c r="H4301" s="502">
        <v>51154</v>
      </c>
      <c r="I4301" s="415">
        <v>20091.6744</v>
      </c>
      <c r="J4301" s="415">
        <v>0</v>
      </c>
      <c r="K4301" s="415">
        <v>7296.17</v>
      </c>
      <c r="L4301" s="415">
        <v>0</v>
      </c>
      <c r="M4301" s="415">
        <v>0</v>
      </c>
      <c r="N4301" s="415">
        <v>0</v>
      </c>
      <c r="O4301" s="415">
        <v>0</v>
      </c>
      <c r="P4301" s="415">
        <v>0</v>
      </c>
      <c r="Q4301" s="481">
        <f t="shared" si="113"/>
        <v>-20091.6744</v>
      </c>
    </row>
    <row r="4302" spans="1:17" x14ac:dyDescent="0.3">
      <c r="A4302" s="366" t="str">
        <f>IFERROR(VLOOKUP(RIGHT(E4302,3)+0,[1]SchLocTable!$A$2:$B$47,2,FALSE)," ")</f>
        <v>Claytor</v>
      </c>
      <c r="B4302" s="366" t="str">
        <f>VLOOKUP(VALUE(D4302),$D$3:F$106,3,FALSE)</f>
        <v>Custodians</v>
      </c>
      <c r="C4302" t="s">
        <v>314</v>
      </c>
      <c r="D4302">
        <v>887</v>
      </c>
      <c r="E4302" t="s">
        <v>1178</v>
      </c>
      <c r="F4302" t="s">
        <v>418</v>
      </c>
      <c r="G4302" t="s">
        <v>319</v>
      </c>
      <c r="H4302" s="502">
        <v>51314</v>
      </c>
      <c r="I4302" s="415">
        <v>3922.8271000000004</v>
      </c>
      <c r="J4302" s="415">
        <v>0</v>
      </c>
      <c r="K4302" s="415">
        <v>2705.86</v>
      </c>
      <c r="L4302" s="415">
        <v>0</v>
      </c>
      <c r="M4302" s="415">
        <v>0</v>
      </c>
      <c r="N4302" s="415">
        <v>0</v>
      </c>
      <c r="O4302" s="415">
        <v>645.58000000000004</v>
      </c>
      <c r="P4302" s="415">
        <v>0</v>
      </c>
      <c r="Q4302" s="481">
        <f t="shared" si="113"/>
        <v>-3922.8271000000004</v>
      </c>
    </row>
    <row r="4303" spans="1:17" x14ac:dyDescent="0.3">
      <c r="A4303" s="366" t="str">
        <f>IFERROR(VLOOKUP(RIGHT(E4303,3)+0,[1]SchLocTable!$A$2:$B$47,2,FALSE)," ")</f>
        <v>Claytor</v>
      </c>
      <c r="B4303" s="366" t="str">
        <f>VLOOKUP(VALUE(D4303),$D$3:F$106,3,FALSE)</f>
        <v>Custodians</v>
      </c>
      <c r="C4303" t="s">
        <v>314</v>
      </c>
      <c r="D4303">
        <v>887</v>
      </c>
      <c r="E4303" t="s">
        <v>1178</v>
      </c>
      <c r="F4303" t="s">
        <v>356</v>
      </c>
      <c r="G4303" t="s">
        <v>319</v>
      </c>
      <c r="H4303" s="502">
        <v>51156</v>
      </c>
      <c r="I4303" s="415">
        <v>0</v>
      </c>
      <c r="J4303" s="415">
        <v>0</v>
      </c>
      <c r="K4303" s="415">
        <v>917.44</v>
      </c>
      <c r="L4303" s="415">
        <v>2087.36</v>
      </c>
      <c r="M4303" s="415">
        <v>3277.67</v>
      </c>
      <c r="N4303" s="415">
        <v>5380.58</v>
      </c>
      <c r="O4303" s="415">
        <v>1643.26</v>
      </c>
      <c r="P4303" s="415">
        <v>0</v>
      </c>
      <c r="Q4303" s="481">
        <f t="shared" si="113"/>
        <v>0</v>
      </c>
    </row>
    <row r="4304" spans="1:17" x14ac:dyDescent="0.3">
      <c r="A4304" s="366" t="str">
        <f>IFERROR(VLOOKUP(RIGHT(E4304,3)+0,[1]SchLocTable!$A$2:$B$47,2,FALSE)," ")</f>
        <v>Johnson</v>
      </c>
      <c r="B4304" s="366" t="str">
        <f>VLOOKUP(VALUE(D4304),$D$3:F$106,3,FALSE)</f>
        <v>Custodians</v>
      </c>
      <c r="C4304" t="s">
        <v>314</v>
      </c>
      <c r="D4304">
        <v>887</v>
      </c>
      <c r="E4304" t="s">
        <v>1179</v>
      </c>
      <c r="F4304" t="s">
        <v>1089</v>
      </c>
      <c r="G4304" t="s">
        <v>319</v>
      </c>
      <c r="H4304" s="502">
        <v>51102</v>
      </c>
      <c r="I4304" s="415">
        <v>12852.215999999999</v>
      </c>
      <c r="J4304" s="415">
        <v>0</v>
      </c>
      <c r="K4304" s="415">
        <v>0</v>
      </c>
      <c r="L4304" s="415">
        <v>5832.4</v>
      </c>
      <c r="M4304" s="415">
        <v>12872.96</v>
      </c>
      <c r="N4304" s="415">
        <v>12435.55</v>
      </c>
      <c r="O4304" s="415">
        <v>1372.1</v>
      </c>
      <c r="P4304" s="415">
        <v>1507.95</v>
      </c>
      <c r="Q4304" s="481">
        <f t="shared" si="113"/>
        <v>-12852.215999999999</v>
      </c>
    </row>
    <row r="4305" spans="1:17" x14ac:dyDescent="0.3">
      <c r="A4305" s="366" t="str">
        <f>IFERROR(VLOOKUP(RIGHT(E4305,3)+0,[1]SchLocTable!$A$2:$B$47,2,FALSE)," ")</f>
        <v>Johnson</v>
      </c>
      <c r="B4305" s="366" t="str">
        <f>VLOOKUP(VALUE(D4305),$D$3:F$106,3,FALSE)</f>
        <v>Custodians</v>
      </c>
      <c r="C4305" t="s">
        <v>314</v>
      </c>
      <c r="D4305">
        <v>887</v>
      </c>
      <c r="E4305" t="s">
        <v>1179</v>
      </c>
      <c r="F4305" t="s">
        <v>316</v>
      </c>
      <c r="G4305">
        <v>2</v>
      </c>
      <c r="H4305" s="502">
        <v>51000</v>
      </c>
      <c r="I4305" s="415">
        <v>99986.795999999988</v>
      </c>
      <c r="J4305" s="415">
        <v>235537</v>
      </c>
      <c r="K4305" s="415">
        <v>238011.37</v>
      </c>
      <c r="L4305" s="415">
        <v>216190.18</v>
      </c>
      <c r="M4305" s="415">
        <v>183670.68</v>
      </c>
      <c r="N4305" s="415">
        <v>197642.98</v>
      </c>
      <c r="O4305" s="415">
        <v>222756.45</v>
      </c>
      <c r="P4305" s="415">
        <v>212827.24</v>
      </c>
      <c r="Q4305" s="481">
        <f t="shared" si="113"/>
        <v>135550.20400000003</v>
      </c>
    </row>
    <row r="4306" spans="1:17" x14ac:dyDescent="0.3">
      <c r="A4306" s="366" t="str">
        <f>IFERROR(VLOOKUP(RIGHT(E4306,3)+0,[1]SchLocTable!$A$2:$B$47,2,FALSE)," ")</f>
        <v>Johnson</v>
      </c>
      <c r="B4306" s="366" t="str">
        <f>VLOOKUP(VALUE(D4306),$D$3:F$106,3,FALSE)</f>
        <v>Custodians</v>
      </c>
      <c r="C4306" t="s">
        <v>314</v>
      </c>
      <c r="D4306">
        <v>887</v>
      </c>
      <c r="E4306" t="s">
        <v>1179</v>
      </c>
      <c r="F4306" t="s">
        <v>360</v>
      </c>
      <c r="G4306" t="s">
        <v>319</v>
      </c>
      <c r="H4306" s="502">
        <v>52920</v>
      </c>
      <c r="I4306" s="415">
        <v>0</v>
      </c>
      <c r="J4306" s="415">
        <v>500</v>
      </c>
      <c r="K4306" s="415">
        <v>500</v>
      </c>
      <c r="L4306" s="415">
        <v>500</v>
      </c>
      <c r="M4306" s="415">
        <v>1000</v>
      </c>
      <c r="N4306" s="415">
        <v>1250</v>
      </c>
      <c r="O4306" s="415">
        <v>4000</v>
      </c>
      <c r="P4306" s="415">
        <v>3000</v>
      </c>
      <c r="Q4306" s="481">
        <f t="shared" si="113"/>
        <v>500</v>
      </c>
    </row>
    <row r="4307" spans="1:17" x14ac:dyDescent="0.3">
      <c r="A4307" s="366" t="str">
        <f>IFERROR(VLOOKUP(RIGHT(E4307,3)+0,[1]SchLocTable!$A$2:$B$47,2,FALSE)," ")</f>
        <v>Johnson</v>
      </c>
      <c r="B4307" s="366" t="str">
        <f>VLOOKUP(VALUE(D4307),$D$3:F$106,3,FALSE)</f>
        <v>Custodians</v>
      </c>
      <c r="C4307" t="s">
        <v>314</v>
      </c>
      <c r="D4307">
        <v>887</v>
      </c>
      <c r="E4307" t="s">
        <v>1179</v>
      </c>
      <c r="F4307" t="s">
        <v>321</v>
      </c>
      <c r="G4307" t="s">
        <v>319</v>
      </c>
      <c r="H4307" s="502">
        <v>52917</v>
      </c>
      <c r="I4307" s="415">
        <v>59100.288</v>
      </c>
      <c r="J4307" s="415">
        <v>98068</v>
      </c>
      <c r="K4307" s="415">
        <v>90486.2</v>
      </c>
      <c r="L4307" s="415">
        <v>89367.98</v>
      </c>
      <c r="M4307" s="415">
        <v>60588.639999999999</v>
      </c>
      <c r="N4307" s="415">
        <v>55757.56</v>
      </c>
      <c r="O4307" s="415">
        <v>46050.82</v>
      </c>
      <c r="P4307" s="415">
        <v>48338.2</v>
      </c>
      <c r="Q4307" s="481">
        <f t="shared" si="113"/>
        <v>38967.712</v>
      </c>
    </row>
    <row r="4308" spans="1:17" x14ac:dyDescent="0.3">
      <c r="A4308" s="366" t="str">
        <f>IFERROR(VLOOKUP(RIGHT(E4308,3)+0,[1]SchLocTable!$A$2:$B$47,2,FALSE)," ")</f>
        <v>Johnson</v>
      </c>
      <c r="B4308" s="366" t="str">
        <f>VLOOKUP(VALUE(D4308),$D$3:F$106,3,FALSE)</f>
        <v>Custodians</v>
      </c>
      <c r="C4308" t="s">
        <v>314</v>
      </c>
      <c r="D4308">
        <v>887</v>
      </c>
      <c r="E4308" t="s">
        <v>1179</v>
      </c>
      <c r="F4308" t="s">
        <v>1087</v>
      </c>
      <c r="G4308" t="s">
        <v>319</v>
      </c>
      <c r="H4308" s="502">
        <v>51116</v>
      </c>
      <c r="I4308" s="415">
        <v>0</v>
      </c>
      <c r="J4308" s="415">
        <v>0</v>
      </c>
      <c r="K4308" s="415">
        <v>145.63</v>
      </c>
      <c r="L4308" s="415">
        <v>0</v>
      </c>
      <c r="M4308" s="415">
        <v>0</v>
      </c>
      <c r="N4308" s="415">
        <v>0</v>
      </c>
      <c r="O4308" s="415">
        <v>0</v>
      </c>
      <c r="P4308" s="415">
        <v>0</v>
      </c>
      <c r="Q4308" s="481">
        <f t="shared" si="113"/>
        <v>0</v>
      </c>
    </row>
    <row r="4309" spans="1:17" x14ac:dyDescent="0.3">
      <c r="A4309" s="366" t="str">
        <f>IFERROR(VLOOKUP(RIGHT(E4309,3)+0,[1]SchLocTable!$A$2:$B$47,2,FALSE)," ")</f>
        <v>Johnson</v>
      </c>
      <c r="B4309" s="366" t="str">
        <f>VLOOKUP(VALUE(D4309),$D$3:F$106,3,FALSE)</f>
        <v>Custodians</v>
      </c>
      <c r="C4309" t="s">
        <v>314</v>
      </c>
      <c r="D4309">
        <v>887</v>
      </c>
      <c r="E4309" t="s">
        <v>1179</v>
      </c>
      <c r="F4309" t="s">
        <v>318</v>
      </c>
      <c r="G4309" t="s">
        <v>319</v>
      </c>
      <c r="H4309" s="502">
        <v>51140</v>
      </c>
      <c r="I4309" s="415">
        <v>3225</v>
      </c>
      <c r="J4309" s="415">
        <v>3225</v>
      </c>
      <c r="K4309" s="415">
        <v>3000</v>
      </c>
      <c r="L4309" s="415">
        <v>2775</v>
      </c>
      <c r="M4309" s="415">
        <v>2175</v>
      </c>
      <c r="N4309" s="415">
        <v>1125</v>
      </c>
      <c r="O4309" s="415">
        <v>1875</v>
      </c>
      <c r="P4309" s="415">
        <v>1725</v>
      </c>
      <c r="Q4309" s="481">
        <f t="shared" si="113"/>
        <v>0</v>
      </c>
    </row>
    <row r="4310" spans="1:17" x14ac:dyDescent="0.3">
      <c r="A4310" s="366" t="str">
        <f>IFERROR(VLOOKUP(RIGHT(E4310,3)+0,[1]SchLocTable!$A$2:$B$47,2,FALSE)," ")</f>
        <v>Johnson</v>
      </c>
      <c r="B4310" s="366" t="str">
        <f>VLOOKUP(VALUE(D4310),$D$3:F$106,3,FALSE)</f>
        <v>Custodians</v>
      </c>
      <c r="C4310" t="s">
        <v>314</v>
      </c>
      <c r="D4310">
        <v>887</v>
      </c>
      <c r="E4310" t="s">
        <v>1179</v>
      </c>
      <c r="F4310" t="s">
        <v>320</v>
      </c>
      <c r="G4310" t="s">
        <v>319</v>
      </c>
      <c r="H4310" s="502">
        <v>52360</v>
      </c>
      <c r="I4310" s="415">
        <v>3125.5009695000003</v>
      </c>
      <c r="J4310" s="415">
        <v>2941</v>
      </c>
      <c r="K4310" s="415">
        <v>3735.85</v>
      </c>
      <c r="L4310" s="415">
        <v>3685.86</v>
      </c>
      <c r="M4310" s="415">
        <v>3540.42</v>
      </c>
      <c r="N4310" s="415">
        <v>3262.27</v>
      </c>
      <c r="O4310" s="415">
        <v>3528.14</v>
      </c>
      <c r="P4310" s="415">
        <v>3380.65</v>
      </c>
      <c r="Q4310" s="481">
        <f t="shared" si="113"/>
        <v>-184.50096950000034</v>
      </c>
    </row>
    <row r="4311" spans="1:17" x14ac:dyDescent="0.3">
      <c r="A4311" s="366" t="str">
        <f>IFERROR(VLOOKUP(RIGHT(E4311,3)+0,[1]SchLocTable!$A$2:$B$47,2,FALSE)," ")</f>
        <v>Johnson</v>
      </c>
      <c r="B4311" s="366" t="str">
        <f>VLOOKUP(VALUE(D4311),$D$3:F$106,3,FALSE)</f>
        <v>Custodians</v>
      </c>
      <c r="C4311" t="s">
        <v>314</v>
      </c>
      <c r="D4311">
        <v>887</v>
      </c>
      <c r="E4311" t="s">
        <v>1179</v>
      </c>
      <c r="F4311" t="s">
        <v>392</v>
      </c>
      <c r="G4311" t="s">
        <v>319</v>
      </c>
      <c r="H4311" s="502">
        <v>52504</v>
      </c>
      <c r="I4311" s="415">
        <v>44791.662169799994</v>
      </c>
      <c r="J4311" s="415">
        <v>49615</v>
      </c>
      <c r="K4311" s="415">
        <v>59257.68</v>
      </c>
      <c r="L4311" s="415">
        <v>54990.01</v>
      </c>
      <c r="M4311" s="415">
        <v>55929.74</v>
      </c>
      <c r="N4311" s="415">
        <v>47332.21</v>
      </c>
      <c r="O4311" s="415">
        <v>42014.12</v>
      </c>
      <c r="P4311" s="415">
        <v>35216.5</v>
      </c>
      <c r="Q4311" s="481">
        <f t="shared" si="113"/>
        <v>4823.3378302000056</v>
      </c>
    </row>
    <row r="4312" spans="1:17" x14ac:dyDescent="0.3">
      <c r="A4312" s="366" t="str">
        <f>IFERROR(VLOOKUP(RIGHT(E4312,3)+0,[1]SchLocTable!$A$2:$B$47,2,FALSE)," ")</f>
        <v>Johnson</v>
      </c>
      <c r="B4312" s="366" t="str">
        <f>VLOOKUP(VALUE(D4312),$D$3:F$106,3,FALSE)</f>
        <v>Custodians</v>
      </c>
      <c r="C4312" t="s">
        <v>314</v>
      </c>
      <c r="D4312">
        <v>887</v>
      </c>
      <c r="E4312" t="s">
        <v>1179</v>
      </c>
      <c r="F4312" t="s">
        <v>1090</v>
      </c>
      <c r="G4312" t="s">
        <v>319</v>
      </c>
      <c r="H4312" s="502">
        <v>51138</v>
      </c>
      <c r="I4312" s="415">
        <v>9285.0264000000006</v>
      </c>
      <c r="J4312" s="415">
        <v>6311.39</v>
      </c>
      <c r="K4312" s="415">
        <v>9500.7800000000007</v>
      </c>
      <c r="L4312" s="415">
        <v>5512.08</v>
      </c>
      <c r="M4312" s="415">
        <v>5731.74</v>
      </c>
      <c r="N4312" s="415">
        <v>6876.05</v>
      </c>
      <c r="O4312" s="415">
        <v>6795.87</v>
      </c>
      <c r="P4312" s="415">
        <v>5589.99</v>
      </c>
      <c r="Q4312" s="481">
        <f t="shared" si="113"/>
        <v>-2973.6364000000003</v>
      </c>
    </row>
    <row r="4313" spans="1:17" x14ac:dyDescent="0.3">
      <c r="A4313" s="366" t="str">
        <f>IFERROR(VLOOKUP(RIGHT(E4313,3)+0,[1]SchLocTable!$A$2:$B$47,2,FALSE)," ")</f>
        <v>Johnson</v>
      </c>
      <c r="B4313" s="366" t="str">
        <f>VLOOKUP(VALUE(D4313),$D$3:F$106,3,FALSE)</f>
        <v>Custodians</v>
      </c>
      <c r="C4313" t="s">
        <v>314</v>
      </c>
      <c r="D4313">
        <v>887</v>
      </c>
      <c r="E4313" t="s">
        <v>1179</v>
      </c>
      <c r="F4313" t="s">
        <v>452</v>
      </c>
      <c r="G4313" t="s">
        <v>319</v>
      </c>
      <c r="H4313" s="502">
        <v>51108</v>
      </c>
      <c r="I4313" s="415">
        <v>7294.7627999999995</v>
      </c>
      <c r="J4313" s="415">
        <v>2101.1799999999998</v>
      </c>
      <c r="K4313" s="415">
        <v>5036.78</v>
      </c>
      <c r="L4313" s="415">
        <v>3657.83</v>
      </c>
      <c r="M4313" s="415">
        <v>8571.7199999999993</v>
      </c>
      <c r="N4313" s="415">
        <v>6807.56</v>
      </c>
      <c r="O4313" s="415">
        <v>6852.56</v>
      </c>
      <c r="P4313" s="415">
        <v>3458.95</v>
      </c>
      <c r="Q4313" s="481">
        <f t="shared" si="113"/>
        <v>-5193.5828000000001</v>
      </c>
    </row>
    <row r="4314" spans="1:17" x14ac:dyDescent="0.3">
      <c r="A4314" s="366" t="str">
        <f>IFERROR(VLOOKUP(RIGHT(E4314,3)+0,[1]SchLocTable!$A$2:$B$47,2,FALSE)," ")</f>
        <v>Johnson</v>
      </c>
      <c r="B4314" s="366" t="str">
        <f>VLOOKUP(VALUE(D4314),$D$3:F$106,3,FALSE)</f>
        <v>Custodians</v>
      </c>
      <c r="C4314" t="s">
        <v>314</v>
      </c>
      <c r="D4314">
        <v>887</v>
      </c>
      <c r="E4314" t="s">
        <v>1179</v>
      </c>
      <c r="F4314" t="s">
        <v>483</v>
      </c>
      <c r="G4314" t="s">
        <v>319</v>
      </c>
      <c r="H4314" s="502">
        <v>51122</v>
      </c>
      <c r="I4314" s="415">
        <v>63780.283840000011</v>
      </c>
      <c r="J4314" s="415">
        <v>19200.21</v>
      </c>
      <c r="K4314" s="415">
        <v>23646.68</v>
      </c>
      <c r="L4314" s="415">
        <v>25107.06</v>
      </c>
      <c r="M4314" s="415">
        <v>19346.03</v>
      </c>
      <c r="N4314" s="415">
        <v>4916.6400000000003</v>
      </c>
      <c r="O4314" s="415">
        <v>14781.34</v>
      </c>
      <c r="P4314" s="415">
        <v>10612.48</v>
      </c>
      <c r="Q4314" s="481">
        <f t="shared" si="113"/>
        <v>-44580.073840000012</v>
      </c>
    </row>
    <row r="4315" spans="1:17" x14ac:dyDescent="0.3">
      <c r="A4315" s="366" t="str">
        <f>IFERROR(VLOOKUP(RIGHT(E4315,3)+0,[1]SchLocTable!$A$2:$B$47,2,FALSE)," ")</f>
        <v>Johnson</v>
      </c>
      <c r="B4315" s="366" t="str">
        <f>VLOOKUP(VALUE(D4315),$D$3:F$106,3,FALSE)</f>
        <v>Custodians</v>
      </c>
      <c r="C4315" t="s">
        <v>314</v>
      </c>
      <c r="D4315">
        <v>887</v>
      </c>
      <c r="E4315" t="s">
        <v>1179</v>
      </c>
      <c r="F4315" t="s">
        <v>324</v>
      </c>
      <c r="G4315" t="s">
        <v>319</v>
      </c>
      <c r="H4315" s="502">
        <v>52385</v>
      </c>
      <c r="I4315" s="415">
        <v>0</v>
      </c>
      <c r="J4315" s="415">
        <v>0</v>
      </c>
      <c r="K4315" s="415">
        <v>0</v>
      </c>
      <c r="L4315" s="415">
        <v>892.22</v>
      </c>
      <c r="M4315" s="415">
        <v>308.58</v>
      </c>
      <c r="N4315" s="415">
        <v>0</v>
      </c>
      <c r="O4315" s="415">
        <v>7.31</v>
      </c>
      <c r="P4315" s="415">
        <v>0</v>
      </c>
      <c r="Q4315" s="481">
        <f t="shared" si="113"/>
        <v>0</v>
      </c>
    </row>
    <row r="4316" spans="1:17" x14ac:dyDescent="0.3">
      <c r="A4316" s="366" t="str">
        <f>IFERROR(VLOOKUP(RIGHT(E4316,3)+0,[1]SchLocTable!$A$2:$B$47,2,FALSE)," ")</f>
        <v>Johnson</v>
      </c>
      <c r="B4316" s="366" t="str">
        <f>VLOOKUP(VALUE(D4316),$D$3:F$106,3,FALSE)</f>
        <v>Custodians</v>
      </c>
      <c r="C4316" t="s">
        <v>314</v>
      </c>
      <c r="D4316">
        <v>887</v>
      </c>
      <c r="E4316" t="s">
        <v>1179</v>
      </c>
      <c r="F4316" t="s">
        <v>356</v>
      </c>
      <c r="G4316" t="s">
        <v>319</v>
      </c>
      <c r="H4316" s="502">
        <v>51156</v>
      </c>
      <c r="I4316" s="415">
        <v>0</v>
      </c>
      <c r="J4316" s="415">
        <v>0</v>
      </c>
      <c r="K4316" s="415">
        <v>917.44</v>
      </c>
      <c r="L4316" s="415">
        <v>0</v>
      </c>
      <c r="M4316" s="415">
        <v>0</v>
      </c>
      <c r="N4316" s="415">
        <v>0</v>
      </c>
      <c r="O4316" s="415">
        <v>0</v>
      </c>
      <c r="P4316" s="415">
        <v>816.8</v>
      </c>
      <c r="Q4316" s="481">
        <f t="shared" si="113"/>
        <v>0</v>
      </c>
    </row>
    <row r="4317" spans="1:17" x14ac:dyDescent="0.3">
      <c r="A4317" s="366" t="str">
        <f>IFERROR(VLOOKUP(RIGHT(E4317,3)+0,[1]SchLocTable!$A$2:$B$47,2,FALSE)," ")</f>
        <v xml:space="preserve"> </v>
      </c>
      <c r="B4317" s="366" t="str">
        <f>VLOOKUP(VALUE(D4317),$D$3:F$106,3,FALSE)</f>
        <v>Custodians</v>
      </c>
      <c r="C4317" t="s">
        <v>314</v>
      </c>
      <c r="D4317">
        <v>887</v>
      </c>
      <c r="E4317" t="s">
        <v>1180</v>
      </c>
      <c r="F4317" t="s">
        <v>320</v>
      </c>
      <c r="G4317" t="s">
        <v>319</v>
      </c>
      <c r="H4317" s="502">
        <v>52360</v>
      </c>
      <c r="I4317" s="415">
        <v>0</v>
      </c>
      <c r="J4317" s="415">
        <v>0</v>
      </c>
      <c r="K4317" s="415">
        <v>6.85</v>
      </c>
      <c r="L4317" s="415">
        <v>0</v>
      </c>
      <c r="M4317" s="415">
        <v>0</v>
      </c>
      <c r="N4317" s="415">
        <v>0</v>
      </c>
      <c r="O4317" s="415">
        <v>0</v>
      </c>
      <c r="P4317" s="415">
        <v>0</v>
      </c>
      <c r="Q4317" s="481">
        <f t="shared" si="113"/>
        <v>0</v>
      </c>
    </row>
    <row r="4318" spans="1:17" x14ac:dyDescent="0.3">
      <c r="A4318" s="366" t="str">
        <f>IFERROR(VLOOKUP(RIGHT(E4318,3)+0,[1]SchLocTable!$A$2:$B$47,2,FALSE)," ")</f>
        <v xml:space="preserve"> </v>
      </c>
      <c r="B4318" s="366" t="str">
        <f>VLOOKUP(VALUE(D4318),$D$3:F$106,3,FALSE)</f>
        <v>Custodians</v>
      </c>
      <c r="C4318" t="s">
        <v>314</v>
      </c>
      <c r="D4318">
        <v>887</v>
      </c>
      <c r="E4318" t="s">
        <v>1180</v>
      </c>
      <c r="F4318" t="s">
        <v>392</v>
      </c>
      <c r="G4318" t="s">
        <v>319</v>
      </c>
      <c r="H4318" s="502">
        <v>52504</v>
      </c>
      <c r="I4318" s="415">
        <v>0</v>
      </c>
      <c r="J4318" s="415">
        <v>0</v>
      </c>
      <c r="K4318" s="415">
        <v>97.25</v>
      </c>
      <c r="L4318" s="415">
        <v>0</v>
      </c>
      <c r="M4318" s="415">
        <v>0</v>
      </c>
      <c r="N4318" s="415">
        <v>0</v>
      </c>
      <c r="O4318" s="415">
        <v>0</v>
      </c>
      <c r="P4318" s="415">
        <v>0</v>
      </c>
      <c r="Q4318" s="481">
        <f t="shared" si="113"/>
        <v>0</v>
      </c>
    </row>
    <row r="4319" spans="1:17" x14ac:dyDescent="0.3">
      <c r="A4319" s="366" t="str">
        <f>IFERROR(VLOOKUP(RIGHT(E4319,3)+0,[1]SchLocTable!$A$2:$B$47,2,FALSE)," ")</f>
        <v xml:space="preserve"> </v>
      </c>
      <c r="B4319" s="366" t="str">
        <f>VLOOKUP(VALUE(D4319),$D$3:F$106,3,FALSE)</f>
        <v>Custodians</v>
      </c>
      <c r="C4319" t="s">
        <v>314</v>
      </c>
      <c r="D4319">
        <v>887</v>
      </c>
      <c r="E4319" t="s">
        <v>1180</v>
      </c>
      <c r="F4319" t="s">
        <v>452</v>
      </c>
      <c r="G4319" t="s">
        <v>319</v>
      </c>
      <c r="H4319" s="502">
        <v>51108</v>
      </c>
      <c r="I4319" s="415">
        <v>0</v>
      </c>
      <c r="J4319" s="415">
        <v>0</v>
      </c>
      <c r="K4319" s="415">
        <v>453.36</v>
      </c>
      <c r="L4319" s="415">
        <v>0</v>
      </c>
      <c r="M4319" s="415">
        <v>0</v>
      </c>
      <c r="N4319" s="415">
        <v>0</v>
      </c>
      <c r="O4319" s="415">
        <v>0</v>
      </c>
      <c r="P4319" s="415">
        <v>0</v>
      </c>
      <c r="Q4319" s="481">
        <f t="shared" si="113"/>
        <v>0</v>
      </c>
    </row>
    <row r="4320" spans="1:17" x14ac:dyDescent="0.3">
      <c r="A4320" s="366" t="str">
        <f>IFERROR(VLOOKUP(RIGHT(E4320,3)+0,[1]SchLocTable!$A$2:$B$47,2,FALSE)," ")</f>
        <v xml:space="preserve"> </v>
      </c>
      <c r="B4320" s="366" t="str">
        <f>VLOOKUP(VALUE(D4320),$D$3:F$106,3,FALSE)</f>
        <v>Custodians</v>
      </c>
      <c r="C4320" t="s">
        <v>314</v>
      </c>
      <c r="D4320">
        <v>887</v>
      </c>
      <c r="E4320" t="s">
        <v>1180</v>
      </c>
      <c r="F4320" t="s">
        <v>483</v>
      </c>
      <c r="G4320" t="s">
        <v>319</v>
      </c>
      <c r="H4320" s="502">
        <v>51122</v>
      </c>
      <c r="I4320" s="415">
        <v>0</v>
      </c>
      <c r="J4320" s="415">
        <v>0</v>
      </c>
      <c r="K4320" s="415">
        <v>18.98</v>
      </c>
      <c r="L4320" s="415">
        <v>0</v>
      </c>
      <c r="M4320" s="415">
        <v>0</v>
      </c>
      <c r="N4320" s="415">
        <v>0</v>
      </c>
      <c r="O4320" s="415">
        <v>0</v>
      </c>
      <c r="P4320" s="415">
        <v>0</v>
      </c>
      <c r="Q4320" s="481">
        <f t="shared" si="113"/>
        <v>0</v>
      </c>
    </row>
    <row r="4321" spans="1:17" x14ac:dyDescent="0.3">
      <c r="A4321" s="366" t="str">
        <f>IFERROR(VLOOKUP(RIGHT(E4321,3)+0,[1]SchLocTable!$A$2:$B$47,2,FALSE)," ")</f>
        <v>Winthrop</v>
      </c>
      <c r="B4321" s="366" t="str">
        <f>VLOOKUP(VALUE(D4321),$D$3:F$106,3,FALSE)</f>
        <v>Custodians</v>
      </c>
      <c r="C4321" t="s">
        <v>314</v>
      </c>
      <c r="D4321">
        <v>887</v>
      </c>
      <c r="E4321" t="s">
        <v>1181</v>
      </c>
      <c r="F4321" t="s">
        <v>1089</v>
      </c>
      <c r="G4321" t="s">
        <v>319</v>
      </c>
      <c r="H4321" s="502">
        <v>51102</v>
      </c>
      <c r="I4321" s="415">
        <v>2669.4720000000002</v>
      </c>
      <c r="J4321" s="415">
        <v>0</v>
      </c>
      <c r="K4321" s="415">
        <v>0</v>
      </c>
      <c r="L4321" s="415">
        <v>4327.04</v>
      </c>
      <c r="M4321" s="415">
        <v>10684.49</v>
      </c>
      <c r="N4321" s="415">
        <v>5465.5</v>
      </c>
      <c r="O4321" s="415">
        <v>3470.44</v>
      </c>
      <c r="P4321" s="415">
        <v>4031.64</v>
      </c>
      <c r="Q4321" s="481">
        <f t="shared" si="113"/>
        <v>-2669.4720000000002</v>
      </c>
    </row>
    <row r="4322" spans="1:17" x14ac:dyDescent="0.3">
      <c r="A4322" s="366" t="str">
        <f>IFERROR(VLOOKUP(RIGHT(E4322,3)+0,[1]SchLocTable!$A$2:$B$47,2,FALSE)," ")</f>
        <v>Winthrop</v>
      </c>
      <c r="B4322" s="366" t="str">
        <f>VLOOKUP(VALUE(D4322),$D$3:F$106,3,FALSE)</f>
        <v>Custodians</v>
      </c>
      <c r="C4322" t="s">
        <v>314</v>
      </c>
      <c r="D4322">
        <v>887</v>
      </c>
      <c r="E4322" t="s">
        <v>1181</v>
      </c>
      <c r="F4322" t="s">
        <v>316</v>
      </c>
      <c r="G4322">
        <v>4</v>
      </c>
      <c r="H4322" s="502">
        <v>51000</v>
      </c>
      <c r="I4322" s="415">
        <v>225059.09399999998</v>
      </c>
      <c r="J4322" s="415">
        <v>212905</v>
      </c>
      <c r="K4322" s="415">
        <v>211463.34</v>
      </c>
      <c r="L4322" s="415">
        <v>217964.15</v>
      </c>
      <c r="M4322" s="415">
        <v>196321.46</v>
      </c>
      <c r="N4322" s="415">
        <v>182684.85</v>
      </c>
      <c r="O4322" s="415">
        <v>190055.74</v>
      </c>
      <c r="P4322" s="415">
        <v>158660.82999999999</v>
      </c>
      <c r="Q4322" s="481">
        <f t="shared" si="113"/>
        <v>-12154.093999999983</v>
      </c>
    </row>
    <row r="4323" spans="1:17" x14ac:dyDescent="0.3">
      <c r="A4323" s="366" t="str">
        <f>IFERROR(VLOOKUP(RIGHT(E4323,3)+0,[1]SchLocTable!$A$2:$B$47,2,FALSE)," ")</f>
        <v>Winthrop</v>
      </c>
      <c r="B4323" s="366" t="str">
        <f>VLOOKUP(VALUE(D4323),$D$3:F$106,3,FALSE)</f>
        <v>Custodians</v>
      </c>
      <c r="C4323" t="s">
        <v>314</v>
      </c>
      <c r="D4323">
        <v>887</v>
      </c>
      <c r="E4323" t="s">
        <v>1181</v>
      </c>
      <c r="F4323" t="s">
        <v>360</v>
      </c>
      <c r="G4323" t="s">
        <v>319</v>
      </c>
      <c r="H4323" s="502">
        <v>52920</v>
      </c>
      <c r="I4323" s="415">
        <v>4500</v>
      </c>
      <c r="J4323" s="415">
        <v>2583.35</v>
      </c>
      <c r="K4323" s="415">
        <v>2583.35</v>
      </c>
      <c r="L4323" s="415">
        <v>2625</v>
      </c>
      <c r="M4323" s="415">
        <v>3250</v>
      </c>
      <c r="N4323" s="415">
        <v>2750</v>
      </c>
      <c r="O4323" s="415">
        <v>500</v>
      </c>
      <c r="P4323" s="415">
        <v>500</v>
      </c>
      <c r="Q4323" s="481">
        <f t="shared" si="113"/>
        <v>-1916.65</v>
      </c>
    </row>
    <row r="4324" spans="1:17" x14ac:dyDescent="0.3">
      <c r="A4324" s="366" t="str">
        <f>IFERROR(VLOOKUP(RIGHT(E4324,3)+0,[1]SchLocTable!$A$2:$B$47,2,FALSE)," ")</f>
        <v>Winthrop</v>
      </c>
      <c r="B4324" s="366" t="str">
        <f>VLOOKUP(VALUE(D4324),$D$3:F$106,3,FALSE)</f>
        <v>Custodians</v>
      </c>
      <c r="C4324" t="s">
        <v>314</v>
      </c>
      <c r="D4324">
        <v>887</v>
      </c>
      <c r="E4324" t="s">
        <v>1181</v>
      </c>
      <c r="F4324" t="s">
        <v>321</v>
      </c>
      <c r="G4324" t="s">
        <v>319</v>
      </c>
      <c r="H4324" s="502">
        <v>52917</v>
      </c>
      <c r="I4324" s="415">
        <v>75523.968000000008</v>
      </c>
      <c r="J4324" s="415">
        <v>62200</v>
      </c>
      <c r="K4324" s="415">
        <v>47078.63</v>
      </c>
      <c r="L4324" s="415">
        <v>28563.75</v>
      </c>
      <c r="M4324" s="415">
        <v>16275.39</v>
      </c>
      <c r="N4324" s="415">
        <v>29359.68</v>
      </c>
      <c r="O4324" s="415">
        <v>51557.99</v>
      </c>
      <c r="P4324" s="415">
        <v>22900.13</v>
      </c>
      <c r="Q4324" s="481">
        <f t="shared" si="113"/>
        <v>-13323.968000000008</v>
      </c>
    </row>
    <row r="4325" spans="1:17" x14ac:dyDescent="0.3">
      <c r="A4325" s="366" t="str">
        <f>IFERROR(VLOOKUP(RIGHT(E4325,3)+0,[1]SchLocTable!$A$2:$B$47,2,FALSE)," ")</f>
        <v>Winthrop</v>
      </c>
      <c r="B4325" s="366" t="str">
        <f>VLOOKUP(VALUE(D4325),$D$3:F$106,3,FALSE)</f>
        <v>Custodians</v>
      </c>
      <c r="C4325" t="s">
        <v>314</v>
      </c>
      <c r="D4325">
        <v>887</v>
      </c>
      <c r="E4325" t="s">
        <v>1181</v>
      </c>
      <c r="F4325" t="s">
        <v>1087</v>
      </c>
      <c r="G4325" t="s">
        <v>319</v>
      </c>
      <c r="H4325" s="502">
        <v>51116</v>
      </c>
      <c r="I4325" s="415">
        <v>0</v>
      </c>
      <c r="J4325" s="415">
        <v>0</v>
      </c>
      <c r="K4325" s="415">
        <v>64.7</v>
      </c>
      <c r="L4325" s="415">
        <v>0</v>
      </c>
      <c r="M4325" s="415">
        <v>0</v>
      </c>
      <c r="N4325" s="415">
        <v>0</v>
      </c>
      <c r="O4325" s="415">
        <v>0</v>
      </c>
      <c r="P4325" s="415">
        <v>0</v>
      </c>
      <c r="Q4325" s="481">
        <f t="shared" si="113"/>
        <v>0</v>
      </c>
    </row>
    <row r="4326" spans="1:17" x14ac:dyDescent="0.3">
      <c r="A4326" s="366" t="str">
        <f>IFERROR(VLOOKUP(RIGHT(E4326,3)+0,[1]SchLocTable!$A$2:$B$47,2,FALSE)," ")</f>
        <v>Winthrop</v>
      </c>
      <c r="B4326" s="366" t="str">
        <f>VLOOKUP(VALUE(D4326),$D$3:F$106,3,FALSE)</f>
        <v>Custodians</v>
      </c>
      <c r="C4326" t="s">
        <v>314</v>
      </c>
      <c r="D4326">
        <v>887</v>
      </c>
      <c r="E4326" t="s">
        <v>1181</v>
      </c>
      <c r="F4326" t="s">
        <v>318</v>
      </c>
      <c r="G4326" t="s">
        <v>319</v>
      </c>
      <c r="H4326" s="502">
        <v>51140</v>
      </c>
      <c r="I4326" s="415">
        <v>3075</v>
      </c>
      <c r="J4326" s="415">
        <v>1650</v>
      </c>
      <c r="K4326" s="415">
        <v>2475</v>
      </c>
      <c r="L4326" s="415">
        <v>2255</v>
      </c>
      <c r="M4326" s="415">
        <v>1425</v>
      </c>
      <c r="N4326" s="415">
        <v>1125</v>
      </c>
      <c r="O4326" s="415">
        <v>1275</v>
      </c>
      <c r="P4326" s="415">
        <v>900</v>
      </c>
      <c r="Q4326" s="481">
        <f t="shared" si="113"/>
        <v>-1425</v>
      </c>
    </row>
    <row r="4327" spans="1:17" x14ac:dyDescent="0.3">
      <c r="A4327" s="366" t="str">
        <f>IFERROR(VLOOKUP(RIGHT(E4327,3)+0,[1]SchLocTable!$A$2:$B$47,2,FALSE)," ")</f>
        <v>Winthrop</v>
      </c>
      <c r="B4327" s="366" t="str">
        <f>VLOOKUP(VALUE(D4327),$D$3:F$106,3,FALSE)</f>
        <v>Custodians</v>
      </c>
      <c r="C4327" t="s">
        <v>314</v>
      </c>
      <c r="D4327">
        <v>887</v>
      </c>
      <c r="E4327" t="s">
        <v>1181</v>
      </c>
      <c r="F4327" t="s">
        <v>320</v>
      </c>
      <c r="G4327" t="s">
        <v>319</v>
      </c>
      <c r="H4327" s="502">
        <v>52360</v>
      </c>
      <c r="I4327" s="415">
        <v>4493.6113668999997</v>
      </c>
      <c r="J4327" s="415">
        <v>2823</v>
      </c>
      <c r="K4327" s="415">
        <v>3593.7</v>
      </c>
      <c r="L4327" s="415">
        <v>3770.96</v>
      </c>
      <c r="M4327" s="415">
        <v>3709.87</v>
      </c>
      <c r="N4327" s="415">
        <v>3400.43</v>
      </c>
      <c r="O4327" s="415">
        <v>2820.63</v>
      </c>
      <c r="P4327" s="415">
        <v>3027.55</v>
      </c>
      <c r="Q4327" s="481">
        <f t="shared" si="113"/>
        <v>-1670.6113668999997</v>
      </c>
    </row>
    <row r="4328" spans="1:17" x14ac:dyDescent="0.3">
      <c r="A4328" s="366" t="str">
        <f>IFERROR(VLOOKUP(RIGHT(E4328,3)+0,[1]SchLocTable!$A$2:$B$47,2,FALSE)," ")</f>
        <v>Winthrop</v>
      </c>
      <c r="B4328" s="366" t="str">
        <f>VLOOKUP(VALUE(D4328),$D$3:F$106,3,FALSE)</f>
        <v>Custodians</v>
      </c>
      <c r="C4328" t="s">
        <v>314</v>
      </c>
      <c r="D4328">
        <v>887</v>
      </c>
      <c r="E4328" t="s">
        <v>1181</v>
      </c>
      <c r="F4328" t="s">
        <v>392</v>
      </c>
      <c r="G4328" t="s">
        <v>319</v>
      </c>
      <c r="H4328" s="502">
        <v>52504</v>
      </c>
      <c r="I4328" s="415">
        <v>64398.09945116</v>
      </c>
      <c r="J4328" s="415">
        <v>44881</v>
      </c>
      <c r="K4328" s="415">
        <v>53879.12</v>
      </c>
      <c r="L4328" s="415">
        <v>51104.9</v>
      </c>
      <c r="M4328" s="415">
        <v>40806.14</v>
      </c>
      <c r="N4328" s="415">
        <v>40333.949999999997</v>
      </c>
      <c r="O4328" s="415">
        <v>35429.199999999997</v>
      </c>
      <c r="P4328" s="415">
        <v>31490.29</v>
      </c>
      <c r="Q4328" s="481">
        <f t="shared" si="113"/>
        <v>-19517.09945116</v>
      </c>
    </row>
    <row r="4329" spans="1:17" x14ac:dyDescent="0.3">
      <c r="A4329" s="366" t="str">
        <f>IFERROR(VLOOKUP(RIGHT(E4329,3)+0,[1]SchLocTable!$A$2:$B$47,2,FALSE)," ")</f>
        <v>Winthrop</v>
      </c>
      <c r="B4329" s="366" t="str">
        <f>VLOOKUP(VALUE(D4329),$D$3:F$106,3,FALSE)</f>
        <v>Custodians</v>
      </c>
      <c r="C4329" t="s">
        <v>314</v>
      </c>
      <c r="D4329">
        <v>887</v>
      </c>
      <c r="E4329" t="s">
        <v>1181</v>
      </c>
      <c r="F4329" t="s">
        <v>1090</v>
      </c>
      <c r="G4329" t="s">
        <v>319</v>
      </c>
      <c r="H4329" s="502">
        <v>51138</v>
      </c>
      <c r="I4329" s="415">
        <v>6344.8397999999997</v>
      </c>
      <c r="J4329" s="415">
        <v>4819.51</v>
      </c>
      <c r="K4329" s="415">
        <v>5818.99</v>
      </c>
      <c r="L4329" s="415">
        <v>5664.46</v>
      </c>
      <c r="M4329" s="415">
        <v>5447.75</v>
      </c>
      <c r="N4329" s="415">
        <v>4976.6099999999997</v>
      </c>
      <c r="O4329" s="415">
        <v>5760.57</v>
      </c>
      <c r="P4329" s="415">
        <v>4138.5200000000004</v>
      </c>
      <c r="Q4329" s="481">
        <f t="shared" si="113"/>
        <v>-1525.3297999999995</v>
      </c>
    </row>
    <row r="4330" spans="1:17" x14ac:dyDescent="0.3">
      <c r="A4330" s="366" t="str">
        <f>IFERROR(VLOOKUP(RIGHT(E4330,3)+0,[1]SchLocTable!$A$2:$B$47,2,FALSE)," ")</f>
        <v>Winthrop</v>
      </c>
      <c r="B4330" s="366" t="str">
        <f>VLOOKUP(VALUE(D4330),$D$3:F$106,3,FALSE)</f>
        <v>Custodians</v>
      </c>
      <c r="C4330" t="s">
        <v>314</v>
      </c>
      <c r="D4330">
        <v>887</v>
      </c>
      <c r="E4330" t="s">
        <v>1181</v>
      </c>
      <c r="F4330" t="s">
        <v>452</v>
      </c>
      <c r="G4330" t="s">
        <v>319</v>
      </c>
      <c r="H4330" s="502">
        <v>51108</v>
      </c>
      <c r="I4330" s="415">
        <v>19765.394999999997</v>
      </c>
      <c r="J4330" s="415">
        <v>14818.97</v>
      </c>
      <c r="K4330" s="415">
        <v>12760.89</v>
      </c>
      <c r="L4330" s="415">
        <v>7006.01</v>
      </c>
      <c r="M4330" s="415">
        <v>8413.14</v>
      </c>
      <c r="N4330" s="415">
        <v>6016.96</v>
      </c>
      <c r="O4330" s="415">
        <v>1888.19</v>
      </c>
      <c r="P4330" s="415">
        <v>7293.59</v>
      </c>
      <c r="Q4330" s="481">
        <f t="shared" si="113"/>
        <v>-4946.4249999999975</v>
      </c>
    </row>
    <row r="4331" spans="1:17" x14ac:dyDescent="0.3">
      <c r="A4331" s="366" t="str">
        <f>IFERROR(VLOOKUP(RIGHT(E4331,3)+0,[1]SchLocTable!$A$2:$B$47,2,FALSE)," ")</f>
        <v>Winthrop</v>
      </c>
      <c r="B4331" s="366" t="str">
        <f>VLOOKUP(VALUE(D4331),$D$3:F$106,3,FALSE)</f>
        <v>Custodians</v>
      </c>
      <c r="C4331" t="s">
        <v>314</v>
      </c>
      <c r="D4331">
        <v>887</v>
      </c>
      <c r="E4331" t="s">
        <v>1181</v>
      </c>
      <c r="F4331" t="s">
        <v>483</v>
      </c>
      <c r="G4331" t="s">
        <v>319</v>
      </c>
      <c r="H4331" s="502">
        <v>51122</v>
      </c>
      <c r="I4331" s="415">
        <v>38070.092320000011</v>
      </c>
      <c r="J4331" s="415">
        <v>28578.44</v>
      </c>
      <c r="K4331" s="415">
        <v>21297.39</v>
      </c>
      <c r="L4331" s="415">
        <v>11192.92</v>
      </c>
      <c r="M4331" s="415">
        <v>10285.94</v>
      </c>
      <c r="N4331" s="415">
        <v>9796.7099999999991</v>
      </c>
      <c r="O4331" s="415">
        <v>8754.0400000000009</v>
      </c>
      <c r="P4331" s="415">
        <v>25663.67</v>
      </c>
      <c r="Q4331" s="481">
        <f t="shared" si="113"/>
        <v>-9491.652320000012</v>
      </c>
    </row>
    <row r="4332" spans="1:17" x14ac:dyDescent="0.3">
      <c r="A4332" s="366" t="str">
        <f>IFERROR(VLOOKUP(RIGHT(E4332,3)+0,[1]SchLocTable!$A$2:$B$47,2,FALSE)," ")</f>
        <v>Winthrop</v>
      </c>
      <c r="B4332" s="366" t="str">
        <f>VLOOKUP(VALUE(D4332),$D$3:F$106,3,FALSE)</f>
        <v>Custodians</v>
      </c>
      <c r="C4332" t="s">
        <v>314</v>
      </c>
      <c r="D4332">
        <v>887</v>
      </c>
      <c r="E4332" t="s">
        <v>1181</v>
      </c>
      <c r="F4332" t="s">
        <v>1148</v>
      </c>
      <c r="G4332" t="s">
        <v>319</v>
      </c>
      <c r="H4332" s="502">
        <v>51124</v>
      </c>
      <c r="I4332" s="415">
        <v>0</v>
      </c>
      <c r="J4332" s="415">
        <v>0</v>
      </c>
      <c r="K4332" s="415">
        <v>283.77</v>
      </c>
      <c r="L4332" s="415">
        <v>0</v>
      </c>
      <c r="M4332" s="415">
        <v>0</v>
      </c>
      <c r="N4332" s="415">
        <v>0</v>
      </c>
      <c r="O4332" s="415">
        <v>0</v>
      </c>
      <c r="P4332" s="415">
        <v>0</v>
      </c>
      <c r="Q4332" s="481">
        <f t="shared" si="113"/>
        <v>0</v>
      </c>
    </row>
    <row r="4333" spans="1:17" x14ac:dyDescent="0.3">
      <c r="A4333" s="366" t="str">
        <f>IFERROR(VLOOKUP(RIGHT(E4333,3)+0,[1]SchLocTable!$A$2:$B$47,2,FALSE)," ")</f>
        <v>Winthrop</v>
      </c>
      <c r="B4333" s="366" t="str">
        <f>VLOOKUP(VALUE(D4333),$D$3:F$106,3,FALSE)</f>
        <v>Custodians</v>
      </c>
      <c r="C4333" t="s">
        <v>314</v>
      </c>
      <c r="D4333">
        <v>887</v>
      </c>
      <c r="E4333" t="s">
        <v>1181</v>
      </c>
      <c r="F4333" t="s">
        <v>324</v>
      </c>
      <c r="G4333" t="s">
        <v>319</v>
      </c>
      <c r="H4333" s="502">
        <v>52385</v>
      </c>
      <c r="I4333" s="415">
        <v>0</v>
      </c>
      <c r="J4333" s="415">
        <v>0</v>
      </c>
      <c r="K4333" s="415">
        <v>0</v>
      </c>
      <c r="L4333" s="415">
        <v>1114.8599999999999</v>
      </c>
      <c r="M4333" s="415">
        <v>1235.3699999999999</v>
      </c>
      <c r="N4333" s="415">
        <v>1777.43</v>
      </c>
      <c r="O4333" s="415">
        <v>99.29</v>
      </c>
      <c r="P4333" s="415">
        <v>0</v>
      </c>
      <c r="Q4333" s="481">
        <f t="shared" si="113"/>
        <v>0</v>
      </c>
    </row>
    <row r="4334" spans="1:17" x14ac:dyDescent="0.3">
      <c r="A4334" s="366" t="str">
        <f>IFERROR(VLOOKUP(RIGHT(E4334,3)+0,[1]SchLocTable!$A$2:$B$47,2,FALSE)," ")</f>
        <v>Winthrop</v>
      </c>
      <c r="B4334" s="366" t="str">
        <f>VLOOKUP(VALUE(D4334),$D$3:F$106,3,FALSE)</f>
        <v>Custodians</v>
      </c>
      <c r="C4334" t="s">
        <v>314</v>
      </c>
      <c r="D4334">
        <v>887</v>
      </c>
      <c r="E4334" t="s">
        <v>1181</v>
      </c>
      <c r="F4334" t="s">
        <v>1082</v>
      </c>
      <c r="G4334" t="s">
        <v>319</v>
      </c>
      <c r="H4334" s="502">
        <v>51155</v>
      </c>
      <c r="I4334" s="415">
        <v>0</v>
      </c>
      <c r="J4334" s="415">
        <v>0</v>
      </c>
      <c r="K4334" s="415">
        <v>253.91</v>
      </c>
      <c r="L4334" s="415">
        <v>0</v>
      </c>
      <c r="M4334" s="415">
        <v>0</v>
      </c>
      <c r="N4334" s="415">
        <v>0</v>
      </c>
      <c r="O4334" s="415">
        <v>0</v>
      </c>
      <c r="P4334" s="415">
        <v>0</v>
      </c>
      <c r="Q4334" s="481">
        <f t="shared" si="113"/>
        <v>0</v>
      </c>
    </row>
    <row r="4335" spans="1:17" x14ac:dyDescent="0.3">
      <c r="A4335" s="366" t="str">
        <f>IFERROR(VLOOKUP(RIGHT(E4335,3)+0,[1]SchLocTable!$A$2:$B$47,2,FALSE)," ")</f>
        <v>Winthrop</v>
      </c>
      <c r="B4335" s="366" t="str">
        <f>VLOOKUP(VALUE(D4335),$D$3:F$106,3,FALSE)</f>
        <v>Custodians</v>
      </c>
      <c r="C4335" t="s">
        <v>314</v>
      </c>
      <c r="D4335">
        <v>887</v>
      </c>
      <c r="E4335" t="s">
        <v>1181</v>
      </c>
      <c r="F4335" t="s">
        <v>418</v>
      </c>
      <c r="G4335" t="s">
        <v>319</v>
      </c>
      <c r="H4335" s="502">
        <v>51314</v>
      </c>
      <c r="I4335" s="415">
        <v>288.7296</v>
      </c>
      <c r="J4335" s="415">
        <v>0</v>
      </c>
      <c r="K4335" s="415">
        <v>280.32</v>
      </c>
      <c r="L4335" s="415">
        <v>0</v>
      </c>
      <c r="M4335" s="415">
        <v>0</v>
      </c>
      <c r="N4335" s="415">
        <v>0</v>
      </c>
      <c r="O4335" s="415">
        <v>0</v>
      </c>
      <c r="P4335" s="415">
        <v>2057.89</v>
      </c>
      <c r="Q4335" s="481">
        <f t="shared" si="113"/>
        <v>-288.7296</v>
      </c>
    </row>
    <row r="4336" spans="1:17" x14ac:dyDescent="0.3">
      <c r="A4336" s="366" t="str">
        <f>IFERROR(VLOOKUP(RIGHT(E4336,3)+0,[1]SchLocTable!$A$2:$B$47,2,FALSE)," ")</f>
        <v>Discovery</v>
      </c>
      <c r="B4336" s="366" t="str">
        <f>VLOOKUP(VALUE(D4336),$D$3:F$106,3,FALSE)</f>
        <v>Custodians</v>
      </c>
      <c r="C4336" t="s">
        <v>314</v>
      </c>
      <c r="D4336">
        <v>887</v>
      </c>
      <c r="E4336" t="s">
        <v>1182</v>
      </c>
      <c r="F4336" t="s">
        <v>1089</v>
      </c>
      <c r="G4336" t="s">
        <v>319</v>
      </c>
      <c r="H4336" s="502">
        <v>51102</v>
      </c>
      <c r="I4336" s="415">
        <v>12830.688</v>
      </c>
      <c r="J4336" s="415">
        <v>0</v>
      </c>
      <c r="K4336" s="415">
        <v>0</v>
      </c>
      <c r="L4336" s="415">
        <v>2562.3200000000002</v>
      </c>
      <c r="M4336" s="415">
        <v>3632.76</v>
      </c>
      <c r="N4336" s="415">
        <v>2331.2399999999998</v>
      </c>
      <c r="O4336" s="415">
        <v>1698.31</v>
      </c>
      <c r="P4336" s="415">
        <v>737.79</v>
      </c>
      <c r="Q4336" s="481">
        <f t="shared" si="113"/>
        <v>-12830.688</v>
      </c>
    </row>
    <row r="4337" spans="1:17" x14ac:dyDescent="0.3">
      <c r="A4337" s="366" t="str">
        <f>IFERROR(VLOOKUP(RIGHT(E4337,3)+0,[1]SchLocTable!$A$2:$B$47,2,FALSE)," ")</f>
        <v>Discovery</v>
      </c>
      <c r="B4337" s="366" t="str">
        <f>VLOOKUP(VALUE(D4337),$D$3:F$106,3,FALSE)</f>
        <v>Custodians</v>
      </c>
      <c r="C4337" t="s">
        <v>314</v>
      </c>
      <c r="D4337">
        <v>887</v>
      </c>
      <c r="E4337" t="s">
        <v>1182</v>
      </c>
      <c r="F4337" t="s">
        <v>316</v>
      </c>
      <c r="G4337">
        <v>4</v>
      </c>
      <c r="H4337" s="502">
        <v>51000</v>
      </c>
      <c r="I4337" s="415">
        <v>214542.16638400001</v>
      </c>
      <c r="J4337" s="415">
        <v>164513.60999999999</v>
      </c>
      <c r="K4337" s="415">
        <v>161268.73000000001</v>
      </c>
      <c r="L4337" s="415">
        <v>144466.04999999999</v>
      </c>
      <c r="M4337" s="415">
        <v>143458.25</v>
      </c>
      <c r="N4337" s="415">
        <v>132926.85999999999</v>
      </c>
      <c r="O4337" s="415">
        <v>146114.67000000001</v>
      </c>
      <c r="P4337" s="415">
        <v>132667.67000000001</v>
      </c>
      <c r="Q4337" s="481">
        <f t="shared" si="113"/>
        <v>-50028.556384000025</v>
      </c>
    </row>
    <row r="4338" spans="1:17" x14ac:dyDescent="0.3">
      <c r="A4338" s="366" t="str">
        <f>IFERROR(VLOOKUP(RIGHT(E4338,3)+0,[1]SchLocTable!$A$2:$B$47,2,FALSE)," ")</f>
        <v>Discovery</v>
      </c>
      <c r="B4338" s="366" t="str">
        <f>VLOOKUP(VALUE(D4338),$D$3:F$106,3,FALSE)</f>
        <v>Custodians</v>
      </c>
      <c r="C4338" t="s">
        <v>314</v>
      </c>
      <c r="D4338">
        <v>887</v>
      </c>
      <c r="E4338" t="s">
        <v>1182</v>
      </c>
      <c r="F4338" t="s">
        <v>360</v>
      </c>
      <c r="G4338" t="s">
        <v>319</v>
      </c>
      <c r="H4338" s="502">
        <v>52920</v>
      </c>
      <c r="I4338" s="415">
        <v>0</v>
      </c>
      <c r="J4338" s="415">
        <v>0</v>
      </c>
      <c r="K4338" s="415">
        <v>2000</v>
      </c>
      <c r="L4338" s="415">
        <v>1000</v>
      </c>
      <c r="M4338" s="415">
        <v>1000</v>
      </c>
      <c r="N4338" s="415">
        <v>0</v>
      </c>
      <c r="O4338" s="415">
        <v>0</v>
      </c>
      <c r="P4338" s="415">
        <v>0</v>
      </c>
      <c r="Q4338" s="481">
        <f t="shared" si="113"/>
        <v>0</v>
      </c>
    </row>
    <row r="4339" spans="1:17" x14ac:dyDescent="0.3">
      <c r="A4339" s="366" t="str">
        <f>IFERROR(VLOOKUP(RIGHT(E4339,3)+0,[1]SchLocTable!$A$2:$B$47,2,FALSE)," ")</f>
        <v>Discovery</v>
      </c>
      <c r="B4339" s="366" t="str">
        <f>VLOOKUP(VALUE(D4339),$D$3:F$106,3,FALSE)</f>
        <v>Custodians</v>
      </c>
      <c r="C4339" t="s">
        <v>314</v>
      </c>
      <c r="D4339">
        <v>887</v>
      </c>
      <c r="E4339" t="s">
        <v>1182</v>
      </c>
      <c r="F4339" t="s">
        <v>321</v>
      </c>
      <c r="G4339" t="s">
        <v>319</v>
      </c>
      <c r="H4339" s="502">
        <v>52917</v>
      </c>
      <c r="I4339" s="415">
        <v>15260.544</v>
      </c>
      <c r="J4339" s="415">
        <v>15536.61</v>
      </c>
      <c r="K4339" s="415">
        <v>46097.73</v>
      </c>
      <c r="L4339" s="415">
        <v>45195.02</v>
      </c>
      <c r="M4339" s="415">
        <v>45562.69</v>
      </c>
      <c r="N4339" s="415">
        <v>46025.05</v>
      </c>
      <c r="O4339" s="415">
        <v>56079.21</v>
      </c>
      <c r="P4339" s="415">
        <v>54476.2</v>
      </c>
      <c r="Q4339" s="481">
        <f t="shared" si="113"/>
        <v>276.06600000000071</v>
      </c>
    </row>
    <row r="4340" spans="1:17" x14ac:dyDescent="0.3">
      <c r="A4340" s="366" t="str">
        <f>IFERROR(VLOOKUP(RIGHT(E4340,3)+0,[1]SchLocTable!$A$2:$B$47,2,FALSE)," ")</f>
        <v>Discovery</v>
      </c>
      <c r="B4340" s="366" t="str">
        <f>VLOOKUP(VALUE(D4340),$D$3:F$106,3,FALSE)</f>
        <v>Custodians</v>
      </c>
      <c r="C4340" t="s">
        <v>314</v>
      </c>
      <c r="D4340">
        <v>887</v>
      </c>
      <c r="E4340" t="s">
        <v>1182</v>
      </c>
      <c r="F4340" t="s">
        <v>1087</v>
      </c>
      <c r="G4340" t="s">
        <v>319</v>
      </c>
      <c r="H4340" s="502">
        <v>51116</v>
      </c>
      <c r="I4340" s="415">
        <v>0</v>
      </c>
      <c r="J4340" s="415">
        <v>0</v>
      </c>
      <c r="K4340" s="415">
        <v>0</v>
      </c>
      <c r="L4340" s="415">
        <v>158.09</v>
      </c>
      <c r="M4340" s="415">
        <v>0</v>
      </c>
      <c r="N4340" s="415">
        <v>0</v>
      </c>
      <c r="O4340" s="415">
        <v>0</v>
      </c>
      <c r="P4340" s="415">
        <v>0</v>
      </c>
      <c r="Q4340" s="481">
        <f t="shared" si="113"/>
        <v>0</v>
      </c>
    </row>
    <row r="4341" spans="1:17" x14ac:dyDescent="0.3">
      <c r="A4341" s="366" t="str">
        <f>IFERROR(VLOOKUP(RIGHT(E4341,3)+0,[1]SchLocTable!$A$2:$B$47,2,FALSE)," ")</f>
        <v>Discovery</v>
      </c>
      <c r="B4341" s="366" t="str">
        <f>VLOOKUP(VALUE(D4341),$D$3:F$106,3,FALSE)</f>
        <v>Custodians</v>
      </c>
      <c r="C4341" t="s">
        <v>314</v>
      </c>
      <c r="D4341">
        <v>887</v>
      </c>
      <c r="E4341" t="s">
        <v>1182</v>
      </c>
      <c r="F4341" t="s">
        <v>318</v>
      </c>
      <c r="G4341" t="s">
        <v>319</v>
      </c>
      <c r="H4341" s="502">
        <v>51140</v>
      </c>
      <c r="I4341" s="415">
        <v>0</v>
      </c>
      <c r="J4341" s="415">
        <v>0</v>
      </c>
      <c r="K4341" s="415">
        <v>2550</v>
      </c>
      <c r="L4341" s="415">
        <v>2400</v>
      </c>
      <c r="M4341" s="415">
        <v>1500</v>
      </c>
      <c r="N4341" s="415">
        <v>1425</v>
      </c>
      <c r="O4341" s="415">
        <v>2775</v>
      </c>
      <c r="P4341" s="415">
        <v>2625</v>
      </c>
      <c r="Q4341" s="481">
        <f t="shared" si="113"/>
        <v>0</v>
      </c>
    </row>
    <row r="4342" spans="1:17" x14ac:dyDescent="0.3">
      <c r="A4342" s="366" t="str">
        <f>IFERROR(VLOOKUP(RIGHT(E4342,3)+0,[1]SchLocTable!$A$2:$B$47,2,FALSE)," ")</f>
        <v>Discovery</v>
      </c>
      <c r="B4342" s="366" t="str">
        <f>VLOOKUP(VALUE(D4342),$D$3:F$106,3,FALSE)</f>
        <v>Custodians</v>
      </c>
      <c r="C4342" t="s">
        <v>314</v>
      </c>
      <c r="D4342">
        <v>887</v>
      </c>
      <c r="E4342" t="s">
        <v>1182</v>
      </c>
      <c r="F4342" t="s">
        <v>320</v>
      </c>
      <c r="G4342" t="s">
        <v>319</v>
      </c>
      <c r="H4342" s="502">
        <v>52360</v>
      </c>
      <c r="I4342" s="415">
        <v>3839.6263505600009</v>
      </c>
      <c r="J4342" s="415">
        <v>2184</v>
      </c>
      <c r="K4342" s="415">
        <v>2614.09</v>
      </c>
      <c r="L4342" s="415">
        <v>2509.71</v>
      </c>
      <c r="M4342" s="415">
        <v>2338.63</v>
      </c>
      <c r="N4342" s="415">
        <v>2108.16</v>
      </c>
      <c r="O4342" s="415">
        <v>2141.1</v>
      </c>
      <c r="P4342" s="415">
        <v>1970.57</v>
      </c>
      <c r="Q4342" s="481">
        <f t="shared" si="113"/>
        <v>-1655.6263505600009</v>
      </c>
    </row>
    <row r="4343" spans="1:17" x14ac:dyDescent="0.3">
      <c r="A4343" s="366" t="str">
        <f>IFERROR(VLOOKUP(RIGHT(E4343,3)+0,[1]SchLocTable!$A$2:$B$47,2,FALSE)," ")</f>
        <v>Discovery</v>
      </c>
      <c r="B4343" s="366" t="str">
        <f>VLOOKUP(VALUE(D4343),$D$3:F$106,3,FALSE)</f>
        <v>Custodians</v>
      </c>
      <c r="C4343" t="s">
        <v>314</v>
      </c>
      <c r="D4343">
        <v>887</v>
      </c>
      <c r="E4343" t="s">
        <v>1182</v>
      </c>
      <c r="F4343" t="s">
        <v>392</v>
      </c>
      <c r="G4343" t="s">
        <v>319</v>
      </c>
      <c r="H4343" s="502">
        <v>52504</v>
      </c>
      <c r="I4343" s="415">
        <v>55025.817630783997</v>
      </c>
      <c r="J4343" s="415">
        <v>34766</v>
      </c>
      <c r="K4343" s="415">
        <v>39287.230000000003</v>
      </c>
      <c r="L4343" s="415">
        <v>38042.019999999997</v>
      </c>
      <c r="M4343" s="415">
        <v>37911.980000000003</v>
      </c>
      <c r="N4343" s="415">
        <v>27300.5</v>
      </c>
      <c r="O4343" s="415">
        <v>27498.19</v>
      </c>
      <c r="P4343" s="415">
        <v>22230.639999999999</v>
      </c>
      <c r="Q4343" s="481">
        <f t="shared" si="113"/>
        <v>-20259.817630783997</v>
      </c>
    </row>
    <row r="4344" spans="1:17" x14ac:dyDescent="0.3">
      <c r="A4344" s="366" t="str">
        <f>IFERROR(VLOOKUP(RIGHT(E4344,3)+0,[1]SchLocTable!$A$2:$B$47,2,FALSE)," ")</f>
        <v>Discovery</v>
      </c>
      <c r="B4344" s="366" t="str">
        <f>VLOOKUP(VALUE(D4344),$D$3:F$106,3,FALSE)</f>
        <v>Custodians</v>
      </c>
      <c r="C4344" t="s">
        <v>314</v>
      </c>
      <c r="D4344">
        <v>887</v>
      </c>
      <c r="E4344" t="s">
        <v>1182</v>
      </c>
      <c r="F4344" t="s">
        <v>1090</v>
      </c>
      <c r="G4344" t="s">
        <v>319</v>
      </c>
      <c r="H4344" s="502">
        <v>51138</v>
      </c>
      <c r="I4344" s="415">
        <v>4642.5132000000003</v>
      </c>
      <c r="J4344" s="415">
        <v>2866</v>
      </c>
      <c r="K4344" s="415">
        <v>3866.39</v>
      </c>
      <c r="L4344" s="415">
        <v>4063.07</v>
      </c>
      <c r="M4344" s="415">
        <v>4566.46</v>
      </c>
      <c r="N4344" s="415">
        <v>4495.25</v>
      </c>
      <c r="O4344" s="415">
        <v>3417.82</v>
      </c>
      <c r="P4344" s="415">
        <v>3431.29</v>
      </c>
      <c r="Q4344" s="481">
        <f t="shared" si="113"/>
        <v>-1776.5132000000003</v>
      </c>
    </row>
    <row r="4345" spans="1:17" x14ac:dyDescent="0.3">
      <c r="A4345" s="366" t="str">
        <f>IFERROR(VLOOKUP(RIGHT(E4345,3)+0,[1]SchLocTable!$A$2:$B$47,2,FALSE)," ")</f>
        <v>Discovery</v>
      </c>
      <c r="B4345" s="366" t="str">
        <f>VLOOKUP(VALUE(D4345),$D$3:F$106,3,FALSE)</f>
        <v>Custodians</v>
      </c>
      <c r="C4345" t="s">
        <v>314</v>
      </c>
      <c r="D4345">
        <v>887</v>
      </c>
      <c r="E4345" t="s">
        <v>1182</v>
      </c>
      <c r="F4345" t="s">
        <v>452</v>
      </c>
      <c r="G4345" t="s">
        <v>319</v>
      </c>
      <c r="H4345" s="502">
        <v>51108</v>
      </c>
      <c r="I4345" s="415">
        <v>0</v>
      </c>
      <c r="J4345" s="415">
        <v>418.01</v>
      </c>
      <c r="K4345" s="415">
        <v>4410.57</v>
      </c>
      <c r="L4345" s="415">
        <v>3732.96</v>
      </c>
      <c r="M4345" s="415">
        <v>3642.56</v>
      </c>
      <c r="N4345" s="415">
        <v>3963.99</v>
      </c>
      <c r="O4345" s="415">
        <v>1363.26</v>
      </c>
      <c r="P4345" s="415">
        <v>982.25</v>
      </c>
      <c r="Q4345" s="481">
        <f t="shared" si="113"/>
        <v>418.01</v>
      </c>
    </row>
    <row r="4346" spans="1:17" x14ac:dyDescent="0.3">
      <c r="A4346" s="366" t="str">
        <f>IFERROR(VLOOKUP(RIGHT(E4346,3)+0,[1]SchLocTable!$A$2:$B$47,2,FALSE)," ")</f>
        <v>Discovery</v>
      </c>
      <c r="B4346" s="366" t="str">
        <f>VLOOKUP(VALUE(D4346),$D$3:F$106,3,FALSE)</f>
        <v>Custodians</v>
      </c>
      <c r="C4346" t="s">
        <v>314</v>
      </c>
      <c r="D4346">
        <v>887</v>
      </c>
      <c r="E4346" t="s">
        <v>1182</v>
      </c>
      <c r="F4346" t="s">
        <v>483</v>
      </c>
      <c r="G4346" t="s">
        <v>319</v>
      </c>
      <c r="H4346" s="502">
        <v>51122</v>
      </c>
      <c r="I4346" s="415">
        <v>21159.140371200006</v>
      </c>
      <c r="J4346" s="415">
        <v>1134.33</v>
      </c>
      <c r="K4346" s="415">
        <v>12976.43</v>
      </c>
      <c r="L4346" s="415">
        <v>12206.48</v>
      </c>
      <c r="M4346" s="415">
        <v>8809.19</v>
      </c>
      <c r="N4346" s="415">
        <v>2658.62</v>
      </c>
      <c r="O4346" s="415">
        <v>7101.59</v>
      </c>
      <c r="P4346" s="415">
        <v>4430.8</v>
      </c>
      <c r="Q4346" s="481">
        <f t="shared" si="113"/>
        <v>-20024.810371200008</v>
      </c>
    </row>
    <row r="4347" spans="1:17" x14ac:dyDescent="0.3">
      <c r="A4347" s="366" t="str">
        <f>IFERROR(VLOOKUP(RIGHT(E4347,3)+0,[1]SchLocTable!$A$2:$B$47,2,FALSE)," ")</f>
        <v>Discovery</v>
      </c>
      <c r="B4347" s="366" t="str">
        <f>VLOOKUP(VALUE(D4347),$D$3:F$106,3,FALSE)</f>
        <v>Custodians</v>
      </c>
      <c r="C4347" t="s">
        <v>314</v>
      </c>
      <c r="D4347">
        <v>887</v>
      </c>
      <c r="E4347" t="s">
        <v>1182</v>
      </c>
      <c r="F4347" t="s">
        <v>1148</v>
      </c>
      <c r="G4347" t="s">
        <v>319</v>
      </c>
      <c r="H4347" s="502">
        <v>51124</v>
      </c>
      <c r="I4347" s="415">
        <v>0</v>
      </c>
      <c r="J4347" s="415">
        <v>0</v>
      </c>
      <c r="K4347" s="415">
        <v>0</v>
      </c>
      <c r="L4347" s="415">
        <v>112.87</v>
      </c>
      <c r="M4347" s="415">
        <v>0</v>
      </c>
      <c r="N4347" s="415">
        <v>0</v>
      </c>
      <c r="O4347" s="415">
        <v>0</v>
      </c>
      <c r="P4347" s="415">
        <v>0</v>
      </c>
      <c r="Q4347" s="481">
        <f t="shared" si="113"/>
        <v>0</v>
      </c>
    </row>
    <row r="4348" spans="1:17" x14ac:dyDescent="0.3">
      <c r="A4348" s="366" t="str">
        <f>IFERROR(VLOOKUP(RIGHT(E4348,3)+0,[1]SchLocTable!$A$2:$B$47,2,FALSE)," ")</f>
        <v>Discovery</v>
      </c>
      <c r="B4348" s="366" t="str">
        <f>VLOOKUP(VALUE(D4348),$D$3:F$106,3,FALSE)</f>
        <v>Custodians</v>
      </c>
      <c r="C4348" t="s">
        <v>314</v>
      </c>
      <c r="D4348">
        <v>887</v>
      </c>
      <c r="E4348" t="s">
        <v>1182</v>
      </c>
      <c r="F4348" t="s">
        <v>324</v>
      </c>
      <c r="G4348" t="s">
        <v>319</v>
      </c>
      <c r="H4348" s="502">
        <v>52385</v>
      </c>
      <c r="I4348" s="415">
        <v>0</v>
      </c>
      <c r="J4348" s="415">
        <v>0</v>
      </c>
      <c r="K4348" s="415">
        <v>0</v>
      </c>
      <c r="L4348" s="415">
        <v>0</v>
      </c>
      <c r="M4348" s="415">
        <v>41.22</v>
      </c>
      <c r="N4348" s="415">
        <v>1129.03</v>
      </c>
      <c r="O4348" s="415">
        <v>0</v>
      </c>
      <c r="P4348" s="415">
        <v>0</v>
      </c>
      <c r="Q4348" s="481">
        <f t="shared" si="113"/>
        <v>0</v>
      </c>
    </row>
    <row r="4349" spans="1:17" x14ac:dyDescent="0.3">
      <c r="A4349" s="366" t="str">
        <f>IFERROR(VLOOKUP(RIGHT(E4349,3)+0,[1]SchLocTable!$A$2:$B$47,2,FALSE)," ")</f>
        <v>Discovery</v>
      </c>
      <c r="B4349" s="366" t="str">
        <f>VLOOKUP(VALUE(D4349),$D$3:F$106,3,FALSE)</f>
        <v>Custodians</v>
      </c>
      <c r="C4349" t="s">
        <v>314</v>
      </c>
      <c r="D4349">
        <v>887</v>
      </c>
      <c r="E4349" t="s">
        <v>1182</v>
      </c>
      <c r="F4349" t="s">
        <v>1082</v>
      </c>
      <c r="G4349" t="s">
        <v>319</v>
      </c>
      <c r="H4349" s="502">
        <v>51155</v>
      </c>
      <c r="I4349" s="415">
        <v>0</v>
      </c>
      <c r="J4349" s="415">
        <v>0</v>
      </c>
      <c r="K4349" s="415">
        <v>253.91</v>
      </c>
      <c r="L4349" s="415">
        <v>0</v>
      </c>
      <c r="M4349" s="415">
        <v>0</v>
      </c>
      <c r="N4349" s="415">
        <v>0</v>
      </c>
      <c r="O4349" s="415">
        <v>0</v>
      </c>
      <c r="P4349" s="415">
        <v>0</v>
      </c>
      <c r="Q4349" s="481">
        <f t="shared" si="113"/>
        <v>0</v>
      </c>
    </row>
    <row r="4350" spans="1:17" x14ac:dyDescent="0.3">
      <c r="A4350" s="366" t="str">
        <f>IFERROR(VLOOKUP(RIGHT(E4350,3)+0,[1]SchLocTable!$A$2:$B$47,2,FALSE)," ")</f>
        <v>Discovery</v>
      </c>
      <c r="B4350" s="366" t="str">
        <f>VLOOKUP(VALUE(D4350),$D$3:F$106,3,FALSE)</f>
        <v>Custodians</v>
      </c>
      <c r="C4350" t="s">
        <v>314</v>
      </c>
      <c r="D4350">
        <v>887</v>
      </c>
      <c r="E4350" t="s">
        <v>1182</v>
      </c>
      <c r="F4350" t="s">
        <v>356</v>
      </c>
      <c r="G4350" t="s">
        <v>319</v>
      </c>
      <c r="H4350" s="502">
        <v>51156</v>
      </c>
      <c r="I4350" s="415">
        <v>0</v>
      </c>
      <c r="J4350" s="415">
        <v>0</v>
      </c>
      <c r="K4350" s="415">
        <v>2285.17</v>
      </c>
      <c r="L4350" s="415">
        <v>0</v>
      </c>
      <c r="M4350" s="415">
        <v>0</v>
      </c>
      <c r="N4350" s="415">
        <v>0</v>
      </c>
      <c r="O4350" s="415">
        <v>1758.29</v>
      </c>
      <c r="P4350" s="415">
        <v>0</v>
      </c>
      <c r="Q4350" s="481">
        <f t="shared" si="113"/>
        <v>0</v>
      </c>
    </row>
    <row r="4351" spans="1:17" x14ac:dyDescent="0.3">
      <c r="A4351" s="366" t="str">
        <f>IFERROR(VLOOKUP(RIGHT(E4351,3)+0,[1]SchLocTable!$A$2:$B$47,2,FALSE)," ")</f>
        <v>Cross</v>
      </c>
      <c r="B4351" s="366" t="str">
        <f>VLOOKUP(VALUE(D4351),$D$3:F$106,3,FALSE)</f>
        <v>Custodians</v>
      </c>
      <c r="C4351" t="s">
        <v>314</v>
      </c>
      <c r="D4351">
        <v>887</v>
      </c>
      <c r="E4351" t="s">
        <v>1183</v>
      </c>
      <c r="F4351" t="s">
        <v>1089</v>
      </c>
      <c r="G4351" t="s">
        <v>319</v>
      </c>
      <c r="H4351" s="502">
        <v>51102</v>
      </c>
      <c r="I4351" s="415">
        <v>2669.4720000000002</v>
      </c>
      <c r="J4351" s="415">
        <v>0</v>
      </c>
      <c r="K4351" s="415">
        <v>0</v>
      </c>
      <c r="L4351" s="415">
        <v>2460.4</v>
      </c>
      <c r="M4351" s="415">
        <v>3888</v>
      </c>
      <c r="N4351" s="415">
        <v>5661.92</v>
      </c>
      <c r="O4351" s="415">
        <v>4925</v>
      </c>
      <c r="P4351" s="415">
        <v>507.04</v>
      </c>
      <c r="Q4351" s="481">
        <f t="shared" ref="Q4351:Q4414" si="114">J4351-I4351</f>
        <v>-2669.4720000000002</v>
      </c>
    </row>
    <row r="4352" spans="1:17" x14ac:dyDescent="0.3">
      <c r="A4352" s="366" t="str">
        <f>IFERROR(VLOOKUP(RIGHT(E4352,3)+0,[1]SchLocTable!$A$2:$B$47,2,FALSE)," ")</f>
        <v>Cross</v>
      </c>
      <c r="B4352" s="366" t="str">
        <f>VLOOKUP(VALUE(D4352),$D$3:F$106,3,FALSE)</f>
        <v>Custodians</v>
      </c>
      <c r="C4352" t="s">
        <v>314</v>
      </c>
      <c r="D4352">
        <v>887</v>
      </c>
      <c r="E4352" t="s">
        <v>1183</v>
      </c>
      <c r="F4352" t="s">
        <v>316</v>
      </c>
      <c r="G4352">
        <v>4</v>
      </c>
      <c r="H4352" s="502">
        <v>51000</v>
      </c>
      <c r="I4352" s="415">
        <v>211440.48119999998</v>
      </c>
      <c r="J4352" s="415">
        <v>207497.33</v>
      </c>
      <c r="K4352" s="415">
        <v>252843.64</v>
      </c>
      <c r="L4352" s="415">
        <v>188114.31</v>
      </c>
      <c r="M4352" s="415">
        <v>175481.49</v>
      </c>
      <c r="N4352" s="415">
        <v>125593.5</v>
      </c>
      <c r="O4352" s="415">
        <v>124953.35</v>
      </c>
      <c r="P4352" s="415">
        <v>128081.54</v>
      </c>
      <c r="Q4352" s="481">
        <f t="shared" si="114"/>
        <v>-3943.151199999993</v>
      </c>
    </row>
    <row r="4353" spans="1:17" x14ac:dyDescent="0.3">
      <c r="A4353" s="366" t="str">
        <f>IFERROR(VLOOKUP(RIGHT(E4353,3)+0,[1]SchLocTable!$A$2:$B$47,2,FALSE)," ")</f>
        <v>Cross</v>
      </c>
      <c r="B4353" s="366" t="str">
        <f>VLOOKUP(VALUE(D4353),$D$3:F$106,3,FALSE)</f>
        <v>Custodians</v>
      </c>
      <c r="C4353" t="s">
        <v>314</v>
      </c>
      <c r="D4353">
        <v>887</v>
      </c>
      <c r="E4353" t="s">
        <v>1183</v>
      </c>
      <c r="F4353" t="s">
        <v>360</v>
      </c>
      <c r="G4353" t="s">
        <v>319</v>
      </c>
      <c r="H4353" s="502">
        <v>52920</v>
      </c>
      <c r="I4353" s="415">
        <v>4000</v>
      </c>
      <c r="J4353" s="415">
        <v>1666.68</v>
      </c>
      <c r="K4353" s="415">
        <v>6000</v>
      </c>
      <c r="L4353" s="415">
        <v>1750</v>
      </c>
      <c r="M4353" s="415">
        <v>2666.68</v>
      </c>
      <c r="N4353" s="415">
        <v>1500</v>
      </c>
      <c r="O4353" s="415">
        <v>0</v>
      </c>
      <c r="P4353" s="415">
        <v>0</v>
      </c>
      <c r="Q4353" s="481">
        <f t="shared" si="114"/>
        <v>-2333.3199999999997</v>
      </c>
    </row>
    <row r="4354" spans="1:17" x14ac:dyDescent="0.3">
      <c r="A4354" s="366" t="str">
        <f>IFERROR(VLOOKUP(RIGHT(E4354,3)+0,[1]SchLocTable!$A$2:$B$47,2,FALSE)," ")</f>
        <v>Cross</v>
      </c>
      <c r="B4354" s="366" t="str">
        <f>VLOOKUP(VALUE(D4354),$D$3:F$106,3,FALSE)</f>
        <v>Custodians</v>
      </c>
      <c r="C4354" t="s">
        <v>314</v>
      </c>
      <c r="D4354">
        <v>887</v>
      </c>
      <c r="E4354" t="s">
        <v>1183</v>
      </c>
      <c r="F4354" t="s">
        <v>321</v>
      </c>
      <c r="G4354" t="s">
        <v>319</v>
      </c>
      <c r="H4354" s="502">
        <v>52917</v>
      </c>
      <c r="I4354" s="415">
        <v>30061.823999999997</v>
      </c>
      <c r="J4354" s="415">
        <v>25147.87</v>
      </c>
      <c r="K4354" s="415">
        <v>50834.31</v>
      </c>
      <c r="L4354" s="415">
        <v>38878.06</v>
      </c>
      <c r="M4354" s="415">
        <v>37026.269999999997</v>
      </c>
      <c r="N4354" s="415">
        <v>31865.95</v>
      </c>
      <c r="O4354" s="415">
        <v>19717.55</v>
      </c>
      <c r="P4354" s="415">
        <v>17384.2</v>
      </c>
      <c r="Q4354" s="481">
        <f t="shared" si="114"/>
        <v>-4913.9539999999979</v>
      </c>
    </row>
    <row r="4355" spans="1:17" x14ac:dyDescent="0.3">
      <c r="A4355" s="366" t="str">
        <f>IFERROR(VLOOKUP(RIGHT(E4355,3)+0,[1]SchLocTable!$A$2:$B$47,2,FALSE)," ")</f>
        <v>Cross</v>
      </c>
      <c r="B4355" s="366" t="str">
        <f>VLOOKUP(VALUE(D4355),$D$3:F$106,3,FALSE)</f>
        <v>Custodians</v>
      </c>
      <c r="C4355" t="s">
        <v>314</v>
      </c>
      <c r="D4355">
        <v>887</v>
      </c>
      <c r="E4355" t="s">
        <v>1183</v>
      </c>
      <c r="F4355" t="s">
        <v>318</v>
      </c>
      <c r="G4355" t="s">
        <v>319</v>
      </c>
      <c r="H4355" s="502">
        <v>51140</v>
      </c>
      <c r="I4355" s="415">
        <v>2340</v>
      </c>
      <c r="J4355" s="415">
        <v>2340</v>
      </c>
      <c r="K4355" s="415">
        <v>2141.25</v>
      </c>
      <c r="L4355" s="415">
        <v>1125</v>
      </c>
      <c r="M4355" s="415">
        <v>0</v>
      </c>
      <c r="N4355" s="415">
        <v>0</v>
      </c>
      <c r="O4355" s="415">
        <v>3425</v>
      </c>
      <c r="P4355" s="415">
        <v>1950</v>
      </c>
      <c r="Q4355" s="481">
        <f t="shared" si="114"/>
        <v>0</v>
      </c>
    </row>
    <row r="4356" spans="1:17" x14ac:dyDescent="0.3">
      <c r="A4356" s="366" t="str">
        <f>IFERROR(VLOOKUP(RIGHT(E4356,3)+0,[1]SchLocTable!$A$2:$B$47,2,FALSE)," ")</f>
        <v>Cross</v>
      </c>
      <c r="B4356" s="366" t="str">
        <f>VLOOKUP(VALUE(D4356),$D$3:F$106,3,FALSE)</f>
        <v>Custodians</v>
      </c>
      <c r="C4356" t="s">
        <v>314</v>
      </c>
      <c r="D4356">
        <v>887</v>
      </c>
      <c r="E4356" t="s">
        <v>1183</v>
      </c>
      <c r="F4356" t="s">
        <v>320</v>
      </c>
      <c r="G4356" t="s">
        <v>319</v>
      </c>
      <c r="H4356" s="502">
        <v>52360</v>
      </c>
      <c r="I4356" s="415">
        <v>3483.5765323000001</v>
      </c>
      <c r="J4356" s="415">
        <v>3524.68</v>
      </c>
      <c r="K4356" s="415">
        <v>4084.34</v>
      </c>
      <c r="L4356" s="415">
        <v>3183.07</v>
      </c>
      <c r="M4356" s="415">
        <v>2915.67</v>
      </c>
      <c r="N4356" s="415">
        <v>2172.86</v>
      </c>
      <c r="O4356" s="415">
        <v>2523.42</v>
      </c>
      <c r="P4356" s="415">
        <v>2082.0700000000002</v>
      </c>
      <c r="Q4356" s="481">
        <f t="shared" si="114"/>
        <v>41.103467699999783</v>
      </c>
    </row>
    <row r="4357" spans="1:17" x14ac:dyDescent="0.3">
      <c r="A4357" s="430" t="str">
        <f>IFERROR(VLOOKUP(RIGHT(E4357,3)+0,[1]SchLocTable!$A$2:$B$47,2,FALSE)," ")</f>
        <v>Cross</v>
      </c>
      <c r="B4357" s="430" t="str">
        <f>VLOOKUP(VALUE(D4357),$D$3:F$106,3,FALSE)</f>
        <v>Custodians</v>
      </c>
      <c r="C4357" t="s">
        <v>314</v>
      </c>
      <c r="D4357">
        <v>887</v>
      </c>
      <c r="E4357" t="s">
        <v>1183</v>
      </c>
      <c r="F4357" t="s">
        <v>392</v>
      </c>
      <c r="G4357" t="s">
        <v>319</v>
      </c>
      <c r="H4357" s="502">
        <v>52504</v>
      </c>
      <c r="I4357" s="415">
        <v>49923.255407720004</v>
      </c>
      <c r="J4357" s="415">
        <v>49495.4</v>
      </c>
      <c r="K4357" s="415">
        <v>63578.63</v>
      </c>
      <c r="L4357" s="415">
        <v>48981.87</v>
      </c>
      <c r="M4357" s="415">
        <v>39989.800000000003</v>
      </c>
      <c r="N4357" s="415">
        <v>26737.35</v>
      </c>
      <c r="O4357" s="415">
        <v>25198.26</v>
      </c>
      <c r="P4357" s="415">
        <v>20987.77</v>
      </c>
      <c r="Q4357" s="481">
        <f t="shared" si="114"/>
        <v>-427.8554077200024</v>
      </c>
    </row>
    <row r="4358" spans="1:17" x14ac:dyDescent="0.3">
      <c r="A4358" s="430" t="str">
        <f>IFERROR(VLOOKUP(RIGHT(E4358,3)+0,[1]SchLocTable!$A$2:$B$47,2,FALSE)," ")</f>
        <v>Cross</v>
      </c>
      <c r="B4358" s="430" t="str">
        <f>VLOOKUP(VALUE(D4358),$D$3:F$106,3,FALSE)</f>
        <v>Custodians</v>
      </c>
      <c r="C4358" t="s">
        <v>314</v>
      </c>
      <c r="D4358">
        <v>887</v>
      </c>
      <c r="E4358" t="s">
        <v>1183</v>
      </c>
      <c r="F4358" t="s">
        <v>1090</v>
      </c>
      <c r="G4358" t="s">
        <v>319</v>
      </c>
      <c r="H4358" s="502">
        <v>51138</v>
      </c>
      <c r="I4358" s="415">
        <v>4642.5132000000003</v>
      </c>
      <c r="J4358" s="415">
        <v>4197.37</v>
      </c>
      <c r="K4358" s="415">
        <v>4071.68</v>
      </c>
      <c r="L4358" s="415">
        <v>5943.58</v>
      </c>
      <c r="M4358" s="415">
        <v>5102.8999999999996</v>
      </c>
      <c r="N4358" s="415">
        <v>4105.6099999999997</v>
      </c>
      <c r="O4358" s="415">
        <v>2777.93</v>
      </c>
      <c r="P4358" s="415">
        <v>3328.94</v>
      </c>
      <c r="Q4358" s="481">
        <f t="shared" si="114"/>
        <v>-445.14320000000043</v>
      </c>
    </row>
    <row r="4359" spans="1:17" x14ac:dyDescent="0.3">
      <c r="A4359" s="430" t="str">
        <f>IFERROR(VLOOKUP(RIGHT(E4359,3)+0,[1]SchLocTable!$A$2:$B$47,2,FALSE)," ")</f>
        <v>Cross</v>
      </c>
      <c r="B4359" s="430" t="str">
        <f>VLOOKUP(VALUE(D4359),$D$3:F$106,3,FALSE)</f>
        <v>Custodians</v>
      </c>
      <c r="C4359" t="s">
        <v>314</v>
      </c>
      <c r="D4359">
        <v>887</v>
      </c>
      <c r="E4359" t="s">
        <v>1183</v>
      </c>
      <c r="F4359" t="s">
        <v>419</v>
      </c>
      <c r="G4359" t="s">
        <v>319</v>
      </c>
      <c r="H4359" s="502">
        <v>51318</v>
      </c>
      <c r="I4359" s="415">
        <v>0</v>
      </c>
      <c r="J4359" s="415">
        <v>0</v>
      </c>
      <c r="K4359" s="415">
        <v>203.13</v>
      </c>
      <c r="L4359" s="415">
        <v>0</v>
      </c>
      <c r="M4359" s="415">
        <v>0</v>
      </c>
      <c r="N4359" s="415">
        <v>0</v>
      </c>
      <c r="O4359" s="415">
        <v>695.23</v>
      </c>
      <c r="P4359" s="415">
        <v>0</v>
      </c>
      <c r="Q4359" s="481">
        <f t="shared" si="114"/>
        <v>0</v>
      </c>
    </row>
    <row r="4360" spans="1:17" x14ac:dyDescent="0.3">
      <c r="A4360" s="430" t="str">
        <f>IFERROR(VLOOKUP(RIGHT(E4360,3)+0,[1]SchLocTable!$A$2:$B$47,2,FALSE)," ")</f>
        <v>Cross</v>
      </c>
      <c r="B4360" s="430" t="str">
        <f>VLOOKUP(VALUE(D4360),$D$3:F$106,3,FALSE)</f>
        <v>Custodians</v>
      </c>
      <c r="C4360" t="s">
        <v>314</v>
      </c>
      <c r="D4360">
        <v>887</v>
      </c>
      <c r="E4360" t="s">
        <v>1183</v>
      </c>
      <c r="F4360" t="s">
        <v>452</v>
      </c>
      <c r="G4360" t="s">
        <v>319</v>
      </c>
      <c r="H4360" s="502">
        <v>51108</v>
      </c>
      <c r="I4360" s="415">
        <v>5707.610999999999</v>
      </c>
      <c r="J4360" s="415">
        <v>26.51</v>
      </c>
      <c r="K4360" s="415">
        <v>6724.61</v>
      </c>
      <c r="L4360" s="415">
        <v>3384.36</v>
      </c>
      <c r="M4360" s="415">
        <v>3180.46</v>
      </c>
      <c r="N4360" s="415">
        <v>5492.17</v>
      </c>
      <c r="O4360" s="415">
        <v>2808.88</v>
      </c>
      <c r="P4360" s="415">
        <v>553.79999999999995</v>
      </c>
      <c r="Q4360" s="481">
        <f t="shared" si="114"/>
        <v>-5681.1009999999987</v>
      </c>
    </row>
    <row r="4361" spans="1:17" x14ac:dyDescent="0.3">
      <c r="A4361" s="430" t="str">
        <f>IFERROR(VLOOKUP(RIGHT(E4361,3)+0,[1]SchLocTable!$A$2:$B$47,2,FALSE)," ")</f>
        <v>Cross</v>
      </c>
      <c r="B4361" s="430" t="str">
        <f>VLOOKUP(VALUE(D4361),$D$3:F$106,3,FALSE)</f>
        <v>Custodians</v>
      </c>
      <c r="C4361" t="s">
        <v>314</v>
      </c>
      <c r="D4361">
        <v>887</v>
      </c>
      <c r="E4361" t="s">
        <v>1183</v>
      </c>
      <c r="F4361" t="s">
        <v>483</v>
      </c>
      <c r="G4361" t="s">
        <v>319</v>
      </c>
      <c r="H4361" s="502">
        <v>51122</v>
      </c>
      <c r="I4361" s="415">
        <v>10408.164000000002</v>
      </c>
      <c r="J4361" s="415">
        <v>14385.07</v>
      </c>
      <c r="K4361" s="415">
        <v>17301.12</v>
      </c>
      <c r="L4361" s="415">
        <v>3745.89</v>
      </c>
      <c r="M4361" s="415">
        <v>10319.780000000001</v>
      </c>
      <c r="N4361" s="415">
        <v>11800.93</v>
      </c>
      <c r="O4361" s="415">
        <v>13816.32</v>
      </c>
      <c r="P4361" s="415">
        <v>1670.58</v>
      </c>
      <c r="Q4361" s="481">
        <f t="shared" si="114"/>
        <v>3976.9059999999972</v>
      </c>
    </row>
    <row r="4362" spans="1:17" x14ac:dyDescent="0.3">
      <c r="A4362" s="430" t="str">
        <f>IFERROR(VLOOKUP(RIGHT(E4362,3)+0,[1]SchLocTable!$A$2:$B$47,2,FALSE)," ")</f>
        <v>Cross</v>
      </c>
      <c r="B4362" s="430" t="str">
        <f>VLOOKUP(VALUE(D4362),$D$3:F$106,3,FALSE)</f>
        <v>Custodians</v>
      </c>
      <c r="C4362" t="s">
        <v>314</v>
      </c>
      <c r="D4362">
        <v>887</v>
      </c>
      <c r="E4362" t="s">
        <v>1183</v>
      </c>
      <c r="F4362" t="s">
        <v>324</v>
      </c>
      <c r="G4362" t="s">
        <v>319</v>
      </c>
      <c r="H4362" s="502">
        <v>52385</v>
      </c>
      <c r="I4362" s="415">
        <v>0</v>
      </c>
      <c r="J4362" s="415">
        <v>0</v>
      </c>
      <c r="K4362" s="415">
        <v>0</v>
      </c>
      <c r="L4362" s="415">
        <v>0</v>
      </c>
      <c r="M4362" s="415">
        <v>1554.82</v>
      </c>
      <c r="N4362" s="415">
        <v>1267.98</v>
      </c>
      <c r="O4362" s="415">
        <v>0</v>
      </c>
      <c r="P4362" s="415">
        <v>0</v>
      </c>
      <c r="Q4362" s="481">
        <f t="shared" si="114"/>
        <v>0</v>
      </c>
    </row>
    <row r="4363" spans="1:17" x14ac:dyDescent="0.3">
      <c r="A4363" s="430" t="str">
        <f>IFERROR(VLOOKUP(RIGHT(E4363,3)+0,[1]SchLocTable!$A$2:$B$47,2,FALSE)," ")</f>
        <v>Cross</v>
      </c>
      <c r="B4363" s="430" t="str">
        <f>VLOOKUP(VALUE(D4363),$D$3:F$106,3,FALSE)</f>
        <v>Custodians</v>
      </c>
      <c r="C4363" t="s">
        <v>314</v>
      </c>
      <c r="D4363">
        <v>887</v>
      </c>
      <c r="E4363" t="s">
        <v>1183</v>
      </c>
      <c r="F4363" t="s">
        <v>329</v>
      </c>
      <c r="G4363" t="s">
        <v>319</v>
      </c>
      <c r="H4363" s="502">
        <v>51154</v>
      </c>
      <c r="I4363" s="415">
        <v>2667.5558000000001</v>
      </c>
      <c r="J4363" s="415">
        <v>0</v>
      </c>
      <c r="K4363" s="415">
        <v>647.47</v>
      </c>
      <c r="L4363" s="415">
        <v>0</v>
      </c>
      <c r="M4363" s="415">
        <v>0</v>
      </c>
      <c r="N4363" s="415">
        <v>0</v>
      </c>
      <c r="O4363" s="415">
        <v>23006.18</v>
      </c>
      <c r="P4363" s="415">
        <v>0</v>
      </c>
      <c r="Q4363" s="481">
        <f t="shared" si="114"/>
        <v>-2667.5558000000001</v>
      </c>
    </row>
    <row r="4364" spans="1:17" x14ac:dyDescent="0.3">
      <c r="A4364" s="430" t="str">
        <f>IFERROR(VLOOKUP(RIGHT(E4364,3)+0,[1]SchLocTable!$A$2:$B$47,2,FALSE)," ")</f>
        <v>Cross</v>
      </c>
      <c r="B4364" s="430" t="str">
        <f>VLOOKUP(VALUE(D4364),$D$3:F$106,3,FALSE)</f>
        <v>Custodians</v>
      </c>
      <c r="C4364" t="s">
        <v>314</v>
      </c>
      <c r="D4364">
        <v>887</v>
      </c>
      <c r="E4364" t="s">
        <v>1183</v>
      </c>
      <c r="F4364" t="s">
        <v>418</v>
      </c>
      <c r="G4364" t="s">
        <v>319</v>
      </c>
      <c r="H4364" s="502">
        <v>51314</v>
      </c>
      <c r="I4364" s="415">
        <v>4184.4059000000007</v>
      </c>
      <c r="J4364" s="415">
        <v>0</v>
      </c>
      <c r="K4364" s="415">
        <v>1015.63</v>
      </c>
      <c r="L4364" s="415">
        <v>0</v>
      </c>
      <c r="M4364" s="415">
        <v>0</v>
      </c>
      <c r="N4364" s="415">
        <v>0</v>
      </c>
      <c r="O4364" s="415">
        <v>5098.33</v>
      </c>
      <c r="P4364" s="415">
        <v>0</v>
      </c>
      <c r="Q4364" s="481">
        <f t="shared" si="114"/>
        <v>-4184.4059000000007</v>
      </c>
    </row>
    <row r="4365" spans="1:17" x14ac:dyDescent="0.3">
      <c r="A4365" s="430" t="str">
        <f>IFERROR(VLOOKUP(RIGHT(E4365,3)+0,[1]SchLocTable!$A$2:$B$47,2,FALSE)," ")</f>
        <v>Cross</v>
      </c>
      <c r="B4365" s="430" t="str">
        <f>VLOOKUP(VALUE(D4365),$D$3:F$106,3,FALSE)</f>
        <v>Custodians</v>
      </c>
      <c r="C4365" t="s">
        <v>314</v>
      </c>
      <c r="D4365">
        <v>887</v>
      </c>
      <c r="E4365" t="s">
        <v>1183</v>
      </c>
      <c r="F4365" t="s">
        <v>356</v>
      </c>
      <c r="G4365" t="s">
        <v>319</v>
      </c>
      <c r="H4365" s="502">
        <v>51156</v>
      </c>
      <c r="I4365" s="415">
        <v>0</v>
      </c>
      <c r="J4365" s="415">
        <v>0</v>
      </c>
      <c r="K4365" s="415">
        <v>0</v>
      </c>
      <c r="L4365" s="415">
        <v>1196.6500000000001</v>
      </c>
      <c r="M4365" s="415">
        <v>2393.3000000000002</v>
      </c>
      <c r="N4365" s="415">
        <v>0</v>
      </c>
      <c r="O4365" s="415">
        <v>0</v>
      </c>
      <c r="P4365" s="415">
        <v>3068.53</v>
      </c>
      <c r="Q4365" s="481">
        <f t="shared" si="114"/>
        <v>0</v>
      </c>
    </row>
    <row r="4366" spans="1:17" hidden="1" x14ac:dyDescent="0.3">
      <c r="A4366" s="430" t="str">
        <f>IFERROR(VLOOKUP(RIGHT(E4366,3)+0,[1]SchLocTable!$A$2:$B$47,2,FALSE)," ")</f>
        <v>Blackham</v>
      </c>
      <c r="B4366" s="430" t="str">
        <f>VLOOKUP(VALUE(D4366),$D$3:F$106,3,FALSE)</f>
        <v>Custodians</v>
      </c>
      <c r="C4366" t="s">
        <v>314</v>
      </c>
      <c r="D4366">
        <v>887</v>
      </c>
      <c r="E4366" t="s">
        <v>1184</v>
      </c>
      <c r="F4366" t="s">
        <v>1089</v>
      </c>
      <c r="G4366" t="s">
        <v>319</v>
      </c>
      <c r="H4366" s="502">
        <v>51102</v>
      </c>
      <c r="I4366" s="415">
        <v>0</v>
      </c>
      <c r="J4366" s="415">
        <v>0</v>
      </c>
      <c r="K4366" s="415">
        <v>0</v>
      </c>
      <c r="L4366" s="415">
        <v>1270.8</v>
      </c>
      <c r="M4366" s="415">
        <v>2112.13</v>
      </c>
      <c r="N4366" s="415">
        <v>2250</v>
      </c>
      <c r="O4366" s="415">
        <v>788.03</v>
      </c>
      <c r="P4366" s="415">
        <v>1324.94</v>
      </c>
      <c r="Q4366" s="481">
        <f t="shared" si="114"/>
        <v>0</v>
      </c>
    </row>
    <row r="4367" spans="1:17" hidden="1" x14ac:dyDescent="0.3">
      <c r="A4367" s="430" t="str">
        <f>IFERROR(VLOOKUP(RIGHT(E4367,3)+0,[1]SchLocTable!$A$2:$B$47,2,FALSE)," ")</f>
        <v>Blackham</v>
      </c>
      <c r="B4367" s="430" t="str">
        <f>VLOOKUP(VALUE(D4367),$D$3:F$106,3,FALSE)</f>
        <v>Custodians</v>
      </c>
      <c r="C4367" t="s">
        <v>314</v>
      </c>
      <c r="D4367">
        <v>887</v>
      </c>
      <c r="E4367" t="s">
        <v>1184</v>
      </c>
      <c r="F4367" t="s">
        <v>316</v>
      </c>
      <c r="G4367">
        <v>6</v>
      </c>
      <c r="H4367" s="502">
        <v>51000</v>
      </c>
      <c r="I4367" s="415">
        <v>340839.90720000002</v>
      </c>
      <c r="J4367" s="415">
        <v>260803</v>
      </c>
      <c r="K4367" s="415">
        <v>275777.34999999998</v>
      </c>
      <c r="L4367" s="415">
        <v>278923.2</v>
      </c>
      <c r="M4367" s="415">
        <v>277234.90000000002</v>
      </c>
      <c r="N4367" s="415">
        <v>289114.2</v>
      </c>
      <c r="O4367" s="415">
        <v>288606.59000000003</v>
      </c>
      <c r="P4367" s="415">
        <v>304621.68</v>
      </c>
      <c r="Q4367" s="481">
        <f t="shared" si="114"/>
        <v>-80036.907200000016</v>
      </c>
    </row>
    <row r="4368" spans="1:17" hidden="1" x14ac:dyDescent="0.3">
      <c r="A4368" s="430" t="str">
        <f>IFERROR(VLOOKUP(RIGHT(E4368,3)+0,[1]SchLocTable!$A$2:$B$47,2,FALSE)," ")</f>
        <v>Blackham</v>
      </c>
      <c r="B4368" s="430" t="str">
        <f>VLOOKUP(VALUE(D4368),$D$3:F$106,3,FALSE)</f>
        <v>Custodians</v>
      </c>
      <c r="C4368" t="s">
        <v>314</v>
      </c>
      <c r="D4368">
        <v>887</v>
      </c>
      <c r="E4368" t="s">
        <v>1184</v>
      </c>
      <c r="F4368" t="s">
        <v>360</v>
      </c>
      <c r="G4368" t="s">
        <v>319</v>
      </c>
      <c r="H4368" s="502">
        <v>52920</v>
      </c>
      <c r="I4368" s="415">
        <v>4000</v>
      </c>
      <c r="J4368" s="415">
        <v>4000</v>
      </c>
      <c r="K4368" s="415">
        <v>5416.72</v>
      </c>
      <c r="L4368" s="415">
        <v>3000</v>
      </c>
      <c r="M4368" s="415">
        <v>4000</v>
      </c>
      <c r="N4368" s="415">
        <v>4000</v>
      </c>
      <c r="O4368" s="415">
        <v>4000</v>
      </c>
      <c r="P4368" s="415">
        <v>4000</v>
      </c>
      <c r="Q4368" s="481">
        <f t="shared" si="114"/>
        <v>0</v>
      </c>
    </row>
    <row r="4369" spans="1:17" hidden="1" x14ac:dyDescent="0.3">
      <c r="A4369" s="430" t="str">
        <f>IFERROR(VLOOKUP(RIGHT(E4369,3)+0,[1]SchLocTable!$A$2:$B$47,2,FALSE)," ")</f>
        <v>Blackham</v>
      </c>
      <c r="B4369" s="430" t="str">
        <f>VLOOKUP(VALUE(D4369),$D$3:F$106,3,FALSE)</f>
        <v>Custodians</v>
      </c>
      <c r="C4369" t="s">
        <v>314</v>
      </c>
      <c r="D4369">
        <v>887</v>
      </c>
      <c r="E4369" t="s">
        <v>1184</v>
      </c>
      <c r="F4369" t="s">
        <v>321</v>
      </c>
      <c r="G4369" t="s">
        <v>319</v>
      </c>
      <c r="H4369" s="502">
        <v>52917</v>
      </c>
      <c r="I4369" s="415">
        <v>32569.679999999997</v>
      </c>
      <c r="J4369" s="415">
        <v>27032</v>
      </c>
      <c r="K4369" s="415">
        <v>25198.45</v>
      </c>
      <c r="L4369" s="415">
        <v>39164.15</v>
      </c>
      <c r="M4369" s="415">
        <v>37823.300000000003</v>
      </c>
      <c r="N4369" s="415">
        <v>37630.69</v>
      </c>
      <c r="O4369" s="415">
        <v>41789.68</v>
      </c>
      <c r="P4369" s="415">
        <v>49353.06</v>
      </c>
      <c r="Q4369" s="481">
        <f t="shared" si="114"/>
        <v>-5537.6799999999967</v>
      </c>
    </row>
    <row r="4370" spans="1:17" x14ac:dyDescent="0.3">
      <c r="A4370" s="430" t="str">
        <f>IFERROR(VLOOKUP(RIGHT(E4370,3)+0,[1]SchLocTable!$A$2:$B$47,2,FALSE)," ")</f>
        <v>Blackham</v>
      </c>
      <c r="B4370" s="430" t="str">
        <f>VLOOKUP(VALUE(D4370),$D$3:F$106,3,FALSE)</f>
        <v>Custodians</v>
      </c>
      <c r="C4370" t="s">
        <v>314</v>
      </c>
      <c r="D4370">
        <v>887</v>
      </c>
      <c r="E4370" t="s">
        <v>1184</v>
      </c>
      <c r="F4370" t="s">
        <v>1087</v>
      </c>
      <c r="G4370" t="s">
        <v>319</v>
      </c>
      <c r="H4370" s="502">
        <v>51116</v>
      </c>
      <c r="I4370" s="415">
        <v>0</v>
      </c>
      <c r="J4370" s="415">
        <v>0</v>
      </c>
      <c r="K4370" s="415">
        <v>0</v>
      </c>
      <c r="L4370" s="415">
        <v>64.510000000000005</v>
      </c>
      <c r="M4370" s="415">
        <v>0</v>
      </c>
      <c r="N4370" s="415">
        <v>0</v>
      </c>
      <c r="O4370" s="415">
        <v>0</v>
      </c>
      <c r="P4370" s="415">
        <v>210.64</v>
      </c>
      <c r="Q4370" s="481">
        <f t="shared" si="114"/>
        <v>0</v>
      </c>
    </row>
    <row r="4371" spans="1:17" x14ac:dyDescent="0.3">
      <c r="A4371" s="430" t="str">
        <f>IFERROR(VLOOKUP(RIGHT(E4371,3)+0,[1]SchLocTable!$A$2:$B$47,2,FALSE)," ")</f>
        <v>Blackham</v>
      </c>
      <c r="B4371" s="430" t="str">
        <f>VLOOKUP(VALUE(D4371),$D$3:F$106,3,FALSE)</f>
        <v>Custodians</v>
      </c>
      <c r="C4371" t="s">
        <v>314</v>
      </c>
      <c r="D4371">
        <v>887</v>
      </c>
      <c r="E4371" t="s">
        <v>1184</v>
      </c>
      <c r="F4371" t="s">
        <v>318</v>
      </c>
      <c r="G4371" t="s">
        <v>319</v>
      </c>
      <c r="H4371" s="502">
        <v>51140</v>
      </c>
      <c r="I4371" s="415">
        <v>2025</v>
      </c>
      <c r="J4371" s="415">
        <v>900</v>
      </c>
      <c r="K4371" s="415">
        <v>2856.25</v>
      </c>
      <c r="L4371" s="415">
        <v>3693.75</v>
      </c>
      <c r="M4371" s="415">
        <v>4725</v>
      </c>
      <c r="N4371" s="415">
        <v>2700</v>
      </c>
      <c r="O4371" s="415">
        <v>2475</v>
      </c>
      <c r="P4371" s="415">
        <v>1575</v>
      </c>
      <c r="Q4371" s="481">
        <f t="shared" si="114"/>
        <v>-1125</v>
      </c>
    </row>
    <row r="4372" spans="1:17" x14ac:dyDescent="0.3">
      <c r="A4372" s="430" t="str">
        <f>IFERROR(VLOOKUP(RIGHT(E4372,3)+0,[1]SchLocTable!$A$2:$B$47,2,FALSE)," ")</f>
        <v>Blackham</v>
      </c>
      <c r="B4372" s="430" t="str">
        <f>VLOOKUP(VALUE(D4372),$D$3:F$106,3,FALSE)</f>
        <v>Custodians</v>
      </c>
      <c r="C4372" t="s">
        <v>314</v>
      </c>
      <c r="D4372">
        <v>887</v>
      </c>
      <c r="E4372" t="s">
        <v>1184</v>
      </c>
      <c r="F4372" t="s">
        <v>320</v>
      </c>
      <c r="G4372" t="s">
        <v>319</v>
      </c>
      <c r="H4372" s="502">
        <v>52360</v>
      </c>
      <c r="I4372" s="415">
        <v>5730.8187919000002</v>
      </c>
      <c r="J4372" s="415">
        <v>3682</v>
      </c>
      <c r="K4372" s="415">
        <v>4828.17</v>
      </c>
      <c r="L4372" s="415">
        <v>5249.29</v>
      </c>
      <c r="M4372" s="415">
        <v>5116.6899999999996</v>
      </c>
      <c r="N4372" s="415">
        <v>5063.97</v>
      </c>
      <c r="O4372" s="415">
        <v>4478.59</v>
      </c>
      <c r="P4372" s="415">
        <v>4745.3</v>
      </c>
      <c r="Q4372" s="481">
        <f t="shared" si="114"/>
        <v>-2048.8187919000002</v>
      </c>
    </row>
    <row r="4373" spans="1:17" x14ac:dyDescent="0.3">
      <c r="A4373" s="430" t="str">
        <f>IFERROR(VLOOKUP(RIGHT(E4373,3)+0,[1]SchLocTable!$A$2:$B$47,2,FALSE)," ")</f>
        <v>Blackham</v>
      </c>
      <c r="B4373" s="430" t="str">
        <f>VLOOKUP(VALUE(D4373),$D$3:F$106,3,FALSE)</f>
        <v>Custodians</v>
      </c>
      <c r="C4373" t="s">
        <v>314</v>
      </c>
      <c r="D4373">
        <v>887</v>
      </c>
      <c r="E4373" t="s">
        <v>1184</v>
      </c>
      <c r="F4373" t="s">
        <v>392</v>
      </c>
      <c r="G4373" t="s">
        <v>319</v>
      </c>
      <c r="H4373" s="502">
        <v>52504</v>
      </c>
      <c r="I4373" s="415">
        <v>82128.561721160004</v>
      </c>
      <c r="J4373" s="415">
        <v>54617</v>
      </c>
      <c r="K4373" s="415">
        <v>66476.600000000006</v>
      </c>
      <c r="L4373" s="415">
        <v>72367.25</v>
      </c>
      <c r="M4373" s="415">
        <v>73188.08</v>
      </c>
      <c r="N4373" s="415">
        <v>67352.03</v>
      </c>
      <c r="O4373" s="415">
        <v>52652.37</v>
      </c>
      <c r="P4373" s="415">
        <v>47180.2</v>
      </c>
      <c r="Q4373" s="481">
        <f t="shared" si="114"/>
        <v>-27511.561721160004</v>
      </c>
    </row>
    <row r="4374" spans="1:17" x14ac:dyDescent="0.3">
      <c r="A4374" s="430" t="str">
        <f>IFERROR(VLOOKUP(RIGHT(E4374,3)+0,[1]SchLocTable!$A$2:$B$47,2,FALSE)," ")</f>
        <v>Blackham</v>
      </c>
      <c r="B4374" s="430" t="str">
        <f>VLOOKUP(VALUE(D4374),$D$3:F$106,3,FALSE)</f>
        <v>Custodians</v>
      </c>
      <c r="C4374" t="s">
        <v>314</v>
      </c>
      <c r="D4374">
        <v>887</v>
      </c>
      <c r="E4374" t="s">
        <v>1184</v>
      </c>
      <c r="F4374" t="s">
        <v>1090</v>
      </c>
      <c r="G4374" t="s">
        <v>319</v>
      </c>
      <c r="H4374" s="502">
        <v>51138</v>
      </c>
      <c r="I4374" s="415">
        <v>7428.2363999999998</v>
      </c>
      <c r="J4374" s="415">
        <v>7388.77</v>
      </c>
      <c r="K4374" s="415">
        <v>6705.55</v>
      </c>
      <c r="L4374" s="415">
        <v>7532.72</v>
      </c>
      <c r="M4374" s="415">
        <v>8380.86</v>
      </c>
      <c r="N4374" s="415">
        <v>8610.41</v>
      </c>
      <c r="O4374" s="415">
        <v>7363.38</v>
      </c>
      <c r="P4374" s="415">
        <v>9088.74</v>
      </c>
      <c r="Q4374" s="481">
        <f t="shared" si="114"/>
        <v>-39.466399999999339</v>
      </c>
    </row>
    <row r="4375" spans="1:17" x14ac:dyDescent="0.3">
      <c r="A4375" s="430" t="str">
        <f>IFERROR(VLOOKUP(RIGHT(E4375,3)+0,[1]SchLocTable!$A$2:$B$47,2,FALSE)," ")</f>
        <v>Blackham</v>
      </c>
      <c r="B4375" s="430" t="str">
        <f>VLOOKUP(VALUE(D4375),$D$3:F$106,3,FALSE)</f>
        <v>Custodians</v>
      </c>
      <c r="C4375" t="s">
        <v>314</v>
      </c>
      <c r="D4375">
        <v>887</v>
      </c>
      <c r="E4375" t="s">
        <v>1184</v>
      </c>
      <c r="F4375" t="s">
        <v>419</v>
      </c>
      <c r="G4375" t="s">
        <v>319</v>
      </c>
      <c r="H4375" s="502">
        <v>51318</v>
      </c>
      <c r="I4375" s="415">
        <v>0</v>
      </c>
      <c r="J4375" s="415">
        <v>0</v>
      </c>
      <c r="K4375" s="415">
        <v>0</v>
      </c>
      <c r="L4375" s="415">
        <v>0</v>
      </c>
      <c r="M4375" s="415">
        <v>503.75</v>
      </c>
      <c r="N4375" s="415">
        <v>0</v>
      </c>
      <c r="O4375" s="415">
        <v>0</v>
      </c>
      <c r="P4375" s="415">
        <v>0</v>
      </c>
      <c r="Q4375" s="481">
        <f t="shared" si="114"/>
        <v>0</v>
      </c>
    </row>
    <row r="4376" spans="1:17" x14ac:dyDescent="0.3">
      <c r="A4376" s="430" t="str">
        <f>IFERROR(VLOOKUP(RIGHT(E4376,3)+0,[1]SchLocTable!$A$2:$B$47,2,FALSE)," ")</f>
        <v>Blackham</v>
      </c>
      <c r="B4376" s="430" t="str">
        <f>VLOOKUP(VALUE(D4376),$D$3:F$106,3,FALSE)</f>
        <v>Custodians</v>
      </c>
      <c r="C4376" t="s">
        <v>314</v>
      </c>
      <c r="D4376">
        <v>887</v>
      </c>
      <c r="E4376" t="s">
        <v>1184</v>
      </c>
      <c r="F4376" t="s">
        <v>452</v>
      </c>
      <c r="G4376" t="s">
        <v>319</v>
      </c>
      <c r="H4376" s="502">
        <v>51108</v>
      </c>
      <c r="I4376" s="415">
        <v>7294.7627999999995</v>
      </c>
      <c r="J4376" s="415">
        <v>1422.54</v>
      </c>
      <c r="K4376" s="415">
        <v>4779.03</v>
      </c>
      <c r="L4376" s="415">
        <v>9278.2199999999993</v>
      </c>
      <c r="M4376" s="415">
        <v>6554</v>
      </c>
      <c r="N4376" s="415">
        <v>5837.08</v>
      </c>
      <c r="O4376" s="415">
        <v>1375.46</v>
      </c>
      <c r="P4376" s="415">
        <v>1254.08</v>
      </c>
      <c r="Q4376" s="481">
        <f t="shared" si="114"/>
        <v>-5872.2227999999996</v>
      </c>
    </row>
    <row r="4377" spans="1:17" x14ac:dyDescent="0.3">
      <c r="A4377" s="430" t="str">
        <f>IFERROR(VLOOKUP(RIGHT(E4377,3)+0,[1]SchLocTable!$A$2:$B$47,2,FALSE)," ")</f>
        <v>Blackham</v>
      </c>
      <c r="B4377" s="430" t="str">
        <f>VLOOKUP(VALUE(D4377),$D$3:F$106,3,FALSE)</f>
        <v>Custodians</v>
      </c>
      <c r="C4377" t="s">
        <v>314</v>
      </c>
      <c r="D4377">
        <v>887</v>
      </c>
      <c r="E4377" t="s">
        <v>1184</v>
      </c>
      <c r="F4377" t="s">
        <v>483</v>
      </c>
      <c r="G4377" t="s">
        <v>319</v>
      </c>
      <c r="H4377" s="502">
        <v>51122</v>
      </c>
      <c r="I4377" s="415">
        <v>32897.546240000003</v>
      </c>
      <c r="J4377" s="415">
        <v>28163.99</v>
      </c>
      <c r="K4377" s="415">
        <v>35543.17</v>
      </c>
      <c r="L4377" s="415">
        <v>40334.54</v>
      </c>
      <c r="M4377" s="415">
        <v>24845.42</v>
      </c>
      <c r="N4377" s="415">
        <v>18885.53</v>
      </c>
      <c r="O4377" s="415">
        <v>14691.87</v>
      </c>
      <c r="P4377" s="415">
        <v>13557.99</v>
      </c>
      <c r="Q4377" s="481">
        <f t="shared" si="114"/>
        <v>-4733.5562400000017</v>
      </c>
    </row>
    <row r="4378" spans="1:17" x14ac:dyDescent="0.3">
      <c r="A4378" s="430" t="str">
        <f>IFERROR(VLOOKUP(RIGHT(E4378,3)+0,[1]SchLocTable!$A$2:$B$47,2,FALSE)," ")</f>
        <v>Blackham</v>
      </c>
      <c r="B4378" s="430" t="str">
        <f>VLOOKUP(VALUE(D4378),$D$3:F$106,3,FALSE)</f>
        <v>Custodians</v>
      </c>
      <c r="C4378" t="s">
        <v>314</v>
      </c>
      <c r="D4378">
        <v>887</v>
      </c>
      <c r="E4378" t="s">
        <v>1184</v>
      </c>
      <c r="F4378" t="s">
        <v>1148</v>
      </c>
      <c r="G4378" t="s">
        <v>319</v>
      </c>
      <c r="H4378" s="502">
        <v>51124</v>
      </c>
      <c r="I4378" s="415">
        <v>0</v>
      </c>
      <c r="J4378" s="415">
        <v>0</v>
      </c>
      <c r="K4378" s="415">
        <v>0</v>
      </c>
      <c r="L4378" s="415">
        <v>451.6</v>
      </c>
      <c r="M4378" s="415">
        <v>0</v>
      </c>
      <c r="N4378" s="415">
        <v>22.09</v>
      </c>
      <c r="O4378" s="415">
        <v>0</v>
      </c>
      <c r="P4378" s="415">
        <v>0</v>
      </c>
      <c r="Q4378" s="481">
        <f t="shared" si="114"/>
        <v>0</v>
      </c>
    </row>
    <row r="4379" spans="1:17" x14ac:dyDescent="0.3">
      <c r="A4379" s="430" t="str">
        <f>IFERROR(VLOOKUP(RIGHT(E4379,3)+0,[1]SchLocTable!$A$2:$B$47,2,FALSE)," ")</f>
        <v>Blackham</v>
      </c>
      <c r="B4379" s="430" t="str">
        <f>VLOOKUP(VALUE(D4379),$D$3:F$106,3,FALSE)</f>
        <v>Custodians</v>
      </c>
      <c r="C4379" t="s">
        <v>314</v>
      </c>
      <c r="D4379">
        <v>887</v>
      </c>
      <c r="E4379" t="s">
        <v>1184</v>
      </c>
      <c r="F4379" t="s">
        <v>324</v>
      </c>
      <c r="G4379" t="s">
        <v>319</v>
      </c>
      <c r="H4379" s="502">
        <v>52385</v>
      </c>
      <c r="I4379" s="415">
        <v>0</v>
      </c>
      <c r="J4379" s="415">
        <v>0</v>
      </c>
      <c r="K4379" s="415">
        <v>610.59</v>
      </c>
      <c r="L4379" s="415">
        <v>1102</v>
      </c>
      <c r="M4379" s="415">
        <v>1047.18</v>
      </c>
      <c r="N4379" s="415">
        <v>432.8</v>
      </c>
      <c r="O4379" s="415">
        <v>105.08</v>
      </c>
      <c r="P4379" s="415">
        <v>757.15</v>
      </c>
      <c r="Q4379" s="481">
        <f t="shared" si="114"/>
        <v>0</v>
      </c>
    </row>
    <row r="4380" spans="1:17" x14ac:dyDescent="0.3">
      <c r="A4380" s="430" t="str">
        <f>IFERROR(VLOOKUP(RIGHT(E4380,3)+0,[1]SchLocTable!$A$2:$B$47,2,FALSE)," ")</f>
        <v>Blackham</v>
      </c>
      <c r="B4380" s="430" t="str">
        <f>VLOOKUP(VALUE(D4380),$D$3:F$106,3,FALSE)</f>
        <v>Custodians</v>
      </c>
      <c r="C4380" t="s">
        <v>314</v>
      </c>
      <c r="D4380">
        <v>887</v>
      </c>
      <c r="E4380" t="s">
        <v>1184</v>
      </c>
      <c r="F4380" t="s">
        <v>418</v>
      </c>
      <c r="G4380" t="s">
        <v>319</v>
      </c>
      <c r="H4380" s="502">
        <v>51314</v>
      </c>
      <c r="I4380" s="415">
        <v>0</v>
      </c>
      <c r="J4380" s="415">
        <v>0</v>
      </c>
      <c r="K4380" s="415">
        <v>0</v>
      </c>
      <c r="L4380" s="415">
        <v>0</v>
      </c>
      <c r="M4380" s="415">
        <v>3610.19</v>
      </c>
      <c r="N4380" s="415">
        <v>0</v>
      </c>
      <c r="O4380" s="415">
        <v>119.41</v>
      </c>
      <c r="P4380" s="415">
        <v>0</v>
      </c>
      <c r="Q4380" s="481">
        <f t="shared" si="114"/>
        <v>0</v>
      </c>
    </row>
    <row r="4381" spans="1:17" x14ac:dyDescent="0.3">
      <c r="A4381" s="430" t="str">
        <f>IFERROR(VLOOKUP(RIGHT(E4381,3)+0,[1]SchLocTable!$A$2:$B$47,2,FALSE)," ")</f>
        <v>Dunbar</v>
      </c>
      <c r="B4381" s="430" t="str">
        <f>VLOOKUP(VALUE(D4381),$D$3:F$106,3,FALSE)</f>
        <v>Custodians</v>
      </c>
      <c r="C4381" t="s">
        <v>314</v>
      </c>
      <c r="D4381">
        <v>887</v>
      </c>
      <c r="E4381" t="s">
        <v>1185</v>
      </c>
      <c r="F4381" t="s">
        <v>1089</v>
      </c>
      <c r="G4381" t="s">
        <v>319</v>
      </c>
      <c r="H4381" s="502">
        <v>51102</v>
      </c>
      <c r="I4381" s="415">
        <v>4701.7152000000006</v>
      </c>
      <c r="J4381" s="415">
        <v>0</v>
      </c>
      <c r="K4381" s="415">
        <v>0</v>
      </c>
      <c r="L4381" s="415">
        <v>2263.83</v>
      </c>
      <c r="M4381" s="415">
        <v>5804.53</v>
      </c>
      <c r="N4381" s="415">
        <v>9214.9699999999993</v>
      </c>
      <c r="O4381" s="415">
        <v>4419.1099999999997</v>
      </c>
      <c r="P4381" s="415">
        <v>5745.12</v>
      </c>
      <c r="Q4381" s="481">
        <f t="shared" si="114"/>
        <v>-4701.7152000000006</v>
      </c>
    </row>
    <row r="4382" spans="1:17" x14ac:dyDescent="0.3">
      <c r="A4382" s="430" t="str">
        <f>IFERROR(VLOOKUP(RIGHT(E4382,3)+0,[1]SchLocTable!$A$2:$B$47,2,FALSE)," ")</f>
        <v>Dunbar</v>
      </c>
      <c r="B4382" s="430" t="str">
        <f>VLOOKUP(VALUE(D4382),$D$3:F$106,3,FALSE)</f>
        <v>Custodians</v>
      </c>
      <c r="C4382" t="s">
        <v>314</v>
      </c>
      <c r="D4382">
        <v>887</v>
      </c>
      <c r="E4382" t="s">
        <v>1185</v>
      </c>
      <c r="F4382" t="s">
        <v>316</v>
      </c>
      <c r="G4382">
        <v>3</v>
      </c>
      <c r="H4382" s="502">
        <v>51000</v>
      </c>
      <c r="I4382" s="415">
        <v>170896.79879999996</v>
      </c>
      <c r="J4382" s="415">
        <v>212905</v>
      </c>
      <c r="K4382" s="415">
        <v>206458.57</v>
      </c>
      <c r="L4382" s="415">
        <v>180988.49</v>
      </c>
      <c r="M4382" s="415">
        <v>182233.16</v>
      </c>
      <c r="N4382" s="415">
        <v>140742.53</v>
      </c>
      <c r="O4382" s="415">
        <v>92565.93</v>
      </c>
      <c r="P4382" s="415">
        <v>87400.51</v>
      </c>
      <c r="Q4382" s="481">
        <f t="shared" si="114"/>
        <v>42008.20120000004</v>
      </c>
    </row>
    <row r="4383" spans="1:17" x14ac:dyDescent="0.3">
      <c r="A4383" s="430" t="str">
        <f>IFERROR(VLOOKUP(RIGHT(E4383,3)+0,[1]SchLocTable!$A$2:$B$47,2,FALSE)," ")</f>
        <v>Dunbar</v>
      </c>
      <c r="B4383" s="430" t="str">
        <f>VLOOKUP(VALUE(D4383),$D$3:F$106,3,FALSE)</f>
        <v>Custodians</v>
      </c>
      <c r="C4383" t="s">
        <v>314</v>
      </c>
      <c r="D4383">
        <v>887</v>
      </c>
      <c r="E4383" t="s">
        <v>1185</v>
      </c>
      <c r="F4383" t="s">
        <v>321</v>
      </c>
      <c r="G4383" t="s">
        <v>319</v>
      </c>
      <c r="H4383" s="502">
        <v>52917</v>
      </c>
      <c r="I4383" s="415">
        <v>30061.824000000001</v>
      </c>
      <c r="J4383" s="415">
        <v>36767</v>
      </c>
      <c r="K4383" s="415">
        <v>32073.33</v>
      </c>
      <c r="L4383" s="415">
        <v>31325.84</v>
      </c>
      <c r="M4383" s="415">
        <v>36922.79</v>
      </c>
      <c r="N4383" s="415">
        <v>49882.1</v>
      </c>
      <c r="O4383" s="415">
        <v>45153.13</v>
      </c>
      <c r="P4383" s="415">
        <v>47516.49</v>
      </c>
      <c r="Q4383" s="481">
        <f t="shared" si="114"/>
        <v>6705.1759999999995</v>
      </c>
    </row>
    <row r="4384" spans="1:17" x14ac:dyDescent="0.3">
      <c r="A4384" s="430" t="str">
        <f>IFERROR(VLOOKUP(RIGHT(E4384,3)+0,[1]SchLocTable!$A$2:$B$47,2,FALSE)," ")</f>
        <v>Dunbar</v>
      </c>
      <c r="B4384" s="430" t="str">
        <f>VLOOKUP(VALUE(D4384),$D$3:F$106,3,FALSE)</f>
        <v>Custodians</v>
      </c>
      <c r="C4384" t="s">
        <v>314</v>
      </c>
      <c r="D4384">
        <v>887</v>
      </c>
      <c r="E4384" t="s">
        <v>1185</v>
      </c>
      <c r="F4384" t="s">
        <v>1087</v>
      </c>
      <c r="G4384" t="s">
        <v>319</v>
      </c>
      <c r="H4384" s="502">
        <v>51116</v>
      </c>
      <c r="I4384" s="415">
        <v>72.820999999999998</v>
      </c>
      <c r="J4384" s="415">
        <v>0</v>
      </c>
      <c r="K4384" s="415">
        <v>0</v>
      </c>
      <c r="L4384" s="415">
        <v>0</v>
      </c>
      <c r="M4384" s="415">
        <v>327.45</v>
      </c>
      <c r="N4384" s="415">
        <v>250.19</v>
      </c>
      <c r="O4384" s="415">
        <v>289.68</v>
      </c>
      <c r="P4384" s="415">
        <v>0</v>
      </c>
      <c r="Q4384" s="481">
        <f t="shared" si="114"/>
        <v>-72.820999999999998</v>
      </c>
    </row>
    <row r="4385" spans="1:17" x14ac:dyDescent="0.3">
      <c r="A4385" s="430" t="str">
        <f>IFERROR(VLOOKUP(RIGHT(E4385,3)+0,[1]SchLocTable!$A$2:$B$47,2,FALSE)," ")</f>
        <v>Dunbar</v>
      </c>
      <c r="B4385" s="430" t="str">
        <f>VLOOKUP(VALUE(D4385),$D$3:F$106,3,FALSE)</f>
        <v>Custodians</v>
      </c>
      <c r="C4385" t="s">
        <v>314</v>
      </c>
      <c r="D4385">
        <v>887</v>
      </c>
      <c r="E4385" t="s">
        <v>1185</v>
      </c>
      <c r="F4385" t="s">
        <v>318</v>
      </c>
      <c r="G4385" t="s">
        <v>319</v>
      </c>
      <c r="H4385" s="502">
        <v>51140</v>
      </c>
      <c r="I4385" s="415">
        <v>2250</v>
      </c>
      <c r="J4385" s="415">
        <v>900</v>
      </c>
      <c r="K4385" s="415">
        <v>2100</v>
      </c>
      <c r="L4385" s="415">
        <v>1950</v>
      </c>
      <c r="M4385" s="415">
        <v>900</v>
      </c>
      <c r="N4385" s="415">
        <v>3350</v>
      </c>
      <c r="O4385" s="415">
        <v>1800</v>
      </c>
      <c r="P4385" s="415">
        <v>1725</v>
      </c>
      <c r="Q4385" s="481">
        <f t="shared" si="114"/>
        <v>-1350</v>
      </c>
    </row>
    <row r="4386" spans="1:17" x14ac:dyDescent="0.3">
      <c r="A4386" s="430" t="str">
        <f>IFERROR(VLOOKUP(RIGHT(E4386,3)+0,[1]SchLocTable!$A$2:$B$47,2,FALSE)," ")</f>
        <v>Dunbar</v>
      </c>
      <c r="B4386" s="430" t="str">
        <f>VLOOKUP(VALUE(D4386),$D$3:F$106,3,FALSE)</f>
        <v>Custodians</v>
      </c>
      <c r="C4386" t="s">
        <v>314</v>
      </c>
      <c r="D4386">
        <v>887</v>
      </c>
      <c r="E4386" t="s">
        <v>1185</v>
      </c>
      <c r="F4386" t="s">
        <v>320</v>
      </c>
      <c r="G4386" t="s">
        <v>319</v>
      </c>
      <c r="H4386" s="502">
        <v>52360</v>
      </c>
      <c r="I4386" s="415">
        <v>2742.3997145999992</v>
      </c>
      <c r="J4386" s="415">
        <v>2921</v>
      </c>
      <c r="K4386" s="415">
        <v>3241.48</v>
      </c>
      <c r="L4386" s="415">
        <v>2943.56</v>
      </c>
      <c r="M4386" s="415">
        <v>2869.45</v>
      </c>
      <c r="N4386" s="415">
        <v>2605.89</v>
      </c>
      <c r="O4386" s="415">
        <v>1990.56</v>
      </c>
      <c r="P4386" s="415">
        <v>2174.38</v>
      </c>
      <c r="Q4386" s="481">
        <f t="shared" si="114"/>
        <v>178.60028540000076</v>
      </c>
    </row>
    <row r="4387" spans="1:17" x14ac:dyDescent="0.3">
      <c r="A4387" s="430" t="str">
        <f>IFERROR(VLOOKUP(RIGHT(E4387,3)+0,[1]SchLocTable!$A$2:$B$47,2,FALSE)," ")</f>
        <v>Dunbar</v>
      </c>
      <c r="B4387" s="430" t="str">
        <f>VLOOKUP(VALUE(D4387),$D$3:F$106,3,FALSE)</f>
        <v>Custodians</v>
      </c>
      <c r="C4387" t="s">
        <v>314</v>
      </c>
      <c r="D4387">
        <v>887</v>
      </c>
      <c r="E4387" t="s">
        <v>1185</v>
      </c>
      <c r="F4387" t="s">
        <v>392</v>
      </c>
      <c r="G4387" t="s">
        <v>319</v>
      </c>
      <c r="H4387" s="502">
        <v>52504</v>
      </c>
      <c r="I4387" s="415">
        <v>39301.424875440003</v>
      </c>
      <c r="J4387" s="415">
        <v>44710</v>
      </c>
      <c r="K4387" s="415">
        <v>47458.55</v>
      </c>
      <c r="L4387" s="415">
        <v>40384</v>
      </c>
      <c r="M4387" s="415">
        <v>45745.8</v>
      </c>
      <c r="N4387" s="415">
        <v>35335.040000000001</v>
      </c>
      <c r="O4387" s="415">
        <v>23176.19</v>
      </c>
      <c r="P4387" s="415">
        <v>22045.85</v>
      </c>
      <c r="Q4387" s="481">
        <f t="shared" si="114"/>
        <v>5408.5751245599968</v>
      </c>
    </row>
    <row r="4388" spans="1:17" x14ac:dyDescent="0.3">
      <c r="A4388" s="430" t="str">
        <f>IFERROR(VLOOKUP(RIGHT(E4388,3)+0,[1]SchLocTable!$A$2:$B$47,2,FALSE)," ")</f>
        <v>Dunbar</v>
      </c>
      <c r="B4388" s="430" t="str">
        <f>VLOOKUP(VALUE(D4388),$D$3:F$106,3,FALSE)</f>
        <v>Custodians</v>
      </c>
      <c r="C4388" t="s">
        <v>314</v>
      </c>
      <c r="D4388">
        <v>887</v>
      </c>
      <c r="E4388" t="s">
        <v>1185</v>
      </c>
      <c r="F4388" t="s">
        <v>1090</v>
      </c>
      <c r="G4388" t="s">
        <v>319</v>
      </c>
      <c r="H4388" s="502">
        <v>51138</v>
      </c>
      <c r="I4388" s="415">
        <v>5261.4431999999997</v>
      </c>
      <c r="J4388" s="415">
        <v>5832.97</v>
      </c>
      <c r="K4388" s="415">
        <v>5979.52</v>
      </c>
      <c r="L4388" s="415">
        <v>4962.84</v>
      </c>
      <c r="M4388" s="415">
        <v>5593.15</v>
      </c>
      <c r="N4388" s="415">
        <v>4645.84</v>
      </c>
      <c r="O4388" s="415">
        <v>640</v>
      </c>
      <c r="P4388" s="415">
        <v>413.62</v>
      </c>
      <c r="Q4388" s="481">
        <f t="shared" si="114"/>
        <v>571.52680000000055</v>
      </c>
    </row>
    <row r="4389" spans="1:17" x14ac:dyDescent="0.3">
      <c r="A4389" s="430" t="str">
        <f>IFERROR(VLOOKUP(RIGHT(E4389,3)+0,[1]SchLocTable!$A$2:$B$47,2,FALSE)," ")</f>
        <v>Dunbar</v>
      </c>
      <c r="B4389" s="430" t="str">
        <f>VLOOKUP(VALUE(D4389),$D$3:F$106,3,FALSE)</f>
        <v>Custodians</v>
      </c>
      <c r="C4389" t="s">
        <v>314</v>
      </c>
      <c r="D4389">
        <v>887</v>
      </c>
      <c r="E4389" t="s">
        <v>1185</v>
      </c>
      <c r="F4389" t="s">
        <v>452</v>
      </c>
      <c r="G4389" t="s">
        <v>319</v>
      </c>
      <c r="H4389" s="502">
        <v>51108</v>
      </c>
      <c r="I4389" s="415">
        <v>0</v>
      </c>
      <c r="J4389" s="415">
        <v>6673.27</v>
      </c>
      <c r="K4389" s="415">
        <v>5609.41</v>
      </c>
      <c r="L4389" s="415">
        <v>3827.7</v>
      </c>
      <c r="M4389" s="415">
        <v>3134.79</v>
      </c>
      <c r="N4389" s="415">
        <v>2730.16</v>
      </c>
      <c r="O4389" s="415">
        <v>6517.7</v>
      </c>
      <c r="P4389" s="415">
        <v>10438.01</v>
      </c>
      <c r="Q4389" s="481">
        <f t="shared" si="114"/>
        <v>6673.27</v>
      </c>
    </row>
    <row r="4390" spans="1:17" x14ac:dyDescent="0.3">
      <c r="A4390" s="430" t="str">
        <f>IFERROR(VLOOKUP(RIGHT(E4390,3)+0,[1]SchLocTable!$A$2:$B$47,2,FALSE)," ")</f>
        <v>Dunbar</v>
      </c>
      <c r="B4390" s="430" t="str">
        <f>VLOOKUP(VALUE(D4390),$D$3:F$106,3,FALSE)</f>
        <v>Custodians</v>
      </c>
      <c r="C4390" t="s">
        <v>314</v>
      </c>
      <c r="D4390">
        <v>887</v>
      </c>
      <c r="E4390" t="s">
        <v>1185</v>
      </c>
      <c r="F4390" t="s">
        <v>483</v>
      </c>
      <c r="G4390" t="s">
        <v>319</v>
      </c>
      <c r="H4390" s="502">
        <v>51122</v>
      </c>
      <c r="I4390" s="415">
        <v>8854.0420800000011</v>
      </c>
      <c r="J4390" s="415">
        <v>3949.61</v>
      </c>
      <c r="K4390" s="415">
        <v>7474.23</v>
      </c>
      <c r="L4390" s="415">
        <v>6016.09</v>
      </c>
      <c r="M4390" s="415">
        <v>6322.57</v>
      </c>
      <c r="N4390" s="415">
        <v>16590.189999999999</v>
      </c>
      <c r="O4390" s="415">
        <v>28162.33</v>
      </c>
      <c r="P4390" s="415">
        <v>38033.56</v>
      </c>
      <c r="Q4390" s="481">
        <f t="shared" si="114"/>
        <v>-4904.4320800000005</v>
      </c>
    </row>
    <row r="4391" spans="1:17" x14ac:dyDescent="0.3">
      <c r="A4391" s="430" t="str">
        <f>IFERROR(VLOOKUP(RIGHT(E4391,3)+0,[1]SchLocTable!$A$2:$B$47,2,FALSE)," ")</f>
        <v>Dunbar</v>
      </c>
      <c r="B4391" s="430" t="str">
        <f>VLOOKUP(VALUE(D4391),$D$3:F$106,3,FALSE)</f>
        <v>Custodians</v>
      </c>
      <c r="C4391" t="s">
        <v>314</v>
      </c>
      <c r="D4391">
        <v>887</v>
      </c>
      <c r="E4391" t="s">
        <v>1185</v>
      </c>
      <c r="F4391" t="s">
        <v>1148</v>
      </c>
      <c r="G4391" t="s">
        <v>319</v>
      </c>
      <c r="H4391" s="502">
        <v>51124</v>
      </c>
      <c r="I4391" s="415">
        <v>0</v>
      </c>
      <c r="J4391" s="415">
        <v>0</v>
      </c>
      <c r="K4391" s="415">
        <v>0</v>
      </c>
      <c r="L4391" s="415">
        <v>0</v>
      </c>
      <c r="M4391" s="415">
        <v>30.92</v>
      </c>
      <c r="N4391" s="415">
        <v>0</v>
      </c>
      <c r="O4391" s="415">
        <v>30.12</v>
      </c>
      <c r="P4391" s="415">
        <v>0</v>
      </c>
      <c r="Q4391" s="481">
        <f t="shared" si="114"/>
        <v>0</v>
      </c>
    </row>
    <row r="4392" spans="1:17" x14ac:dyDescent="0.3">
      <c r="A4392" s="430" t="str">
        <f>IFERROR(VLOOKUP(RIGHT(E4392,3)+0,[1]SchLocTable!$A$2:$B$47,2,FALSE)," ")</f>
        <v>Dunbar</v>
      </c>
      <c r="B4392" s="430" t="str">
        <f>VLOOKUP(VALUE(D4392),$D$3:F$106,3,FALSE)</f>
        <v>Custodians</v>
      </c>
      <c r="C4392" t="s">
        <v>314</v>
      </c>
      <c r="D4392">
        <v>887</v>
      </c>
      <c r="E4392" t="s">
        <v>1185</v>
      </c>
      <c r="F4392" t="s">
        <v>324</v>
      </c>
      <c r="G4392" t="s">
        <v>319</v>
      </c>
      <c r="H4392" s="502">
        <v>52385</v>
      </c>
      <c r="I4392" s="415">
        <v>0</v>
      </c>
      <c r="J4392" s="415">
        <v>0</v>
      </c>
      <c r="K4392" s="415">
        <v>202.26</v>
      </c>
      <c r="L4392" s="415">
        <v>1049.5999999999999</v>
      </c>
      <c r="M4392" s="415">
        <v>0</v>
      </c>
      <c r="N4392" s="415">
        <v>0</v>
      </c>
      <c r="O4392" s="415">
        <v>0</v>
      </c>
      <c r="P4392" s="415">
        <v>0</v>
      </c>
      <c r="Q4392" s="481">
        <f t="shared" si="114"/>
        <v>0</v>
      </c>
    </row>
    <row r="4393" spans="1:17" x14ac:dyDescent="0.3">
      <c r="A4393" s="430" t="str">
        <f>IFERROR(VLOOKUP(RIGHT(E4393,3)+0,[1]SchLocTable!$A$2:$B$47,2,FALSE)," ")</f>
        <v>Curiale</v>
      </c>
      <c r="B4393" s="430" t="str">
        <f>VLOOKUP(VALUE(D4393),$D$3:F$106,3,FALSE)</f>
        <v>Custodians</v>
      </c>
      <c r="C4393" t="s">
        <v>314</v>
      </c>
      <c r="D4393">
        <v>887</v>
      </c>
      <c r="E4393" t="s">
        <v>1186</v>
      </c>
      <c r="F4393" t="s">
        <v>1089</v>
      </c>
      <c r="G4393" t="s">
        <v>319</v>
      </c>
      <c r="H4393" s="502">
        <v>51102</v>
      </c>
      <c r="I4393" s="415">
        <v>12830.688</v>
      </c>
      <c r="J4393" s="415">
        <v>0</v>
      </c>
      <c r="K4393" s="415">
        <v>0</v>
      </c>
      <c r="L4393" s="415">
        <v>2231.88</v>
      </c>
      <c r="M4393" s="415">
        <v>4321.6899999999996</v>
      </c>
      <c r="N4393" s="415">
        <v>2499.38</v>
      </c>
      <c r="O4393" s="415">
        <v>1118.9100000000001</v>
      </c>
      <c r="P4393" s="415">
        <v>659</v>
      </c>
      <c r="Q4393" s="481">
        <f t="shared" si="114"/>
        <v>-12830.688</v>
      </c>
    </row>
    <row r="4394" spans="1:17" x14ac:dyDescent="0.3">
      <c r="A4394" s="430" t="str">
        <f>IFERROR(VLOOKUP(RIGHT(E4394,3)+0,[1]SchLocTable!$A$2:$B$47,2,FALSE)," ")</f>
        <v>Curiale</v>
      </c>
      <c r="B4394" s="430" t="str">
        <f>VLOOKUP(VALUE(D4394),$D$3:F$106,3,FALSE)</f>
        <v>Custodians</v>
      </c>
      <c r="C4394" t="s">
        <v>314</v>
      </c>
      <c r="D4394">
        <v>887</v>
      </c>
      <c r="E4394" t="s">
        <v>1186</v>
      </c>
      <c r="F4394" t="s">
        <v>316</v>
      </c>
      <c r="G4394">
        <v>3</v>
      </c>
      <c r="H4394" s="502">
        <v>51000</v>
      </c>
      <c r="I4394" s="415">
        <v>173032.37639999995</v>
      </c>
      <c r="J4394" s="415">
        <v>167328.07999999999</v>
      </c>
      <c r="K4394" s="415">
        <v>186976.09</v>
      </c>
      <c r="L4394" s="415">
        <v>172374.77</v>
      </c>
      <c r="M4394" s="415">
        <v>158055.70000000001</v>
      </c>
      <c r="N4394" s="415">
        <v>135181.73000000001</v>
      </c>
      <c r="O4394" s="415">
        <v>158039.82999999999</v>
      </c>
      <c r="P4394" s="415">
        <v>149891.65</v>
      </c>
      <c r="Q4394" s="481">
        <f t="shared" si="114"/>
        <v>-5704.2963999999629</v>
      </c>
    </row>
    <row r="4395" spans="1:17" x14ac:dyDescent="0.3">
      <c r="A4395" s="430" t="str">
        <f>IFERROR(VLOOKUP(RIGHT(E4395,3)+0,[1]SchLocTable!$A$2:$B$47,2,FALSE)," ")</f>
        <v>Curiale</v>
      </c>
      <c r="B4395" s="430" t="str">
        <f>VLOOKUP(VALUE(D4395),$D$3:F$106,3,FALSE)</f>
        <v>Custodians</v>
      </c>
      <c r="C4395" t="s">
        <v>314</v>
      </c>
      <c r="D4395">
        <v>887</v>
      </c>
      <c r="E4395" t="s">
        <v>1186</v>
      </c>
      <c r="F4395" t="s">
        <v>360</v>
      </c>
      <c r="G4395" t="s">
        <v>319</v>
      </c>
      <c r="H4395" s="502">
        <v>52920</v>
      </c>
      <c r="I4395" s="415">
        <v>0</v>
      </c>
      <c r="J4395" s="415">
        <v>0</v>
      </c>
      <c r="K4395" s="415">
        <v>250</v>
      </c>
      <c r="L4395" s="415">
        <v>250</v>
      </c>
      <c r="M4395" s="415">
        <v>0</v>
      </c>
      <c r="N4395" s="415">
        <v>625</v>
      </c>
      <c r="O4395" s="415">
        <v>500</v>
      </c>
      <c r="P4395" s="415">
        <v>0</v>
      </c>
      <c r="Q4395" s="481">
        <f t="shared" si="114"/>
        <v>0</v>
      </c>
    </row>
    <row r="4396" spans="1:17" x14ac:dyDescent="0.3">
      <c r="A4396" s="430" t="str">
        <f>IFERROR(VLOOKUP(RIGHT(E4396,3)+0,[1]SchLocTable!$A$2:$B$47,2,FALSE)," ")</f>
        <v>Curiale</v>
      </c>
      <c r="B4396" s="430" t="str">
        <f>VLOOKUP(VALUE(D4396),$D$3:F$106,3,FALSE)</f>
        <v>Custodians</v>
      </c>
      <c r="C4396" t="s">
        <v>314</v>
      </c>
      <c r="D4396">
        <v>887</v>
      </c>
      <c r="E4396" t="s">
        <v>1186</v>
      </c>
      <c r="F4396" t="s">
        <v>321</v>
      </c>
      <c r="G4396" t="s">
        <v>319</v>
      </c>
      <c r="H4396" s="502">
        <v>52917</v>
      </c>
      <c r="I4396" s="415">
        <v>88101.312000000005</v>
      </c>
      <c r="J4396" s="415">
        <v>73038</v>
      </c>
      <c r="K4396" s="415">
        <v>66853.16</v>
      </c>
      <c r="L4396" s="415">
        <v>74340.89</v>
      </c>
      <c r="M4396" s="415">
        <v>67832</v>
      </c>
      <c r="N4396" s="415">
        <v>49269.54</v>
      </c>
      <c r="O4396" s="415">
        <v>35711.08</v>
      </c>
      <c r="P4396" s="415">
        <v>50096.03</v>
      </c>
      <c r="Q4396" s="481">
        <f t="shared" si="114"/>
        <v>-15063.312000000005</v>
      </c>
    </row>
    <row r="4397" spans="1:17" x14ac:dyDescent="0.3">
      <c r="A4397" s="430" t="str">
        <f>IFERROR(VLOOKUP(RIGHT(E4397,3)+0,[1]SchLocTable!$A$2:$B$47,2,FALSE)," ")</f>
        <v>Curiale</v>
      </c>
      <c r="B4397" s="430" t="str">
        <f>VLOOKUP(VALUE(D4397),$D$3:F$106,3,FALSE)</f>
        <v>Custodians</v>
      </c>
      <c r="C4397" t="s">
        <v>314</v>
      </c>
      <c r="D4397">
        <v>887</v>
      </c>
      <c r="E4397" t="s">
        <v>1186</v>
      </c>
      <c r="F4397" t="s">
        <v>318</v>
      </c>
      <c r="G4397" t="s">
        <v>319</v>
      </c>
      <c r="H4397" s="502">
        <v>51140</v>
      </c>
      <c r="I4397" s="415">
        <v>2475</v>
      </c>
      <c r="J4397" s="415">
        <v>1350</v>
      </c>
      <c r="K4397" s="415">
        <v>2325</v>
      </c>
      <c r="L4397" s="415">
        <v>2175</v>
      </c>
      <c r="M4397" s="415">
        <v>2025</v>
      </c>
      <c r="N4397" s="415">
        <v>1875</v>
      </c>
      <c r="O4397" s="415">
        <v>1725</v>
      </c>
      <c r="P4397" s="415">
        <v>1875</v>
      </c>
      <c r="Q4397" s="481">
        <f t="shared" si="114"/>
        <v>-1125</v>
      </c>
    </row>
    <row r="4398" spans="1:17" x14ac:dyDescent="0.3">
      <c r="A4398" s="430" t="str">
        <f>IFERROR(VLOOKUP(RIGHT(E4398,3)+0,[1]SchLocTable!$A$2:$B$47,2,FALSE)," ")</f>
        <v>Curiale</v>
      </c>
      <c r="B4398" s="430" t="str">
        <f>VLOOKUP(VALUE(D4398),$D$3:F$106,3,FALSE)</f>
        <v>Custodians</v>
      </c>
      <c r="C4398" t="s">
        <v>314</v>
      </c>
      <c r="D4398">
        <v>887</v>
      </c>
      <c r="E4398" t="s">
        <v>1186</v>
      </c>
      <c r="F4398" t="s">
        <v>320</v>
      </c>
      <c r="G4398" t="s">
        <v>319</v>
      </c>
      <c r="H4398" s="502">
        <v>52360</v>
      </c>
      <c r="I4398" s="415">
        <v>2762.3308751999998</v>
      </c>
      <c r="J4398" s="415">
        <v>2639</v>
      </c>
      <c r="K4398" s="415">
        <v>3085.93</v>
      </c>
      <c r="L4398" s="415">
        <v>2876.37</v>
      </c>
      <c r="M4398" s="415">
        <v>2578.65</v>
      </c>
      <c r="N4398" s="415">
        <v>2531.4899999999998</v>
      </c>
      <c r="O4398" s="415">
        <v>2494.42</v>
      </c>
      <c r="P4398" s="415">
        <v>2519.7600000000002</v>
      </c>
      <c r="Q4398" s="481">
        <f t="shared" si="114"/>
        <v>-123.33087519999981</v>
      </c>
    </row>
    <row r="4399" spans="1:17" x14ac:dyDescent="0.3">
      <c r="A4399" s="430" t="str">
        <f>IFERROR(VLOOKUP(RIGHT(E4399,3)+0,[1]SchLocTable!$A$2:$B$47,2,FALSE)," ")</f>
        <v>Curiale</v>
      </c>
      <c r="B4399" s="430" t="str">
        <f>VLOOKUP(VALUE(D4399),$D$3:F$106,3,FALSE)</f>
        <v>Custodians</v>
      </c>
      <c r="C4399" t="s">
        <v>314</v>
      </c>
      <c r="D4399">
        <v>887</v>
      </c>
      <c r="E4399" t="s">
        <v>1186</v>
      </c>
      <c r="F4399" t="s">
        <v>392</v>
      </c>
      <c r="G4399" t="s">
        <v>319</v>
      </c>
      <c r="H4399" s="502">
        <v>52504</v>
      </c>
      <c r="I4399" s="415">
        <v>39587.059025280003</v>
      </c>
      <c r="J4399" s="415">
        <v>40534.14</v>
      </c>
      <c r="K4399" s="415">
        <v>48411.73</v>
      </c>
      <c r="L4399" s="415">
        <v>44166.51</v>
      </c>
      <c r="M4399" s="415">
        <v>43497.68</v>
      </c>
      <c r="N4399" s="415">
        <v>32033.79</v>
      </c>
      <c r="O4399" s="415">
        <v>30023.74</v>
      </c>
      <c r="P4399" s="415">
        <v>26631</v>
      </c>
      <c r="Q4399" s="481">
        <f t="shared" si="114"/>
        <v>947.08097471999645</v>
      </c>
    </row>
    <row r="4400" spans="1:17" x14ac:dyDescent="0.3">
      <c r="A4400" s="430" t="str">
        <f>IFERROR(VLOOKUP(RIGHT(E4400,3)+0,[1]SchLocTable!$A$2:$B$47,2,FALSE)," ")</f>
        <v>Curiale</v>
      </c>
      <c r="B4400" s="430" t="str">
        <f>VLOOKUP(VALUE(D4400),$D$3:F$106,3,FALSE)</f>
        <v>Custodians</v>
      </c>
      <c r="C4400" t="s">
        <v>314</v>
      </c>
      <c r="D4400">
        <v>887</v>
      </c>
      <c r="E4400" t="s">
        <v>1186</v>
      </c>
      <c r="F4400" t="s">
        <v>1090</v>
      </c>
      <c r="G4400" t="s">
        <v>319</v>
      </c>
      <c r="H4400" s="502">
        <v>51138</v>
      </c>
      <c r="I4400" s="415">
        <v>4642.5132000000003</v>
      </c>
      <c r="J4400" s="415">
        <v>4387.78</v>
      </c>
      <c r="K4400" s="415">
        <v>5117.96</v>
      </c>
      <c r="L4400" s="415">
        <v>5166.78</v>
      </c>
      <c r="M4400" s="415">
        <v>4198.93</v>
      </c>
      <c r="N4400" s="415">
        <v>3038.81</v>
      </c>
      <c r="O4400" s="415">
        <v>3996.3</v>
      </c>
      <c r="P4400" s="415">
        <v>3509.11</v>
      </c>
      <c r="Q4400" s="481">
        <f t="shared" si="114"/>
        <v>-254.73320000000058</v>
      </c>
    </row>
    <row r="4401" spans="1:17" x14ac:dyDescent="0.3">
      <c r="A4401" s="430" t="str">
        <f>IFERROR(VLOOKUP(RIGHT(E4401,3)+0,[1]SchLocTable!$A$2:$B$47,2,FALSE)," ")</f>
        <v>Curiale</v>
      </c>
      <c r="B4401" s="430" t="str">
        <f>VLOOKUP(VALUE(D4401),$D$3:F$106,3,FALSE)</f>
        <v>Custodians</v>
      </c>
      <c r="C4401" t="s">
        <v>314</v>
      </c>
      <c r="D4401">
        <v>887</v>
      </c>
      <c r="E4401" t="s">
        <v>1186</v>
      </c>
      <c r="F4401" t="s">
        <v>452</v>
      </c>
      <c r="G4401" t="s">
        <v>319</v>
      </c>
      <c r="H4401" s="502">
        <v>51108</v>
      </c>
      <c r="I4401" s="415">
        <v>0</v>
      </c>
      <c r="J4401" s="415">
        <v>1098.1600000000001</v>
      </c>
      <c r="K4401" s="415">
        <v>8548.7199999999993</v>
      </c>
      <c r="L4401" s="415">
        <v>5471.96</v>
      </c>
      <c r="M4401" s="415">
        <v>4052.87</v>
      </c>
      <c r="N4401" s="415">
        <v>4343.9799999999996</v>
      </c>
      <c r="O4401" s="415">
        <v>3952.79</v>
      </c>
      <c r="P4401" s="415">
        <v>3484.73</v>
      </c>
      <c r="Q4401" s="481">
        <f t="shared" si="114"/>
        <v>1098.1600000000001</v>
      </c>
    </row>
    <row r="4402" spans="1:17" x14ac:dyDescent="0.3">
      <c r="A4402" s="430" t="str">
        <f>IFERROR(VLOOKUP(RIGHT(E4402,3)+0,[1]SchLocTable!$A$2:$B$47,2,FALSE)," ")</f>
        <v>Curiale</v>
      </c>
      <c r="B4402" s="430" t="str">
        <f>VLOOKUP(VALUE(D4402),$D$3:F$106,3,FALSE)</f>
        <v>Custodians</v>
      </c>
      <c r="C4402" t="s">
        <v>314</v>
      </c>
      <c r="D4402">
        <v>887</v>
      </c>
      <c r="E4402" t="s">
        <v>1186</v>
      </c>
      <c r="F4402" t="s">
        <v>483</v>
      </c>
      <c r="G4402" t="s">
        <v>319</v>
      </c>
      <c r="H4402" s="502">
        <v>51122</v>
      </c>
      <c r="I4402" s="415">
        <v>3239.0072</v>
      </c>
      <c r="J4402" s="415">
        <v>11348.29</v>
      </c>
      <c r="K4402" s="415">
        <v>25517.89</v>
      </c>
      <c r="L4402" s="415">
        <v>18998.48</v>
      </c>
      <c r="M4402" s="415">
        <v>7744.44</v>
      </c>
      <c r="N4402" s="415">
        <v>12221.25</v>
      </c>
      <c r="O4402" s="415">
        <v>12377.25</v>
      </c>
      <c r="P4402" s="415">
        <v>16264.49</v>
      </c>
      <c r="Q4402" s="481">
        <f t="shared" si="114"/>
        <v>8109.2828000000009</v>
      </c>
    </row>
    <row r="4403" spans="1:17" x14ac:dyDescent="0.3">
      <c r="A4403" s="430" t="str">
        <f>IFERROR(VLOOKUP(RIGHT(E4403,3)+0,[1]SchLocTable!$A$2:$B$47,2,FALSE)," ")</f>
        <v>Curiale</v>
      </c>
      <c r="B4403" s="430" t="str">
        <f>VLOOKUP(VALUE(D4403),$D$3:F$106,3,FALSE)</f>
        <v>Custodians</v>
      </c>
      <c r="C4403" t="s">
        <v>314</v>
      </c>
      <c r="D4403">
        <v>887</v>
      </c>
      <c r="E4403" t="s">
        <v>1186</v>
      </c>
      <c r="F4403" t="s">
        <v>1148</v>
      </c>
      <c r="G4403" t="s">
        <v>319</v>
      </c>
      <c r="H4403" s="502">
        <v>51124</v>
      </c>
      <c r="I4403" s="415">
        <v>0</v>
      </c>
      <c r="J4403" s="415">
        <v>0</v>
      </c>
      <c r="K4403" s="415">
        <v>0</v>
      </c>
      <c r="L4403" s="415">
        <v>258.69</v>
      </c>
      <c r="M4403" s="415">
        <v>0</v>
      </c>
      <c r="N4403" s="415">
        <v>0</v>
      </c>
      <c r="O4403" s="415">
        <v>0</v>
      </c>
      <c r="P4403" s="415">
        <v>0</v>
      </c>
      <c r="Q4403" s="481">
        <f t="shared" si="114"/>
        <v>0</v>
      </c>
    </row>
    <row r="4404" spans="1:17" x14ac:dyDescent="0.3">
      <c r="A4404" s="430" t="str">
        <f>IFERROR(VLOOKUP(RIGHT(E4404,3)+0,[1]SchLocTable!$A$2:$B$47,2,FALSE)," ")</f>
        <v>Curiale</v>
      </c>
      <c r="B4404" s="430" t="str">
        <f>VLOOKUP(VALUE(D4404),$D$3:F$106,3,FALSE)</f>
        <v>Custodians</v>
      </c>
      <c r="C4404" t="s">
        <v>314</v>
      </c>
      <c r="D4404">
        <v>887</v>
      </c>
      <c r="E4404" t="s">
        <v>1186</v>
      </c>
      <c r="F4404" t="s">
        <v>1154</v>
      </c>
      <c r="G4404" t="s">
        <v>319</v>
      </c>
      <c r="H4404" s="502">
        <v>51128</v>
      </c>
      <c r="I4404" s="415">
        <v>0</v>
      </c>
      <c r="J4404" s="415">
        <v>0</v>
      </c>
      <c r="K4404" s="415">
        <v>0</v>
      </c>
      <c r="L4404" s="415">
        <v>0</v>
      </c>
      <c r="M4404" s="415">
        <v>24.93</v>
      </c>
      <c r="N4404" s="415">
        <v>0</v>
      </c>
      <c r="O4404" s="415">
        <v>0</v>
      </c>
      <c r="P4404" s="415">
        <v>0</v>
      </c>
      <c r="Q4404" s="481">
        <f t="shared" si="114"/>
        <v>0</v>
      </c>
    </row>
    <row r="4405" spans="1:17" x14ac:dyDescent="0.3">
      <c r="A4405" s="430" t="str">
        <f>IFERROR(VLOOKUP(RIGHT(E4405,3)+0,[1]SchLocTable!$A$2:$B$47,2,FALSE)," ")</f>
        <v>Curiale</v>
      </c>
      <c r="B4405" s="430" t="str">
        <f>VLOOKUP(VALUE(D4405),$D$3:F$106,3,FALSE)</f>
        <v>Custodians</v>
      </c>
      <c r="C4405" t="s">
        <v>314</v>
      </c>
      <c r="D4405">
        <v>887</v>
      </c>
      <c r="E4405" t="s">
        <v>1186</v>
      </c>
      <c r="F4405" t="s">
        <v>324</v>
      </c>
      <c r="G4405" t="s">
        <v>319</v>
      </c>
      <c r="H4405" s="502">
        <v>52385</v>
      </c>
      <c r="I4405" s="415">
        <v>0</v>
      </c>
      <c r="J4405" s="415">
        <v>0</v>
      </c>
      <c r="K4405" s="415">
        <v>0</v>
      </c>
      <c r="L4405" s="415">
        <v>470.61</v>
      </c>
      <c r="M4405" s="415">
        <v>46.25</v>
      </c>
      <c r="N4405" s="415">
        <v>1282.76</v>
      </c>
      <c r="O4405" s="415">
        <v>0</v>
      </c>
      <c r="P4405" s="415">
        <v>0</v>
      </c>
      <c r="Q4405" s="481">
        <f t="shared" si="114"/>
        <v>0</v>
      </c>
    </row>
    <row r="4406" spans="1:17" x14ac:dyDescent="0.3">
      <c r="A4406" s="430" t="str">
        <f>IFERROR(VLOOKUP(RIGHT(E4406,3)+0,[1]SchLocTable!$A$2:$B$47,2,FALSE)," ")</f>
        <v>Curiale</v>
      </c>
      <c r="B4406" s="430" t="str">
        <f>VLOOKUP(VALUE(D4406),$D$3:F$106,3,FALSE)</f>
        <v>Custodians</v>
      </c>
      <c r="C4406" t="s">
        <v>314</v>
      </c>
      <c r="D4406">
        <v>887</v>
      </c>
      <c r="E4406" t="s">
        <v>1186</v>
      </c>
      <c r="F4406" t="s">
        <v>356</v>
      </c>
      <c r="G4406" t="s">
        <v>319</v>
      </c>
      <c r="H4406" s="502">
        <v>51156</v>
      </c>
      <c r="I4406" s="415">
        <v>0</v>
      </c>
      <c r="J4406" s="415">
        <v>0</v>
      </c>
      <c r="K4406" s="415">
        <v>894.4</v>
      </c>
      <c r="L4406" s="415">
        <v>839.58</v>
      </c>
      <c r="M4406" s="415">
        <v>839.58</v>
      </c>
      <c r="N4406" s="415">
        <v>823.12</v>
      </c>
      <c r="O4406" s="415">
        <v>848.23</v>
      </c>
      <c r="P4406" s="415">
        <v>3072.07</v>
      </c>
      <c r="Q4406" s="481">
        <f t="shared" si="114"/>
        <v>0</v>
      </c>
    </row>
    <row r="4407" spans="1:17" x14ac:dyDescent="0.3">
      <c r="A4407" s="430" t="str">
        <f>IFERROR(VLOOKUP(RIGHT(E4407,3)+0,[1]SchLocTable!$A$2:$B$47,2,FALSE)," ")</f>
        <v>Skane</v>
      </c>
      <c r="B4407" s="430" t="str">
        <f>VLOOKUP(VALUE(D4407),$D$3:F$106,3,FALSE)</f>
        <v>Custodians</v>
      </c>
      <c r="C4407" t="s">
        <v>314</v>
      </c>
      <c r="D4407">
        <v>887</v>
      </c>
      <c r="E4407" t="s">
        <v>1187</v>
      </c>
      <c r="F4407" t="s">
        <v>1089</v>
      </c>
      <c r="G4407" t="s">
        <v>319</v>
      </c>
      <c r="H4407" s="502">
        <v>51102</v>
      </c>
      <c r="I4407" s="415">
        <v>0</v>
      </c>
      <c r="J4407" s="415">
        <v>0</v>
      </c>
      <c r="K4407" s="415">
        <v>0</v>
      </c>
      <c r="L4407" s="415">
        <v>0</v>
      </c>
      <c r="M4407" s="415">
        <v>1140.8</v>
      </c>
      <c r="N4407" s="415">
        <v>0</v>
      </c>
      <c r="O4407" s="415">
        <v>0</v>
      </c>
      <c r="P4407" s="415">
        <v>0</v>
      </c>
      <c r="Q4407" s="481">
        <f t="shared" si="114"/>
        <v>0</v>
      </c>
    </row>
    <row r="4408" spans="1:17" x14ac:dyDescent="0.3">
      <c r="A4408" s="430" t="str">
        <f>IFERROR(VLOOKUP(RIGHT(E4408,3)+0,[1]SchLocTable!$A$2:$B$47,2,FALSE)," ")</f>
        <v>Skane</v>
      </c>
      <c r="B4408" s="430" t="str">
        <f>VLOOKUP(VALUE(D4408),$D$3:F$106,3,FALSE)</f>
        <v>Custodians</v>
      </c>
      <c r="C4408" t="s">
        <v>314</v>
      </c>
      <c r="D4408">
        <v>887</v>
      </c>
      <c r="E4408" t="s">
        <v>1187</v>
      </c>
      <c r="F4408" t="s">
        <v>316</v>
      </c>
      <c r="G4408">
        <v>1</v>
      </c>
      <c r="H4408" s="502">
        <v>51000</v>
      </c>
      <c r="I4408" s="415">
        <v>49993.397999999994</v>
      </c>
      <c r="J4408" s="415">
        <v>47197.29</v>
      </c>
      <c r="K4408" s="415">
        <v>44350.32</v>
      </c>
      <c r="L4408" s="415">
        <v>41984.89</v>
      </c>
      <c r="M4408" s="415">
        <v>50049.74</v>
      </c>
      <c r="N4408" s="415">
        <v>33322.57</v>
      </c>
      <c r="O4408" s="415">
        <v>39933.370000000003</v>
      </c>
      <c r="P4408" s="415">
        <v>29223.7</v>
      </c>
      <c r="Q4408" s="481">
        <f t="shared" si="114"/>
        <v>-2796.1079999999929</v>
      </c>
    </row>
    <row r="4409" spans="1:17" x14ac:dyDescent="0.3">
      <c r="A4409" s="430" t="str">
        <f>IFERROR(VLOOKUP(RIGHT(E4409,3)+0,[1]SchLocTable!$A$2:$B$47,2,FALSE)," ")</f>
        <v>Skane</v>
      </c>
      <c r="B4409" s="430" t="str">
        <f>VLOOKUP(VALUE(D4409),$D$3:F$106,3,FALSE)</f>
        <v>Custodians</v>
      </c>
      <c r="C4409" t="s">
        <v>314</v>
      </c>
      <c r="D4409">
        <v>887</v>
      </c>
      <c r="E4409" t="s">
        <v>1187</v>
      </c>
      <c r="F4409" t="s">
        <v>321</v>
      </c>
      <c r="G4409" t="s">
        <v>319</v>
      </c>
      <c r="H4409" s="502">
        <v>52917</v>
      </c>
      <c r="I4409" s="415">
        <v>15361.008</v>
      </c>
      <c r="J4409" s="415">
        <v>12653.14</v>
      </c>
      <c r="K4409" s="415">
        <v>11110.5</v>
      </c>
      <c r="L4409" s="415">
        <v>11327.94</v>
      </c>
      <c r="M4409" s="415">
        <v>12811.24</v>
      </c>
      <c r="N4409" s="415">
        <v>9842.83</v>
      </c>
      <c r="O4409" s="415">
        <v>9508.44</v>
      </c>
      <c r="P4409" s="415">
        <v>8862.34</v>
      </c>
      <c r="Q4409" s="481">
        <f t="shared" si="114"/>
        <v>-2707.8680000000004</v>
      </c>
    </row>
    <row r="4410" spans="1:17" x14ac:dyDescent="0.3">
      <c r="A4410" s="430" t="str">
        <f>IFERROR(VLOOKUP(RIGHT(E4410,3)+0,[1]SchLocTable!$A$2:$B$47,2,FALSE)," ")</f>
        <v>Skane</v>
      </c>
      <c r="B4410" s="430" t="str">
        <f>VLOOKUP(VALUE(D4410),$D$3:F$106,3,FALSE)</f>
        <v>Custodians</v>
      </c>
      <c r="C4410" t="s">
        <v>314</v>
      </c>
      <c r="D4410">
        <v>887</v>
      </c>
      <c r="E4410" t="s">
        <v>1187</v>
      </c>
      <c r="F4410" t="s">
        <v>318</v>
      </c>
      <c r="G4410" t="s">
        <v>319</v>
      </c>
      <c r="H4410" s="502">
        <v>51140</v>
      </c>
      <c r="I4410" s="415">
        <v>750</v>
      </c>
      <c r="J4410" s="415">
        <v>750</v>
      </c>
      <c r="K4410" s="415">
        <v>0</v>
      </c>
      <c r="L4410" s="415">
        <v>1725</v>
      </c>
      <c r="M4410" s="415">
        <v>2625</v>
      </c>
      <c r="N4410" s="415">
        <v>1575</v>
      </c>
      <c r="O4410" s="415">
        <v>1500</v>
      </c>
      <c r="P4410" s="415">
        <v>1425</v>
      </c>
      <c r="Q4410" s="481">
        <f t="shared" si="114"/>
        <v>0</v>
      </c>
    </row>
    <row r="4411" spans="1:17" x14ac:dyDescent="0.3">
      <c r="A4411" s="430" t="str">
        <f>IFERROR(VLOOKUP(RIGHT(E4411,3)+0,[1]SchLocTable!$A$2:$B$47,2,FALSE)," ")</f>
        <v>Skane</v>
      </c>
      <c r="B4411" s="430" t="str">
        <f>VLOOKUP(VALUE(D4411),$D$3:F$106,3,FALSE)</f>
        <v>Custodians</v>
      </c>
      <c r="C4411" t="s">
        <v>314</v>
      </c>
      <c r="D4411">
        <v>887</v>
      </c>
      <c r="E4411" t="s">
        <v>1187</v>
      </c>
      <c r="F4411" t="s">
        <v>320</v>
      </c>
      <c r="G4411" t="s">
        <v>319</v>
      </c>
      <c r="H4411" s="502">
        <v>52360</v>
      </c>
      <c r="I4411" s="415">
        <v>1095.7924223999999</v>
      </c>
      <c r="J4411" s="415">
        <v>652</v>
      </c>
      <c r="K4411" s="415">
        <v>842.19</v>
      </c>
      <c r="L4411" s="415">
        <v>1277.8699999999999</v>
      </c>
      <c r="M4411" s="415">
        <v>1073.28</v>
      </c>
      <c r="N4411" s="415">
        <v>890.97</v>
      </c>
      <c r="O4411" s="415">
        <v>894.68</v>
      </c>
      <c r="P4411" s="415">
        <v>775.96</v>
      </c>
      <c r="Q4411" s="481">
        <f t="shared" si="114"/>
        <v>-443.79242239999985</v>
      </c>
    </row>
    <row r="4412" spans="1:17" x14ac:dyDescent="0.3">
      <c r="A4412" s="430" t="str">
        <f>IFERROR(VLOOKUP(RIGHT(E4412,3)+0,[1]SchLocTable!$A$2:$B$47,2,FALSE)," ")</f>
        <v>Skane</v>
      </c>
      <c r="B4412" s="430" t="str">
        <f>VLOOKUP(VALUE(D4412),$D$3:F$106,3,FALSE)</f>
        <v>Custodians</v>
      </c>
      <c r="C4412" t="s">
        <v>314</v>
      </c>
      <c r="D4412">
        <v>887</v>
      </c>
      <c r="E4412" t="s">
        <v>1187</v>
      </c>
      <c r="F4412" t="s">
        <v>392</v>
      </c>
      <c r="G4412" t="s">
        <v>319</v>
      </c>
      <c r="H4412" s="502">
        <v>52504</v>
      </c>
      <c r="I4412" s="415">
        <v>15703.838991359999</v>
      </c>
      <c r="J4412" s="415">
        <v>10193</v>
      </c>
      <c r="K4412" s="415">
        <v>12692.23</v>
      </c>
      <c r="L4412" s="415">
        <v>13887.46</v>
      </c>
      <c r="M4412" s="415">
        <v>16621.560000000001</v>
      </c>
      <c r="N4412" s="415">
        <v>12180.76</v>
      </c>
      <c r="O4412" s="415">
        <v>10521.03</v>
      </c>
      <c r="P4412" s="415">
        <v>8037.18</v>
      </c>
      <c r="Q4412" s="481">
        <f t="shared" si="114"/>
        <v>-5510.8389913599985</v>
      </c>
    </row>
    <row r="4413" spans="1:17" x14ac:dyDescent="0.3">
      <c r="A4413" s="430" t="str">
        <f>IFERROR(VLOOKUP(RIGHT(E4413,3)+0,[1]SchLocTable!$A$2:$B$47,2,FALSE)," ")</f>
        <v>Skane</v>
      </c>
      <c r="B4413" s="430" t="str">
        <f>VLOOKUP(VALUE(D4413),$D$3:F$106,3,FALSE)</f>
        <v>Custodians</v>
      </c>
      <c r="C4413" t="s">
        <v>314</v>
      </c>
      <c r="D4413">
        <v>887</v>
      </c>
      <c r="E4413" t="s">
        <v>1187</v>
      </c>
      <c r="F4413" t="s">
        <v>1090</v>
      </c>
      <c r="G4413" t="s">
        <v>319</v>
      </c>
      <c r="H4413" s="502">
        <v>51138</v>
      </c>
      <c r="I4413" s="415">
        <v>0</v>
      </c>
      <c r="J4413" s="415">
        <v>0</v>
      </c>
      <c r="K4413" s="415">
        <v>0</v>
      </c>
      <c r="L4413" s="415">
        <v>0</v>
      </c>
      <c r="M4413" s="415">
        <v>440</v>
      </c>
      <c r="N4413" s="415">
        <v>38.5</v>
      </c>
      <c r="O4413" s="415">
        <v>0</v>
      </c>
      <c r="P4413" s="415">
        <v>0</v>
      </c>
      <c r="Q4413" s="481">
        <f t="shared" si="114"/>
        <v>0</v>
      </c>
    </row>
    <row r="4414" spans="1:17" x14ac:dyDescent="0.3">
      <c r="A4414" s="430" t="str">
        <f>IFERROR(VLOOKUP(RIGHT(E4414,3)+0,[1]SchLocTable!$A$2:$B$47,2,FALSE)," ")</f>
        <v>Skane</v>
      </c>
      <c r="B4414" s="430" t="str">
        <f>VLOOKUP(VALUE(D4414),$D$3:F$106,3,FALSE)</f>
        <v>Custodians</v>
      </c>
      <c r="C4414" t="s">
        <v>314</v>
      </c>
      <c r="D4414">
        <v>887</v>
      </c>
      <c r="E4414" t="s">
        <v>1187</v>
      </c>
      <c r="F4414" t="s">
        <v>452</v>
      </c>
      <c r="G4414" t="s">
        <v>319</v>
      </c>
      <c r="H4414" s="502">
        <v>51108</v>
      </c>
      <c r="I4414" s="415">
        <v>0</v>
      </c>
      <c r="J4414" s="415">
        <v>139.34</v>
      </c>
      <c r="K4414" s="415">
        <v>714.22</v>
      </c>
      <c r="L4414" s="415">
        <v>1465.1</v>
      </c>
      <c r="M4414" s="415">
        <v>1358.06</v>
      </c>
      <c r="N4414" s="415">
        <v>2357.56</v>
      </c>
      <c r="O4414" s="415">
        <v>2738.54</v>
      </c>
      <c r="P4414" s="415">
        <v>408.04</v>
      </c>
      <c r="Q4414" s="481">
        <f t="shared" si="114"/>
        <v>139.34</v>
      </c>
    </row>
    <row r="4415" spans="1:17" x14ac:dyDescent="0.3">
      <c r="A4415" s="430" t="str">
        <f>IFERROR(VLOOKUP(RIGHT(E4415,3)+0,[1]SchLocTable!$A$2:$B$47,2,FALSE)," ")</f>
        <v>Skane</v>
      </c>
      <c r="B4415" s="430" t="str">
        <f>VLOOKUP(VALUE(D4415),$D$3:F$106,3,FALSE)</f>
        <v>Custodians</v>
      </c>
      <c r="C4415" t="s">
        <v>314</v>
      </c>
      <c r="D4415">
        <v>887</v>
      </c>
      <c r="E4415" t="s">
        <v>1187</v>
      </c>
      <c r="F4415" t="s">
        <v>483</v>
      </c>
      <c r="G4415" t="s">
        <v>319</v>
      </c>
      <c r="H4415" s="502">
        <v>51122</v>
      </c>
      <c r="I4415" s="415">
        <v>21630.964160000003</v>
      </c>
      <c r="J4415" s="415">
        <v>18483.099999999999</v>
      </c>
      <c r="K4415" s="415">
        <v>15012.25</v>
      </c>
      <c r="L4415" s="415">
        <v>13219.11</v>
      </c>
      <c r="M4415" s="415">
        <v>14308.38</v>
      </c>
      <c r="N4415" s="415">
        <v>19080.16</v>
      </c>
      <c r="O4415" s="415">
        <v>17493.93</v>
      </c>
      <c r="P4415" s="415">
        <v>14434.17</v>
      </c>
      <c r="Q4415" s="481">
        <f t="shared" ref="Q4415:Q4478" si="115">J4415-I4415</f>
        <v>-3147.8641600000046</v>
      </c>
    </row>
    <row r="4416" spans="1:17" x14ac:dyDescent="0.3">
      <c r="A4416" s="430" t="str">
        <f>IFERROR(VLOOKUP(RIGHT(E4416,3)+0,[1]SchLocTable!$A$2:$B$47,2,FALSE)," ")</f>
        <v>Skane</v>
      </c>
      <c r="B4416" s="430" t="str">
        <f>VLOOKUP(VALUE(D4416),$D$3:F$106,3,FALSE)</f>
        <v>Custodians</v>
      </c>
      <c r="C4416" t="s">
        <v>314</v>
      </c>
      <c r="D4416">
        <v>887</v>
      </c>
      <c r="E4416" t="s">
        <v>1187</v>
      </c>
      <c r="F4416" t="s">
        <v>329</v>
      </c>
      <c r="G4416" t="s">
        <v>319</v>
      </c>
      <c r="H4416" s="502">
        <v>51154</v>
      </c>
      <c r="I4416" s="415">
        <v>0</v>
      </c>
      <c r="J4416" s="415">
        <v>0</v>
      </c>
      <c r="K4416" s="415">
        <v>0</v>
      </c>
      <c r="L4416" s="415">
        <v>14619.85</v>
      </c>
      <c r="M4416" s="415">
        <v>0</v>
      </c>
      <c r="N4416" s="415">
        <v>0</v>
      </c>
      <c r="O4416" s="415">
        <v>0</v>
      </c>
      <c r="P4416" s="415">
        <v>0</v>
      </c>
      <c r="Q4416" s="481">
        <f t="shared" si="115"/>
        <v>0</v>
      </c>
    </row>
    <row r="4417" spans="1:17" x14ac:dyDescent="0.3">
      <c r="A4417" s="430" t="str">
        <f>IFERROR(VLOOKUP(RIGHT(E4417,3)+0,[1]SchLocTable!$A$2:$B$47,2,FALSE)," ")</f>
        <v>Skane</v>
      </c>
      <c r="B4417" s="430" t="str">
        <f>VLOOKUP(VALUE(D4417),$D$3:F$106,3,FALSE)</f>
        <v>Custodians</v>
      </c>
      <c r="C4417" t="s">
        <v>314</v>
      </c>
      <c r="D4417">
        <v>887</v>
      </c>
      <c r="E4417" t="s">
        <v>1187</v>
      </c>
      <c r="F4417" t="s">
        <v>418</v>
      </c>
      <c r="G4417" t="s">
        <v>319</v>
      </c>
      <c r="H4417" s="502">
        <v>51314</v>
      </c>
      <c r="I4417" s="415">
        <v>0</v>
      </c>
      <c r="J4417" s="415">
        <v>0</v>
      </c>
      <c r="K4417" s="415">
        <v>0</v>
      </c>
      <c r="L4417" s="415">
        <v>4831.63</v>
      </c>
      <c r="M4417" s="415">
        <v>0</v>
      </c>
      <c r="N4417" s="415">
        <v>0</v>
      </c>
      <c r="O4417" s="415">
        <v>0</v>
      </c>
      <c r="P4417" s="415">
        <v>0</v>
      </c>
      <c r="Q4417" s="481">
        <f t="shared" si="115"/>
        <v>0</v>
      </c>
    </row>
    <row r="4418" spans="1:17" x14ac:dyDescent="0.3">
      <c r="A4418" s="430" t="str">
        <f>IFERROR(VLOOKUP(RIGHT(E4418,3)+0,[1]SchLocTable!$A$2:$B$47,2,FALSE)," ")</f>
        <v>Skane</v>
      </c>
      <c r="B4418" s="430" t="str">
        <f>VLOOKUP(VALUE(D4418),$D$3:F$106,3,FALSE)</f>
        <v>Custodians</v>
      </c>
      <c r="C4418" t="s">
        <v>314</v>
      </c>
      <c r="D4418">
        <v>887</v>
      </c>
      <c r="E4418" t="s">
        <v>1187</v>
      </c>
      <c r="F4418" t="s">
        <v>356</v>
      </c>
      <c r="G4418" t="s">
        <v>319</v>
      </c>
      <c r="H4418" s="502">
        <v>51156</v>
      </c>
      <c r="I4418" s="415">
        <v>0</v>
      </c>
      <c r="J4418" s="415">
        <v>0</v>
      </c>
      <c r="K4418" s="415">
        <v>0</v>
      </c>
      <c r="L4418" s="415">
        <v>1618.25</v>
      </c>
      <c r="M4418" s="415">
        <v>785.2</v>
      </c>
      <c r="N4418" s="415">
        <v>770</v>
      </c>
      <c r="O4418" s="415">
        <v>757.73</v>
      </c>
      <c r="P4418" s="415">
        <v>0</v>
      </c>
      <c r="Q4418" s="481">
        <f t="shared" si="115"/>
        <v>0</v>
      </c>
    </row>
    <row r="4419" spans="1:17" x14ac:dyDescent="0.3">
      <c r="A4419" s="430" t="str">
        <f>IFERROR(VLOOKUP(RIGHT(E4419,3)+0,[1]SchLocTable!$A$2:$B$47,2,FALSE)," ")</f>
        <v>High Horizons Magnet</v>
      </c>
      <c r="B4419" s="430" t="str">
        <f>VLOOKUP(VALUE(D4419),$D$3:F$106,3,FALSE)</f>
        <v>Custodians</v>
      </c>
      <c r="C4419" t="s">
        <v>314</v>
      </c>
      <c r="D4419">
        <v>887</v>
      </c>
      <c r="E4419" t="s">
        <v>1188</v>
      </c>
      <c r="F4419" t="s">
        <v>1089</v>
      </c>
      <c r="G4419" t="s">
        <v>319</v>
      </c>
      <c r="H4419" s="502">
        <v>51102</v>
      </c>
      <c r="I4419" s="415">
        <v>0</v>
      </c>
      <c r="J4419" s="415">
        <v>0</v>
      </c>
      <c r="K4419" s="415">
        <v>0</v>
      </c>
      <c r="L4419" s="415">
        <v>346.26</v>
      </c>
      <c r="M4419" s="415">
        <v>2102.92</v>
      </c>
      <c r="N4419" s="415">
        <v>3403.76</v>
      </c>
      <c r="O4419" s="415">
        <v>4237.2700000000004</v>
      </c>
      <c r="P4419" s="415">
        <v>4816.54</v>
      </c>
      <c r="Q4419" s="481">
        <f t="shared" si="115"/>
        <v>0</v>
      </c>
    </row>
    <row r="4420" spans="1:17" x14ac:dyDescent="0.3">
      <c r="A4420" s="430" t="str">
        <f>IFERROR(VLOOKUP(RIGHT(E4420,3)+0,[1]SchLocTable!$A$2:$B$47,2,FALSE)," ")</f>
        <v>High Horizons Magnet</v>
      </c>
      <c r="B4420" s="430" t="str">
        <f>VLOOKUP(VALUE(D4420),$D$3:F$106,3,FALSE)</f>
        <v>Custodians</v>
      </c>
      <c r="C4420" t="s">
        <v>314</v>
      </c>
      <c r="D4420">
        <v>887</v>
      </c>
      <c r="E4420" t="s">
        <v>1188</v>
      </c>
      <c r="F4420" t="s">
        <v>316</v>
      </c>
      <c r="G4420">
        <v>6</v>
      </c>
      <c r="H4420" s="502">
        <v>51000</v>
      </c>
      <c r="I4420" s="415">
        <v>198695.36699999997</v>
      </c>
      <c r="J4420" s="415">
        <v>209334.27</v>
      </c>
      <c r="K4420" s="415">
        <v>319234.13</v>
      </c>
      <c r="L4420" s="415">
        <v>289153.78000000003</v>
      </c>
      <c r="M4420" s="415">
        <v>283863.61</v>
      </c>
      <c r="N4420" s="415">
        <v>256763.66</v>
      </c>
      <c r="O4420" s="415">
        <v>266908.78000000003</v>
      </c>
      <c r="P4420" s="415">
        <v>295596.32</v>
      </c>
      <c r="Q4420" s="481">
        <f t="shared" si="115"/>
        <v>10638.90300000002</v>
      </c>
    </row>
    <row r="4421" spans="1:17" x14ac:dyDescent="0.3">
      <c r="A4421" s="430" t="str">
        <f>IFERROR(VLOOKUP(RIGHT(E4421,3)+0,[1]SchLocTable!$A$2:$B$47,2,FALSE)," ")</f>
        <v>High Horizons Magnet</v>
      </c>
      <c r="B4421" s="430" t="str">
        <f>VLOOKUP(VALUE(D4421),$D$3:F$106,3,FALSE)</f>
        <v>Custodians</v>
      </c>
      <c r="C4421" t="s">
        <v>314</v>
      </c>
      <c r="D4421">
        <v>887</v>
      </c>
      <c r="E4421" t="s">
        <v>1188</v>
      </c>
      <c r="F4421" t="s">
        <v>360</v>
      </c>
      <c r="G4421" t="s">
        <v>319</v>
      </c>
      <c r="H4421" s="502">
        <v>52920</v>
      </c>
      <c r="I4421" s="415">
        <v>4000</v>
      </c>
      <c r="J4421" s="415">
        <v>4000</v>
      </c>
      <c r="K4421" s="415">
        <v>4000</v>
      </c>
      <c r="L4421" s="415">
        <v>1000</v>
      </c>
      <c r="M4421" s="415">
        <v>4000</v>
      </c>
      <c r="N4421" s="415">
        <v>3833.35</v>
      </c>
      <c r="O4421" s="415">
        <v>2000</v>
      </c>
      <c r="P4421" s="415">
        <v>2000</v>
      </c>
      <c r="Q4421" s="481">
        <f t="shared" si="115"/>
        <v>0</v>
      </c>
    </row>
    <row r="4422" spans="1:17" x14ac:dyDescent="0.3">
      <c r="A4422" s="430" t="str">
        <f>IFERROR(VLOOKUP(RIGHT(E4422,3)+0,[1]SchLocTable!$A$2:$B$47,2,FALSE)," ")</f>
        <v>High Horizons Magnet</v>
      </c>
      <c r="B4422" s="430" t="str">
        <f>VLOOKUP(VALUE(D4422),$D$3:F$106,3,FALSE)</f>
        <v>Custodians</v>
      </c>
      <c r="C4422" t="s">
        <v>314</v>
      </c>
      <c r="D4422">
        <v>887</v>
      </c>
      <c r="E4422" t="s">
        <v>1188</v>
      </c>
      <c r="F4422" t="s">
        <v>321</v>
      </c>
      <c r="G4422" t="s">
        <v>319</v>
      </c>
      <c r="H4422" s="502">
        <v>52917</v>
      </c>
      <c r="I4422" s="415">
        <v>73902.815999999992</v>
      </c>
      <c r="J4422" s="415">
        <v>69504.429999999993</v>
      </c>
      <c r="K4422" s="415">
        <v>100458.67</v>
      </c>
      <c r="L4422" s="415">
        <v>121078.84</v>
      </c>
      <c r="M4422" s="415">
        <v>109486.87</v>
      </c>
      <c r="N4422" s="415">
        <v>74855.44</v>
      </c>
      <c r="O4422" s="415">
        <v>87607.58</v>
      </c>
      <c r="P4422" s="415">
        <v>109954.93</v>
      </c>
      <c r="Q4422" s="481">
        <f t="shared" si="115"/>
        <v>-4398.3859999999986</v>
      </c>
    </row>
    <row r="4423" spans="1:17" x14ac:dyDescent="0.3">
      <c r="A4423" s="430" t="str">
        <f>IFERROR(VLOOKUP(RIGHT(E4423,3)+0,[1]SchLocTable!$A$2:$B$47,2,FALSE)," ")</f>
        <v>High Horizons Magnet</v>
      </c>
      <c r="B4423" s="430" t="str">
        <f>VLOOKUP(VALUE(D4423),$D$3:F$106,3,FALSE)</f>
        <v>Custodians</v>
      </c>
      <c r="C4423" t="s">
        <v>314</v>
      </c>
      <c r="D4423">
        <v>887</v>
      </c>
      <c r="E4423" t="s">
        <v>1188</v>
      </c>
      <c r="F4423" t="s">
        <v>1087</v>
      </c>
      <c r="G4423" t="s">
        <v>319</v>
      </c>
      <c r="H4423" s="502">
        <v>51116</v>
      </c>
      <c r="I4423" s="415">
        <v>109.2315</v>
      </c>
      <c r="J4423" s="415">
        <v>0</v>
      </c>
      <c r="K4423" s="415">
        <v>0</v>
      </c>
      <c r="L4423" s="415">
        <v>258.81</v>
      </c>
      <c r="M4423" s="415">
        <v>0</v>
      </c>
      <c r="N4423" s="415">
        <v>0</v>
      </c>
      <c r="O4423" s="415">
        <v>0</v>
      </c>
      <c r="P4423" s="415">
        <v>0</v>
      </c>
      <c r="Q4423" s="481">
        <f t="shared" si="115"/>
        <v>-109.2315</v>
      </c>
    </row>
    <row r="4424" spans="1:17" x14ac:dyDescent="0.3">
      <c r="A4424" s="430" t="str">
        <f>IFERROR(VLOOKUP(RIGHT(E4424,3)+0,[1]SchLocTable!$A$2:$B$47,2,FALSE)," ")</f>
        <v>High Horizons Magnet</v>
      </c>
      <c r="B4424" s="430" t="str">
        <f>VLOOKUP(VALUE(D4424),$D$3:F$106,3,FALSE)</f>
        <v>Custodians</v>
      </c>
      <c r="C4424" t="s">
        <v>314</v>
      </c>
      <c r="D4424">
        <v>887</v>
      </c>
      <c r="E4424" t="s">
        <v>1188</v>
      </c>
      <c r="F4424" t="s">
        <v>318</v>
      </c>
      <c r="G4424" t="s">
        <v>319</v>
      </c>
      <c r="H4424" s="502">
        <v>51140</v>
      </c>
      <c r="I4424" s="415">
        <v>6825</v>
      </c>
      <c r="J4424" s="415">
        <v>3075</v>
      </c>
      <c r="K4424" s="415">
        <v>4650</v>
      </c>
      <c r="L4424" s="415">
        <v>6441.25</v>
      </c>
      <c r="M4424" s="415">
        <v>3590</v>
      </c>
      <c r="N4424" s="415">
        <v>3370</v>
      </c>
      <c r="O4424" s="415">
        <v>3150</v>
      </c>
      <c r="P4424" s="415">
        <v>6380</v>
      </c>
      <c r="Q4424" s="481">
        <f t="shared" si="115"/>
        <v>-3750</v>
      </c>
    </row>
    <row r="4425" spans="1:17" x14ac:dyDescent="0.3">
      <c r="A4425" s="430" t="str">
        <f>IFERROR(VLOOKUP(RIGHT(E4425,3)+0,[1]SchLocTable!$A$2:$B$47,2,FALSE)," ")</f>
        <v>High Horizons Magnet</v>
      </c>
      <c r="B4425" s="430" t="str">
        <f>VLOOKUP(VALUE(D4425),$D$3:F$106,3,FALSE)</f>
        <v>Custodians</v>
      </c>
      <c r="C4425" t="s">
        <v>314</v>
      </c>
      <c r="D4425">
        <v>887</v>
      </c>
      <c r="E4425" t="s">
        <v>1188</v>
      </c>
      <c r="F4425" t="s">
        <v>320</v>
      </c>
      <c r="G4425" t="s">
        <v>319</v>
      </c>
      <c r="H4425" s="502">
        <v>52360</v>
      </c>
      <c r="I4425" s="415">
        <v>4986.8730049000005</v>
      </c>
      <c r="J4425" s="415">
        <v>4294</v>
      </c>
      <c r="K4425" s="415">
        <v>5487.26</v>
      </c>
      <c r="L4425" s="415">
        <v>5319.84</v>
      </c>
      <c r="M4425" s="415">
        <v>5309.11</v>
      </c>
      <c r="N4425" s="415">
        <v>4958.4799999999996</v>
      </c>
      <c r="O4425" s="415">
        <v>4129.01</v>
      </c>
      <c r="P4425" s="415">
        <v>4743.26</v>
      </c>
      <c r="Q4425" s="481">
        <f t="shared" si="115"/>
        <v>-692.87300490000052</v>
      </c>
    </row>
    <row r="4426" spans="1:17" x14ac:dyDescent="0.3">
      <c r="A4426" s="430" t="str">
        <f>IFERROR(VLOOKUP(RIGHT(E4426,3)+0,[1]SchLocTable!$A$2:$B$47,2,FALSE)," ")</f>
        <v>High Horizons Magnet</v>
      </c>
      <c r="B4426" s="430" t="str">
        <f>VLOOKUP(VALUE(D4426),$D$3:F$106,3,FALSE)</f>
        <v>Custodians</v>
      </c>
      <c r="C4426" t="s">
        <v>314</v>
      </c>
      <c r="D4426">
        <v>887</v>
      </c>
      <c r="E4426" t="s">
        <v>1188</v>
      </c>
      <c r="F4426" t="s">
        <v>392</v>
      </c>
      <c r="G4426" t="s">
        <v>319</v>
      </c>
      <c r="H4426" s="502">
        <v>52504</v>
      </c>
      <c r="I4426" s="415">
        <v>71467.048994359997</v>
      </c>
      <c r="J4426" s="415">
        <v>69354</v>
      </c>
      <c r="K4426" s="415">
        <v>80290.34</v>
      </c>
      <c r="L4426" s="415">
        <v>81853.179999999993</v>
      </c>
      <c r="M4426" s="415">
        <v>85823.77</v>
      </c>
      <c r="N4426" s="415">
        <v>69842.34</v>
      </c>
      <c r="O4426" s="415">
        <v>51603.51</v>
      </c>
      <c r="P4426" s="415">
        <v>47855.03</v>
      </c>
      <c r="Q4426" s="481">
        <f t="shared" si="115"/>
        <v>-2113.0489943599969</v>
      </c>
    </row>
    <row r="4427" spans="1:17" x14ac:dyDescent="0.3">
      <c r="A4427" s="430" t="str">
        <f>IFERROR(VLOOKUP(RIGHT(E4427,3)+0,[1]SchLocTable!$A$2:$B$47,2,FALSE)," ")</f>
        <v>High Horizons Magnet</v>
      </c>
      <c r="B4427" s="430" t="str">
        <f>VLOOKUP(VALUE(D4427),$D$3:F$106,3,FALSE)</f>
        <v>Custodians</v>
      </c>
      <c r="C4427" t="s">
        <v>314</v>
      </c>
      <c r="D4427">
        <v>887</v>
      </c>
      <c r="E4427" t="s">
        <v>1188</v>
      </c>
      <c r="F4427" t="s">
        <v>1090</v>
      </c>
      <c r="G4427" t="s">
        <v>319</v>
      </c>
      <c r="H4427" s="502">
        <v>51138</v>
      </c>
      <c r="I4427" s="415">
        <v>4178.0465999999997</v>
      </c>
      <c r="J4427" s="415">
        <v>3271.95</v>
      </c>
      <c r="K4427" s="415">
        <v>3377.76</v>
      </c>
      <c r="L4427" s="415">
        <v>4505.29</v>
      </c>
      <c r="M4427" s="415">
        <v>7129.94</v>
      </c>
      <c r="N4427" s="415">
        <v>7746.9</v>
      </c>
      <c r="O4427" s="415">
        <v>6983.42</v>
      </c>
      <c r="P4427" s="415">
        <v>7969.76</v>
      </c>
      <c r="Q4427" s="481">
        <f t="shared" si="115"/>
        <v>-906.09659999999985</v>
      </c>
    </row>
    <row r="4428" spans="1:17" x14ac:dyDescent="0.3">
      <c r="A4428" s="430" t="str">
        <f>IFERROR(VLOOKUP(RIGHT(E4428,3)+0,[1]SchLocTable!$A$2:$B$47,2,FALSE)," ")</f>
        <v>High Horizons Magnet</v>
      </c>
      <c r="B4428" s="430" t="str">
        <f>VLOOKUP(VALUE(D4428),$D$3:F$106,3,FALSE)</f>
        <v>Custodians</v>
      </c>
      <c r="C4428" t="s">
        <v>314</v>
      </c>
      <c r="D4428">
        <v>887</v>
      </c>
      <c r="E4428" t="s">
        <v>1188</v>
      </c>
      <c r="F4428" t="s">
        <v>452</v>
      </c>
      <c r="G4428" t="s">
        <v>319</v>
      </c>
      <c r="H4428" s="502">
        <v>51108</v>
      </c>
      <c r="I4428" s="415">
        <v>18711.599399999999</v>
      </c>
      <c r="J4428" s="415">
        <v>14958.33</v>
      </c>
      <c r="K4428" s="415">
        <v>9497.39</v>
      </c>
      <c r="L4428" s="415">
        <v>12406.4</v>
      </c>
      <c r="M4428" s="415">
        <v>13493.27</v>
      </c>
      <c r="N4428" s="415">
        <v>17429.919999999998</v>
      </c>
      <c r="O4428" s="415">
        <v>4989.03</v>
      </c>
      <c r="P4428" s="415">
        <v>7378.32</v>
      </c>
      <c r="Q4428" s="481">
        <f t="shared" si="115"/>
        <v>-3753.2693999999992</v>
      </c>
    </row>
    <row r="4429" spans="1:17" x14ac:dyDescent="0.3">
      <c r="A4429" s="430" t="str">
        <f>IFERROR(VLOOKUP(RIGHT(E4429,3)+0,[1]SchLocTable!$A$2:$B$47,2,FALSE)," ")</f>
        <v>High Horizons Magnet</v>
      </c>
      <c r="B4429" s="430" t="str">
        <f>VLOOKUP(VALUE(D4429),$D$3:F$106,3,FALSE)</f>
        <v>Custodians</v>
      </c>
      <c r="C4429" t="s">
        <v>314</v>
      </c>
      <c r="D4429">
        <v>887</v>
      </c>
      <c r="E4429" t="s">
        <v>1188</v>
      </c>
      <c r="F4429" t="s">
        <v>483</v>
      </c>
      <c r="G4429" t="s">
        <v>319</v>
      </c>
      <c r="H4429" s="502">
        <v>51122</v>
      </c>
      <c r="I4429" s="415">
        <v>100130.06016000001</v>
      </c>
      <c r="J4429" s="415">
        <v>56024.4</v>
      </c>
      <c r="K4429" s="415">
        <v>60016.38</v>
      </c>
      <c r="L4429" s="415">
        <v>47233.13</v>
      </c>
      <c r="M4429" s="415">
        <v>37713.300000000003</v>
      </c>
      <c r="N4429" s="415">
        <v>38090.959999999999</v>
      </c>
      <c r="O4429" s="415">
        <v>22834.81</v>
      </c>
      <c r="P4429" s="415">
        <v>21699.98</v>
      </c>
      <c r="Q4429" s="481">
        <f t="shared" si="115"/>
        <v>-44105.660160000007</v>
      </c>
    </row>
    <row r="4430" spans="1:17" x14ac:dyDescent="0.3">
      <c r="A4430" s="430" t="str">
        <f>IFERROR(VLOOKUP(RIGHT(E4430,3)+0,[1]SchLocTable!$A$2:$B$47,2,FALSE)," ")</f>
        <v>High Horizons Magnet</v>
      </c>
      <c r="B4430" s="430" t="str">
        <f>VLOOKUP(VALUE(D4430),$D$3:F$106,3,FALSE)</f>
        <v>Custodians</v>
      </c>
      <c r="C4430" t="s">
        <v>314</v>
      </c>
      <c r="D4430">
        <v>887</v>
      </c>
      <c r="E4430" t="s">
        <v>1188</v>
      </c>
      <c r="F4430" t="s">
        <v>1148</v>
      </c>
      <c r="G4430" t="s">
        <v>319</v>
      </c>
      <c r="H4430" s="502">
        <v>51124</v>
      </c>
      <c r="I4430" s="415">
        <v>0</v>
      </c>
      <c r="J4430" s="415">
        <v>0</v>
      </c>
      <c r="K4430" s="415">
        <v>0</v>
      </c>
      <c r="L4430" s="415">
        <v>67</v>
      </c>
      <c r="M4430" s="415">
        <v>0</v>
      </c>
      <c r="N4430" s="415">
        <v>245.58</v>
      </c>
      <c r="O4430" s="415">
        <v>0</v>
      </c>
      <c r="P4430" s="415">
        <v>0</v>
      </c>
      <c r="Q4430" s="481">
        <f t="shared" si="115"/>
        <v>0</v>
      </c>
    </row>
    <row r="4431" spans="1:17" x14ac:dyDescent="0.3">
      <c r="A4431" s="430" t="str">
        <f>IFERROR(VLOOKUP(RIGHT(E4431,3)+0,[1]SchLocTable!$A$2:$B$47,2,FALSE)," ")</f>
        <v>High Horizons Magnet</v>
      </c>
      <c r="B4431" s="430" t="str">
        <f>VLOOKUP(VALUE(D4431),$D$3:F$106,3,FALSE)</f>
        <v>Custodians</v>
      </c>
      <c r="C4431" t="s">
        <v>314</v>
      </c>
      <c r="D4431">
        <v>887</v>
      </c>
      <c r="E4431" t="s">
        <v>1188</v>
      </c>
      <c r="F4431" t="s">
        <v>324</v>
      </c>
      <c r="G4431" t="s">
        <v>319</v>
      </c>
      <c r="H4431" s="502">
        <v>52385</v>
      </c>
      <c r="I4431" s="415">
        <v>0</v>
      </c>
      <c r="J4431" s="415">
        <v>0</v>
      </c>
      <c r="K4431" s="415">
        <v>1127.05</v>
      </c>
      <c r="L4431" s="415">
        <v>85.77</v>
      </c>
      <c r="M4431" s="415">
        <v>51.41</v>
      </c>
      <c r="N4431" s="415">
        <v>0</v>
      </c>
      <c r="O4431" s="415">
        <v>160.07</v>
      </c>
      <c r="P4431" s="415">
        <v>1122.72</v>
      </c>
      <c r="Q4431" s="481">
        <f t="shared" si="115"/>
        <v>0</v>
      </c>
    </row>
    <row r="4432" spans="1:17" x14ac:dyDescent="0.3">
      <c r="A4432" s="430" t="str">
        <f>IFERROR(VLOOKUP(RIGHT(E4432,3)+0,[1]SchLocTable!$A$2:$B$47,2,FALSE)," ")</f>
        <v>High Horizons Magnet</v>
      </c>
      <c r="B4432" s="430" t="str">
        <f>VLOOKUP(VALUE(D4432),$D$3:F$106,3,FALSE)</f>
        <v>Custodians</v>
      </c>
      <c r="C4432" t="s">
        <v>314</v>
      </c>
      <c r="D4432">
        <v>887</v>
      </c>
      <c r="E4432" t="s">
        <v>1188</v>
      </c>
      <c r="F4432" t="s">
        <v>329</v>
      </c>
      <c r="G4432" t="s">
        <v>319</v>
      </c>
      <c r="H4432" s="502">
        <v>51154</v>
      </c>
      <c r="I4432" s="415">
        <v>1770.0138000000002</v>
      </c>
      <c r="J4432" s="415">
        <v>0</v>
      </c>
      <c r="K4432" s="415">
        <v>0</v>
      </c>
      <c r="L4432" s="415">
        <v>0</v>
      </c>
      <c r="M4432" s="415">
        <v>0</v>
      </c>
      <c r="N4432" s="415">
        <v>0</v>
      </c>
      <c r="O4432" s="415">
        <v>0</v>
      </c>
      <c r="P4432" s="415">
        <v>0</v>
      </c>
      <c r="Q4432" s="481">
        <f t="shared" si="115"/>
        <v>-1770.0138000000002</v>
      </c>
    </row>
    <row r="4433" spans="1:17" x14ac:dyDescent="0.3">
      <c r="A4433" s="430" t="str">
        <f>IFERROR(VLOOKUP(RIGHT(E4433,3)+0,[1]SchLocTable!$A$2:$B$47,2,FALSE)," ")</f>
        <v>High Horizons Magnet</v>
      </c>
      <c r="B4433" s="430" t="str">
        <f>VLOOKUP(VALUE(D4433),$D$3:F$106,3,FALSE)</f>
        <v>Custodians</v>
      </c>
      <c r="C4433" t="s">
        <v>314</v>
      </c>
      <c r="D4433">
        <v>887</v>
      </c>
      <c r="E4433" t="s">
        <v>1188</v>
      </c>
      <c r="F4433" t="s">
        <v>356</v>
      </c>
      <c r="G4433" t="s">
        <v>319</v>
      </c>
      <c r="H4433" s="502">
        <v>51156</v>
      </c>
      <c r="I4433" s="415">
        <v>0</v>
      </c>
      <c r="J4433" s="415">
        <v>0</v>
      </c>
      <c r="K4433" s="415">
        <v>0</v>
      </c>
      <c r="L4433" s="415">
        <v>2580.54</v>
      </c>
      <c r="M4433" s="415">
        <v>0</v>
      </c>
      <c r="N4433" s="415">
        <v>0</v>
      </c>
      <c r="O4433" s="415">
        <v>0</v>
      </c>
      <c r="P4433" s="415">
        <v>725.4</v>
      </c>
      <c r="Q4433" s="481">
        <f t="shared" si="115"/>
        <v>0</v>
      </c>
    </row>
    <row r="4434" spans="1:17" x14ac:dyDescent="0.3">
      <c r="A4434" s="430" t="str">
        <f>IFERROR(VLOOKUP(RIGHT(E4434,3)+0,[1]SchLocTable!$A$2:$B$47,2,FALSE)," ")</f>
        <v xml:space="preserve"> </v>
      </c>
      <c r="B4434" s="430" t="str">
        <f>VLOOKUP(VALUE(D4434),$D$3:F$106,3,FALSE)</f>
        <v>Custodians</v>
      </c>
      <c r="C4434" t="s">
        <v>314</v>
      </c>
      <c r="D4434">
        <v>887</v>
      </c>
      <c r="E4434" t="s">
        <v>1189</v>
      </c>
      <c r="F4434" t="s">
        <v>320</v>
      </c>
      <c r="G4434" t="s">
        <v>319</v>
      </c>
      <c r="H4434" s="502">
        <v>52360</v>
      </c>
      <c r="I4434" s="415">
        <v>351.48765600000002</v>
      </c>
      <c r="J4434" s="415">
        <v>0</v>
      </c>
      <c r="K4434" s="415">
        <v>0</v>
      </c>
      <c r="L4434" s="415">
        <v>0</v>
      </c>
      <c r="M4434" s="415">
        <v>0</v>
      </c>
      <c r="N4434" s="415">
        <v>0</v>
      </c>
      <c r="O4434" s="415">
        <v>0</v>
      </c>
      <c r="P4434" s="415">
        <v>0</v>
      </c>
      <c r="Q4434" s="481">
        <f t="shared" si="115"/>
        <v>-351.48765600000002</v>
      </c>
    </row>
    <row r="4435" spans="1:17" x14ac:dyDescent="0.3">
      <c r="A4435" s="430" t="str">
        <f>IFERROR(VLOOKUP(RIGHT(E4435,3)+0,[1]SchLocTable!$A$2:$B$47,2,FALSE)," ")</f>
        <v xml:space="preserve"> </v>
      </c>
      <c r="B4435" s="430" t="str">
        <f>VLOOKUP(VALUE(D4435),$D$3:F$106,3,FALSE)</f>
        <v>Custodians</v>
      </c>
      <c r="C4435" t="s">
        <v>314</v>
      </c>
      <c r="D4435">
        <v>887</v>
      </c>
      <c r="E4435" t="s">
        <v>1189</v>
      </c>
      <c r="F4435" t="s">
        <v>392</v>
      </c>
      <c r="G4435" t="s">
        <v>319</v>
      </c>
      <c r="H4435" s="502">
        <v>52504</v>
      </c>
      <c r="I4435" s="415">
        <v>5037.1817184000001</v>
      </c>
      <c r="J4435" s="415">
        <v>0</v>
      </c>
      <c r="K4435" s="415">
        <v>0</v>
      </c>
      <c r="L4435" s="415">
        <v>0</v>
      </c>
      <c r="M4435" s="415">
        <v>0</v>
      </c>
      <c r="N4435" s="415">
        <v>0</v>
      </c>
      <c r="O4435" s="415">
        <v>0</v>
      </c>
      <c r="P4435" s="415">
        <v>0</v>
      </c>
      <c r="Q4435" s="481">
        <f t="shared" si="115"/>
        <v>-5037.1817184000001</v>
      </c>
    </row>
    <row r="4436" spans="1:17" x14ac:dyDescent="0.3">
      <c r="A4436" s="430" t="str">
        <f>IFERROR(VLOOKUP(RIGHT(E4436,3)+0,[1]SchLocTable!$A$2:$B$47,2,FALSE)," ")</f>
        <v xml:space="preserve"> </v>
      </c>
      <c r="B4436" s="430" t="str">
        <f>VLOOKUP(VALUE(D4436),$D$3:F$106,3,FALSE)</f>
        <v>Custodians</v>
      </c>
      <c r="C4436" t="s">
        <v>314</v>
      </c>
      <c r="D4436">
        <v>887</v>
      </c>
      <c r="E4436" t="s">
        <v>1189</v>
      </c>
      <c r="F4436" t="s">
        <v>483</v>
      </c>
      <c r="G4436" t="s">
        <v>319</v>
      </c>
      <c r="H4436" s="502">
        <v>51122</v>
      </c>
      <c r="I4436" s="415">
        <v>13923.520000000004</v>
      </c>
      <c r="J4436" s="415">
        <v>0</v>
      </c>
      <c r="K4436" s="415">
        <v>0</v>
      </c>
      <c r="L4436" s="415">
        <v>0</v>
      </c>
      <c r="M4436" s="415">
        <v>0</v>
      </c>
      <c r="N4436" s="415">
        <v>0</v>
      </c>
      <c r="O4436" s="415">
        <v>0</v>
      </c>
      <c r="P4436" s="415">
        <v>0</v>
      </c>
      <c r="Q4436" s="481">
        <f t="shared" si="115"/>
        <v>-13923.520000000004</v>
      </c>
    </row>
    <row r="4437" spans="1:17" x14ac:dyDescent="0.3">
      <c r="A4437" s="430" t="str">
        <f>IFERROR(VLOOKUP(RIGHT(E4437,3)+0,[1]SchLocTable!$A$2:$B$47,2,FALSE)," ")</f>
        <v>Bassick HS</v>
      </c>
      <c r="B4437" s="430" t="str">
        <f>VLOOKUP(VALUE(D4437),$D$3:F$106,3,FALSE)</f>
        <v>Custodians</v>
      </c>
      <c r="C4437" t="s">
        <v>314</v>
      </c>
      <c r="D4437">
        <v>887</v>
      </c>
      <c r="E4437" t="s">
        <v>1190</v>
      </c>
      <c r="F4437" t="s">
        <v>1089</v>
      </c>
      <c r="G4437" t="s">
        <v>319</v>
      </c>
      <c r="H4437" s="502">
        <v>51102</v>
      </c>
      <c r="I4437" s="415">
        <v>0</v>
      </c>
      <c r="J4437" s="415">
        <v>0</v>
      </c>
      <c r="K4437" s="415">
        <v>0</v>
      </c>
      <c r="L4437" s="415">
        <v>7438.76</v>
      </c>
      <c r="M4437" s="415">
        <v>16321.62</v>
      </c>
      <c r="N4437" s="415">
        <v>7271.82</v>
      </c>
      <c r="O4437" s="415">
        <v>3352.29</v>
      </c>
      <c r="P4437" s="415">
        <v>2590.4</v>
      </c>
      <c r="Q4437" s="481">
        <f t="shared" si="115"/>
        <v>0</v>
      </c>
    </row>
    <row r="4438" spans="1:17" x14ac:dyDescent="0.3">
      <c r="A4438" s="430" t="str">
        <f>IFERROR(VLOOKUP(RIGHT(E4438,3)+0,[1]SchLocTable!$A$2:$B$47,2,FALSE)," ")</f>
        <v>Bassick HS</v>
      </c>
      <c r="B4438" s="430" t="str">
        <f>VLOOKUP(VALUE(D4438),$D$3:F$106,3,FALSE)</f>
        <v>Custodians</v>
      </c>
      <c r="C4438" t="s">
        <v>314</v>
      </c>
      <c r="D4438">
        <v>887</v>
      </c>
      <c r="E4438" t="s">
        <v>1190</v>
      </c>
      <c r="F4438" t="s">
        <v>316</v>
      </c>
      <c r="G4438">
        <v>8</v>
      </c>
      <c r="H4438" s="502">
        <v>51000</v>
      </c>
      <c r="I4438" s="415">
        <v>433805.62040399999</v>
      </c>
      <c r="J4438" s="415">
        <v>390907</v>
      </c>
      <c r="K4438" s="415">
        <v>375540.84</v>
      </c>
      <c r="L4438" s="415">
        <v>330062.55</v>
      </c>
      <c r="M4438" s="415">
        <v>285145.3</v>
      </c>
      <c r="N4438" s="415">
        <v>318286.19</v>
      </c>
      <c r="O4438" s="415">
        <v>352796.99</v>
      </c>
      <c r="P4438" s="415">
        <v>372352.11</v>
      </c>
      <c r="Q4438" s="481">
        <f t="shared" si="115"/>
        <v>-42898.620403999987</v>
      </c>
    </row>
    <row r="4439" spans="1:17" x14ac:dyDescent="0.3">
      <c r="A4439" s="430" t="str">
        <f>IFERROR(VLOOKUP(RIGHT(E4439,3)+0,[1]SchLocTable!$A$2:$B$47,2,FALSE)," ")</f>
        <v>Bassick HS</v>
      </c>
      <c r="B4439" s="430" t="str">
        <f>VLOOKUP(VALUE(D4439),$D$3:F$106,3,FALSE)</f>
        <v>Custodians</v>
      </c>
      <c r="C4439" t="s">
        <v>314</v>
      </c>
      <c r="D4439">
        <v>887</v>
      </c>
      <c r="E4439" t="s">
        <v>1190</v>
      </c>
      <c r="F4439" t="s">
        <v>360</v>
      </c>
      <c r="G4439" t="s">
        <v>319</v>
      </c>
      <c r="H4439" s="502">
        <v>52920</v>
      </c>
      <c r="I4439" s="415">
        <v>2000</v>
      </c>
      <c r="J4439" s="415">
        <v>2500</v>
      </c>
      <c r="K4439" s="415">
        <v>4250</v>
      </c>
      <c r="L4439" s="415">
        <v>2250</v>
      </c>
      <c r="M4439" s="415">
        <v>2500</v>
      </c>
      <c r="N4439" s="415">
        <v>2375</v>
      </c>
      <c r="O4439" s="415">
        <v>2000</v>
      </c>
      <c r="P4439" s="415">
        <v>2000</v>
      </c>
      <c r="Q4439" s="481">
        <f t="shared" si="115"/>
        <v>500</v>
      </c>
    </row>
    <row r="4440" spans="1:17" x14ac:dyDescent="0.3">
      <c r="A4440" s="430" t="str">
        <f>IFERROR(VLOOKUP(RIGHT(E4440,3)+0,[1]SchLocTable!$A$2:$B$47,2,FALSE)," ")</f>
        <v>Bassick HS</v>
      </c>
      <c r="B4440" s="430" t="str">
        <f>VLOOKUP(VALUE(D4440),$D$3:F$106,3,FALSE)</f>
        <v>Custodians</v>
      </c>
      <c r="C4440" t="s">
        <v>314</v>
      </c>
      <c r="D4440">
        <v>887</v>
      </c>
      <c r="E4440" t="s">
        <v>1190</v>
      </c>
      <c r="F4440" t="s">
        <v>321</v>
      </c>
      <c r="G4440" t="s">
        <v>319</v>
      </c>
      <c r="H4440" s="502">
        <v>52917</v>
      </c>
      <c r="I4440" s="415">
        <v>139256.83200000002</v>
      </c>
      <c r="J4440" s="415">
        <v>75829</v>
      </c>
      <c r="K4440" s="415">
        <v>61419.91</v>
      </c>
      <c r="L4440" s="415">
        <v>68354.58</v>
      </c>
      <c r="M4440" s="415">
        <v>90688.49</v>
      </c>
      <c r="N4440" s="415">
        <v>85584.82</v>
      </c>
      <c r="O4440" s="415">
        <v>78279.77</v>
      </c>
      <c r="P4440" s="415">
        <v>84004.78</v>
      </c>
      <c r="Q4440" s="481">
        <f t="shared" si="115"/>
        <v>-63427.832000000024</v>
      </c>
    </row>
    <row r="4441" spans="1:17" x14ac:dyDescent="0.3">
      <c r="A4441" s="430" t="str">
        <f>IFERROR(VLOOKUP(RIGHT(E4441,3)+0,[1]SchLocTable!$A$2:$B$47,2,FALSE)," ")</f>
        <v>Bassick HS</v>
      </c>
      <c r="B4441" s="430" t="str">
        <f>VLOOKUP(VALUE(D4441),$D$3:F$106,3,FALSE)</f>
        <v>Custodians</v>
      </c>
      <c r="C4441" t="s">
        <v>314</v>
      </c>
      <c r="D4441">
        <v>887</v>
      </c>
      <c r="E4441" t="s">
        <v>1190</v>
      </c>
      <c r="F4441" t="s">
        <v>1087</v>
      </c>
      <c r="G4441" t="s">
        <v>319</v>
      </c>
      <c r="H4441" s="502">
        <v>51116</v>
      </c>
      <c r="I4441" s="415">
        <v>1049.3022000000001</v>
      </c>
      <c r="J4441" s="415">
        <v>0</v>
      </c>
      <c r="K4441" s="415">
        <v>0</v>
      </c>
      <c r="L4441" s="415">
        <v>208.8</v>
      </c>
      <c r="M4441" s="415">
        <v>188.91</v>
      </c>
      <c r="N4441" s="415">
        <v>0</v>
      </c>
      <c r="O4441" s="415">
        <v>0</v>
      </c>
      <c r="P4441" s="415">
        <v>393.05</v>
      </c>
      <c r="Q4441" s="481">
        <f t="shared" si="115"/>
        <v>-1049.3022000000001</v>
      </c>
    </row>
    <row r="4442" spans="1:17" x14ac:dyDescent="0.3">
      <c r="A4442" s="430" t="str">
        <f>IFERROR(VLOOKUP(RIGHT(E4442,3)+0,[1]SchLocTable!$A$2:$B$47,2,FALSE)," ")</f>
        <v>Bassick HS</v>
      </c>
      <c r="B4442" s="430" t="str">
        <f>VLOOKUP(VALUE(D4442),$D$3:F$106,3,FALSE)</f>
        <v>Custodians</v>
      </c>
      <c r="C4442" t="s">
        <v>314</v>
      </c>
      <c r="D4442">
        <v>887</v>
      </c>
      <c r="E4442" t="s">
        <v>1190</v>
      </c>
      <c r="F4442" t="s">
        <v>318</v>
      </c>
      <c r="G4442" t="s">
        <v>319</v>
      </c>
      <c r="H4442" s="502">
        <v>51140</v>
      </c>
      <c r="I4442" s="415">
        <v>6150</v>
      </c>
      <c r="J4442" s="415">
        <v>4950</v>
      </c>
      <c r="K4442" s="415">
        <v>5025</v>
      </c>
      <c r="L4442" s="415">
        <v>4725</v>
      </c>
      <c r="M4442" s="415">
        <v>4125</v>
      </c>
      <c r="N4442" s="415">
        <v>10043.75</v>
      </c>
      <c r="O4442" s="415">
        <v>14261.25</v>
      </c>
      <c r="P4442" s="415">
        <v>10760</v>
      </c>
      <c r="Q4442" s="481">
        <f t="shared" si="115"/>
        <v>-1200</v>
      </c>
    </row>
    <row r="4443" spans="1:17" x14ac:dyDescent="0.3">
      <c r="A4443" s="430" t="str">
        <f>IFERROR(VLOOKUP(RIGHT(E4443,3)+0,[1]SchLocTable!$A$2:$B$47,2,FALSE)," ")</f>
        <v>Bassick HS</v>
      </c>
      <c r="B4443" s="430" t="str">
        <f>VLOOKUP(VALUE(D4443),$D$3:F$106,3,FALSE)</f>
        <v>Custodians</v>
      </c>
      <c r="C4443" t="s">
        <v>314</v>
      </c>
      <c r="D4443">
        <v>887</v>
      </c>
      <c r="E4443" t="s">
        <v>1190</v>
      </c>
      <c r="F4443" t="s">
        <v>320</v>
      </c>
      <c r="G4443" t="s">
        <v>319</v>
      </c>
      <c r="H4443" s="502">
        <v>52360</v>
      </c>
      <c r="I4443" s="415">
        <v>7679.9119885120008</v>
      </c>
      <c r="J4443" s="415">
        <v>5436</v>
      </c>
      <c r="K4443" s="415">
        <v>6810.46</v>
      </c>
      <c r="L4443" s="415">
        <v>6199.04</v>
      </c>
      <c r="M4443" s="415">
        <v>5959.78</v>
      </c>
      <c r="N4443" s="415">
        <v>6365.95</v>
      </c>
      <c r="O4443" s="415">
        <v>6284.85</v>
      </c>
      <c r="P4443" s="415">
        <v>6294.73</v>
      </c>
      <c r="Q4443" s="481">
        <f t="shared" si="115"/>
        <v>-2243.9119885120008</v>
      </c>
    </row>
    <row r="4444" spans="1:17" x14ac:dyDescent="0.3">
      <c r="A4444" s="430" t="str">
        <f>IFERROR(VLOOKUP(RIGHT(E4444,3)+0,[1]SchLocTable!$A$2:$B$47,2,FALSE)," ")</f>
        <v>Bassick HS</v>
      </c>
      <c r="B4444" s="430" t="str">
        <f>VLOOKUP(VALUE(D4444),$D$3:F$106,3,FALSE)</f>
        <v>Custodians</v>
      </c>
      <c r="C4444" t="s">
        <v>314</v>
      </c>
      <c r="D4444">
        <v>887</v>
      </c>
      <c r="E4444" t="s">
        <v>1190</v>
      </c>
      <c r="F4444" t="s">
        <v>392</v>
      </c>
      <c r="G4444" t="s">
        <v>319</v>
      </c>
      <c r="H4444" s="502">
        <v>52504</v>
      </c>
      <c r="I4444" s="415">
        <v>110061.0835319168</v>
      </c>
      <c r="J4444" s="415">
        <v>82338</v>
      </c>
      <c r="K4444" s="415">
        <v>100160.14</v>
      </c>
      <c r="L4444" s="415">
        <v>87537.74</v>
      </c>
      <c r="M4444" s="415">
        <v>85773.06</v>
      </c>
      <c r="N4444" s="415">
        <v>71070.19</v>
      </c>
      <c r="O4444" s="415">
        <v>72091.520000000004</v>
      </c>
      <c r="P4444" s="415">
        <v>63964.7</v>
      </c>
      <c r="Q4444" s="481">
        <f t="shared" si="115"/>
        <v>-27723.083531916796</v>
      </c>
    </row>
    <row r="4445" spans="1:17" x14ac:dyDescent="0.3">
      <c r="A4445" s="430" t="str">
        <f>IFERROR(VLOOKUP(RIGHT(E4445,3)+0,[1]SchLocTable!$A$2:$B$47,2,FALSE)," ")</f>
        <v>Bassick HS</v>
      </c>
      <c r="B4445" s="430" t="str">
        <f>VLOOKUP(VALUE(D4445),$D$3:F$106,3,FALSE)</f>
        <v>Custodians</v>
      </c>
      <c r="C4445" t="s">
        <v>314</v>
      </c>
      <c r="D4445">
        <v>887</v>
      </c>
      <c r="E4445" t="s">
        <v>1190</v>
      </c>
      <c r="F4445" t="s">
        <v>1090</v>
      </c>
      <c r="G4445" t="s">
        <v>319</v>
      </c>
      <c r="H4445" s="502">
        <v>51138</v>
      </c>
      <c r="I4445" s="415">
        <v>13128.551852000001</v>
      </c>
      <c r="J4445" s="415">
        <v>7321.58</v>
      </c>
      <c r="K4445" s="415">
        <v>8318.01</v>
      </c>
      <c r="L4445" s="415">
        <v>8559.74</v>
      </c>
      <c r="M4445" s="415">
        <v>8025.17</v>
      </c>
      <c r="N4445" s="415">
        <v>9399.1299999999992</v>
      </c>
      <c r="O4445" s="415">
        <v>8585.9500000000007</v>
      </c>
      <c r="P4445" s="415">
        <v>9384.5499999999993</v>
      </c>
      <c r="Q4445" s="481">
        <f t="shared" si="115"/>
        <v>-5806.9718520000006</v>
      </c>
    </row>
    <row r="4446" spans="1:17" x14ac:dyDescent="0.3">
      <c r="A4446" s="430" t="str">
        <f>IFERROR(VLOOKUP(RIGHT(E4446,3)+0,[1]SchLocTable!$A$2:$B$47,2,FALSE)," ")</f>
        <v>Bassick HS</v>
      </c>
      <c r="B4446" s="430" t="str">
        <f>VLOOKUP(VALUE(D4446),$D$3:F$106,3,FALSE)</f>
        <v>Custodians</v>
      </c>
      <c r="C4446" t="s">
        <v>314</v>
      </c>
      <c r="D4446">
        <v>887</v>
      </c>
      <c r="E4446" t="s">
        <v>1190</v>
      </c>
      <c r="F4446" t="s">
        <v>452</v>
      </c>
      <c r="G4446" t="s">
        <v>319</v>
      </c>
      <c r="H4446" s="502">
        <v>51108</v>
      </c>
      <c r="I4446" s="415">
        <v>19778.849999999999</v>
      </c>
      <c r="J4446" s="415">
        <v>11211.31</v>
      </c>
      <c r="K4446" s="415">
        <v>15410.09</v>
      </c>
      <c r="L4446" s="415">
        <v>9585.2800000000007</v>
      </c>
      <c r="M4446" s="415">
        <v>11838.35</v>
      </c>
      <c r="N4446" s="415">
        <v>16728.96</v>
      </c>
      <c r="O4446" s="415">
        <v>10869.46</v>
      </c>
      <c r="P4446" s="415">
        <v>8193.94</v>
      </c>
      <c r="Q4446" s="481">
        <f t="shared" si="115"/>
        <v>-8567.5399999999991</v>
      </c>
    </row>
    <row r="4447" spans="1:17" x14ac:dyDescent="0.3">
      <c r="A4447" s="430" t="str">
        <f>IFERROR(VLOOKUP(RIGHT(E4447,3)+0,[1]SchLocTable!$A$2:$B$47,2,FALSE)," ")</f>
        <v>Bassick HS</v>
      </c>
      <c r="B4447" s="430" t="str">
        <f>VLOOKUP(VALUE(D4447),$D$3:F$106,3,FALSE)</f>
        <v>Custodians</v>
      </c>
      <c r="C4447" t="s">
        <v>314</v>
      </c>
      <c r="D4447">
        <v>887</v>
      </c>
      <c r="E4447" t="s">
        <v>1190</v>
      </c>
      <c r="F4447" t="s">
        <v>483</v>
      </c>
      <c r="G4447" t="s">
        <v>319</v>
      </c>
      <c r="H4447" s="502">
        <v>51122</v>
      </c>
      <c r="I4447" s="415">
        <v>56993.443520000008</v>
      </c>
      <c r="J4447" s="415">
        <v>39191.69</v>
      </c>
      <c r="K4447" s="415">
        <v>68925.820000000007</v>
      </c>
      <c r="L4447" s="415">
        <v>44551.17</v>
      </c>
      <c r="M4447" s="415">
        <v>30895.5</v>
      </c>
      <c r="N4447" s="415">
        <v>35481.120000000003</v>
      </c>
      <c r="O4447" s="415">
        <v>44764.54</v>
      </c>
      <c r="P4447" s="415">
        <v>33487.25</v>
      </c>
      <c r="Q4447" s="481">
        <f t="shared" si="115"/>
        <v>-17801.753520000006</v>
      </c>
    </row>
    <row r="4448" spans="1:17" x14ac:dyDescent="0.3">
      <c r="A4448" s="430" t="str">
        <f>IFERROR(VLOOKUP(RIGHT(E4448,3)+0,[1]SchLocTable!$A$2:$B$47,2,FALSE)," ")</f>
        <v>Bassick HS</v>
      </c>
      <c r="B4448" s="430" t="str">
        <f>VLOOKUP(VALUE(D4448),$D$3:F$106,3,FALSE)</f>
        <v>Custodians</v>
      </c>
      <c r="C4448" t="s">
        <v>314</v>
      </c>
      <c r="D4448">
        <v>887</v>
      </c>
      <c r="E4448" t="s">
        <v>1190</v>
      </c>
      <c r="F4448" t="s">
        <v>1148</v>
      </c>
      <c r="G4448" t="s">
        <v>319</v>
      </c>
      <c r="H4448" s="502">
        <v>51124</v>
      </c>
      <c r="I4448" s="415">
        <v>0</v>
      </c>
      <c r="J4448" s="415">
        <v>0</v>
      </c>
      <c r="K4448" s="415">
        <v>70.94</v>
      </c>
      <c r="L4448" s="415">
        <v>0</v>
      </c>
      <c r="M4448" s="415">
        <v>0</v>
      </c>
      <c r="N4448" s="415">
        <v>0</v>
      </c>
      <c r="O4448" s="415">
        <v>0</v>
      </c>
      <c r="P4448" s="415">
        <v>0</v>
      </c>
      <c r="Q4448" s="481">
        <f t="shared" si="115"/>
        <v>0</v>
      </c>
    </row>
    <row r="4449" spans="1:17" x14ac:dyDescent="0.3">
      <c r="A4449" s="430" t="str">
        <f>IFERROR(VLOOKUP(RIGHT(E4449,3)+0,[1]SchLocTable!$A$2:$B$47,2,FALSE)," ")</f>
        <v>Bassick HS</v>
      </c>
      <c r="B4449" s="430" t="str">
        <f>VLOOKUP(VALUE(D4449),$D$3:F$106,3,FALSE)</f>
        <v>Custodians</v>
      </c>
      <c r="C4449" t="s">
        <v>314</v>
      </c>
      <c r="D4449">
        <v>887</v>
      </c>
      <c r="E4449" t="s">
        <v>1190</v>
      </c>
      <c r="F4449" t="s">
        <v>324</v>
      </c>
      <c r="G4449" t="s">
        <v>319</v>
      </c>
      <c r="H4449" s="502">
        <v>52385</v>
      </c>
      <c r="I4449" s="415">
        <v>2369.12</v>
      </c>
      <c r="J4449" s="415">
        <v>0</v>
      </c>
      <c r="K4449" s="415">
        <v>0</v>
      </c>
      <c r="L4449" s="415">
        <v>1169.1199999999999</v>
      </c>
      <c r="M4449" s="415">
        <v>466.67</v>
      </c>
      <c r="N4449" s="415">
        <v>2125.15</v>
      </c>
      <c r="O4449" s="415">
        <v>0</v>
      </c>
      <c r="P4449" s="415">
        <v>0</v>
      </c>
      <c r="Q4449" s="481">
        <f t="shared" si="115"/>
        <v>-2369.12</v>
      </c>
    </row>
    <row r="4450" spans="1:17" x14ac:dyDescent="0.3">
      <c r="A4450" s="430" t="str">
        <f>IFERROR(VLOOKUP(RIGHT(E4450,3)+0,[1]SchLocTable!$A$2:$B$47,2,FALSE)," ")</f>
        <v>Bassick HS</v>
      </c>
      <c r="B4450" s="430" t="str">
        <f>VLOOKUP(VALUE(D4450),$D$3:F$106,3,FALSE)</f>
        <v>Custodians</v>
      </c>
      <c r="C4450" t="s">
        <v>314</v>
      </c>
      <c r="D4450">
        <v>887</v>
      </c>
      <c r="E4450" t="s">
        <v>1190</v>
      </c>
      <c r="F4450" t="s">
        <v>329</v>
      </c>
      <c r="G4450" t="s">
        <v>319</v>
      </c>
      <c r="H4450" s="502">
        <v>51154</v>
      </c>
      <c r="I4450" s="415">
        <v>0</v>
      </c>
      <c r="J4450" s="415">
        <v>0</v>
      </c>
      <c r="K4450" s="415">
        <v>0</v>
      </c>
      <c r="L4450" s="415">
        <v>0</v>
      </c>
      <c r="M4450" s="415">
        <v>3498.89</v>
      </c>
      <c r="N4450" s="415">
        <v>25261.68</v>
      </c>
      <c r="O4450" s="415">
        <v>18800.38</v>
      </c>
      <c r="P4450" s="415">
        <v>0</v>
      </c>
      <c r="Q4450" s="481">
        <f t="shared" si="115"/>
        <v>0</v>
      </c>
    </row>
    <row r="4451" spans="1:17" x14ac:dyDescent="0.3">
      <c r="A4451" s="430" t="str">
        <f>IFERROR(VLOOKUP(RIGHT(E4451,3)+0,[1]SchLocTable!$A$2:$B$47,2,FALSE)," ")</f>
        <v>Bassick HS</v>
      </c>
      <c r="B4451" s="430" t="str">
        <f>VLOOKUP(VALUE(D4451),$D$3:F$106,3,FALSE)</f>
        <v>Custodians</v>
      </c>
      <c r="C4451" t="s">
        <v>314</v>
      </c>
      <c r="D4451">
        <v>887</v>
      </c>
      <c r="E4451" t="s">
        <v>1190</v>
      </c>
      <c r="F4451" t="s">
        <v>418</v>
      </c>
      <c r="G4451" t="s">
        <v>319</v>
      </c>
      <c r="H4451" s="502">
        <v>51314</v>
      </c>
      <c r="I4451" s="415">
        <v>0</v>
      </c>
      <c r="J4451" s="415">
        <v>0</v>
      </c>
      <c r="K4451" s="415">
        <v>0</v>
      </c>
      <c r="L4451" s="415">
        <v>0</v>
      </c>
      <c r="M4451" s="415">
        <v>4224.1899999999996</v>
      </c>
      <c r="N4451" s="415">
        <v>10665</v>
      </c>
      <c r="O4451" s="415">
        <v>13169.22</v>
      </c>
      <c r="P4451" s="415">
        <v>0</v>
      </c>
      <c r="Q4451" s="481">
        <f t="shared" si="115"/>
        <v>0</v>
      </c>
    </row>
    <row r="4452" spans="1:17" x14ac:dyDescent="0.3">
      <c r="A4452" s="430" t="str">
        <f>IFERROR(VLOOKUP(RIGHT(E4452,3)+0,[1]SchLocTable!$A$2:$B$47,2,FALSE)," ")</f>
        <v>Central HS</v>
      </c>
      <c r="B4452" s="430" t="str">
        <f>VLOOKUP(VALUE(D4452),$D$3:F$106,3,FALSE)</f>
        <v>Custodians</v>
      </c>
      <c r="C4452" t="s">
        <v>314</v>
      </c>
      <c r="D4452">
        <v>887</v>
      </c>
      <c r="E4452" t="s">
        <v>1191</v>
      </c>
      <c r="F4452" t="s">
        <v>1089</v>
      </c>
      <c r="G4452" t="s">
        <v>319</v>
      </c>
      <c r="H4452" s="502">
        <v>51102</v>
      </c>
      <c r="I4452" s="415">
        <v>15396.8256</v>
      </c>
      <c r="J4452" s="415">
        <v>0</v>
      </c>
      <c r="K4452" s="415">
        <v>0</v>
      </c>
      <c r="L4452" s="415">
        <v>5191.87</v>
      </c>
      <c r="M4452" s="415">
        <v>8964.64</v>
      </c>
      <c r="N4452" s="415">
        <v>4461.83</v>
      </c>
      <c r="O4452" s="415">
        <v>461.14</v>
      </c>
      <c r="P4452" s="415">
        <v>608.01</v>
      </c>
      <c r="Q4452" s="481">
        <f t="shared" si="115"/>
        <v>-15396.8256</v>
      </c>
    </row>
    <row r="4453" spans="1:17" x14ac:dyDescent="0.3">
      <c r="A4453" s="430" t="str">
        <f>IFERROR(VLOOKUP(RIGHT(E4453,3)+0,[1]SchLocTable!$A$2:$B$47,2,FALSE)," ")</f>
        <v>Central HS</v>
      </c>
      <c r="B4453" s="430" t="str">
        <f>VLOOKUP(VALUE(D4453),$D$3:F$106,3,FALSE)</f>
        <v>Custodians</v>
      </c>
      <c r="C4453" t="s">
        <v>314</v>
      </c>
      <c r="D4453">
        <v>887</v>
      </c>
      <c r="E4453" t="s">
        <v>1191</v>
      </c>
      <c r="F4453" t="s">
        <v>316</v>
      </c>
      <c r="G4453">
        <v>10</v>
      </c>
      <c r="H4453" s="502">
        <v>51000</v>
      </c>
      <c r="I4453" s="415">
        <v>462157.72397599992</v>
      </c>
      <c r="J4453" s="415">
        <v>434634.85</v>
      </c>
      <c r="K4453" s="415">
        <v>496928.52</v>
      </c>
      <c r="L4453" s="415">
        <v>497479.18</v>
      </c>
      <c r="M4453" s="415">
        <v>471603.59</v>
      </c>
      <c r="N4453" s="415">
        <v>504889.59999999998</v>
      </c>
      <c r="O4453" s="415">
        <v>505441.61</v>
      </c>
      <c r="P4453" s="415">
        <v>510637.73</v>
      </c>
      <c r="Q4453" s="481">
        <f t="shared" si="115"/>
        <v>-27522.873975999944</v>
      </c>
    </row>
    <row r="4454" spans="1:17" x14ac:dyDescent="0.3">
      <c r="A4454" s="430" t="str">
        <f>IFERROR(VLOOKUP(RIGHT(E4454,3)+0,[1]SchLocTable!$A$2:$B$47,2,FALSE)," ")</f>
        <v>Central HS</v>
      </c>
      <c r="B4454" s="430" t="str">
        <f>VLOOKUP(VALUE(D4454),$D$3:F$106,3,FALSE)</f>
        <v>Custodians</v>
      </c>
      <c r="C4454" t="s">
        <v>314</v>
      </c>
      <c r="D4454">
        <v>887</v>
      </c>
      <c r="E4454" t="s">
        <v>1191</v>
      </c>
      <c r="F4454" t="s">
        <v>360</v>
      </c>
      <c r="G4454" t="s">
        <v>319</v>
      </c>
      <c r="H4454" s="502">
        <v>52920</v>
      </c>
      <c r="I4454" s="415">
        <v>4000</v>
      </c>
      <c r="J4454" s="415">
        <v>5683.35</v>
      </c>
      <c r="K4454" s="415">
        <v>8250</v>
      </c>
      <c r="L4454" s="415">
        <v>4250</v>
      </c>
      <c r="M4454" s="415">
        <v>4933.3500000000004</v>
      </c>
      <c r="N4454" s="415">
        <v>4000</v>
      </c>
      <c r="O4454" s="415">
        <v>3833.35</v>
      </c>
      <c r="P4454" s="415">
        <v>2500</v>
      </c>
      <c r="Q4454" s="481">
        <f t="shared" si="115"/>
        <v>1683.3500000000004</v>
      </c>
    </row>
    <row r="4455" spans="1:17" x14ac:dyDescent="0.3">
      <c r="A4455" s="430" t="str">
        <f>IFERROR(VLOOKUP(RIGHT(E4455,3)+0,[1]SchLocTable!$A$2:$B$47,2,FALSE)," ")</f>
        <v>Central HS</v>
      </c>
      <c r="B4455" s="430" t="str">
        <f>VLOOKUP(VALUE(D4455),$D$3:F$106,3,FALSE)</f>
        <v>Custodians</v>
      </c>
      <c r="C4455" t="s">
        <v>314</v>
      </c>
      <c r="D4455">
        <v>887</v>
      </c>
      <c r="E4455" t="s">
        <v>1191</v>
      </c>
      <c r="F4455" t="s">
        <v>321</v>
      </c>
      <c r="G4455" t="s">
        <v>319</v>
      </c>
      <c r="H4455" s="502">
        <v>52917</v>
      </c>
      <c r="I4455" s="415">
        <v>151129.67999999996</v>
      </c>
      <c r="J4455" s="415">
        <v>137932.47</v>
      </c>
      <c r="K4455" s="415">
        <v>139754.07999999999</v>
      </c>
      <c r="L4455" s="415">
        <v>141056.10999999999</v>
      </c>
      <c r="M4455" s="415">
        <v>132799.76</v>
      </c>
      <c r="N4455" s="415">
        <v>117596.8</v>
      </c>
      <c r="O4455" s="415">
        <v>143648.48000000001</v>
      </c>
      <c r="P4455" s="415">
        <v>130373.72</v>
      </c>
      <c r="Q4455" s="481">
        <f t="shared" si="115"/>
        <v>-13197.209999999963</v>
      </c>
    </row>
    <row r="4456" spans="1:17" x14ac:dyDescent="0.3">
      <c r="A4456" s="430" t="str">
        <f>IFERROR(VLOOKUP(RIGHT(E4456,3)+0,[1]SchLocTable!$A$2:$B$47,2,FALSE)," ")</f>
        <v>Central HS</v>
      </c>
      <c r="B4456" s="430" t="str">
        <f>VLOOKUP(VALUE(D4456),$D$3:F$106,3,FALSE)</f>
        <v>Custodians</v>
      </c>
      <c r="C4456" t="s">
        <v>314</v>
      </c>
      <c r="D4456">
        <v>887</v>
      </c>
      <c r="E4456" t="s">
        <v>1191</v>
      </c>
      <c r="F4456" t="s">
        <v>1087</v>
      </c>
      <c r="G4456" t="s">
        <v>319</v>
      </c>
      <c r="H4456" s="502">
        <v>51116</v>
      </c>
      <c r="I4456" s="415">
        <v>0</v>
      </c>
      <c r="J4456" s="415">
        <v>0</v>
      </c>
      <c r="K4456" s="415">
        <v>0</v>
      </c>
      <c r="L4456" s="415">
        <v>529.5</v>
      </c>
      <c r="M4456" s="415">
        <v>41.98</v>
      </c>
      <c r="N4456" s="415">
        <v>41.98</v>
      </c>
      <c r="O4456" s="415">
        <v>0</v>
      </c>
      <c r="P4456" s="415">
        <v>118.67</v>
      </c>
      <c r="Q4456" s="481">
        <f t="shared" si="115"/>
        <v>0</v>
      </c>
    </row>
    <row r="4457" spans="1:17" x14ac:dyDescent="0.3">
      <c r="A4457" s="430" t="str">
        <f>IFERROR(VLOOKUP(RIGHT(E4457,3)+0,[1]SchLocTable!$A$2:$B$47,2,FALSE)," ")</f>
        <v>Central HS</v>
      </c>
      <c r="B4457" s="430" t="str">
        <f>VLOOKUP(VALUE(D4457),$D$3:F$106,3,FALSE)</f>
        <v>Custodians</v>
      </c>
      <c r="C4457" t="s">
        <v>314</v>
      </c>
      <c r="D4457">
        <v>887</v>
      </c>
      <c r="E4457" t="s">
        <v>1191</v>
      </c>
      <c r="F4457" t="s">
        <v>318</v>
      </c>
      <c r="G4457" t="s">
        <v>319</v>
      </c>
      <c r="H4457" s="502">
        <v>51140</v>
      </c>
      <c r="I4457" s="415">
        <v>7662.5</v>
      </c>
      <c r="J4457" s="415">
        <v>5625</v>
      </c>
      <c r="K4457" s="415">
        <v>12975</v>
      </c>
      <c r="L4457" s="415">
        <v>11075</v>
      </c>
      <c r="M4457" s="415">
        <v>11950</v>
      </c>
      <c r="N4457" s="415">
        <v>10530</v>
      </c>
      <c r="O4457" s="415">
        <v>10985</v>
      </c>
      <c r="P4457" s="415">
        <v>8965</v>
      </c>
      <c r="Q4457" s="481">
        <f t="shared" si="115"/>
        <v>-2037.5</v>
      </c>
    </row>
    <row r="4458" spans="1:17" x14ac:dyDescent="0.3">
      <c r="A4458" s="430" t="str">
        <f>IFERROR(VLOOKUP(RIGHT(E4458,3)+0,[1]SchLocTable!$A$2:$B$47,2,FALSE)," ")</f>
        <v>Central HS</v>
      </c>
      <c r="B4458" s="430" t="str">
        <f>VLOOKUP(VALUE(D4458),$D$3:F$106,3,FALSE)</f>
        <v>Custodians</v>
      </c>
      <c r="C4458" t="s">
        <v>314</v>
      </c>
      <c r="D4458">
        <v>887</v>
      </c>
      <c r="E4458" t="s">
        <v>1191</v>
      </c>
      <c r="F4458" t="s">
        <v>320</v>
      </c>
      <c r="G4458" t="s">
        <v>319</v>
      </c>
      <c r="H4458" s="502">
        <v>52360</v>
      </c>
      <c r="I4458" s="415">
        <v>9527.9641852919976</v>
      </c>
      <c r="J4458" s="415">
        <v>6636</v>
      </c>
      <c r="K4458" s="415">
        <v>8495.48</v>
      </c>
      <c r="L4458" s="415">
        <v>8306.51</v>
      </c>
      <c r="M4458" s="415">
        <v>7409.44</v>
      </c>
      <c r="N4458" s="415">
        <v>7478.35</v>
      </c>
      <c r="O4458" s="415">
        <v>7092.14</v>
      </c>
      <c r="P4458" s="415">
        <v>7208.84</v>
      </c>
      <c r="Q4458" s="481">
        <f t="shared" si="115"/>
        <v>-2891.9641852919976</v>
      </c>
    </row>
    <row r="4459" spans="1:17" x14ac:dyDescent="0.3">
      <c r="A4459" s="430" t="str">
        <f>IFERROR(VLOOKUP(RIGHT(E4459,3)+0,[1]SchLocTable!$A$2:$B$47,2,FALSE)," ")</f>
        <v>Central HS</v>
      </c>
      <c r="B4459" s="430" t="str">
        <f>VLOOKUP(VALUE(D4459),$D$3:F$106,3,FALSE)</f>
        <v>Custodians</v>
      </c>
      <c r="C4459" t="s">
        <v>314</v>
      </c>
      <c r="D4459">
        <v>887</v>
      </c>
      <c r="E4459" t="s">
        <v>1191</v>
      </c>
      <c r="F4459" t="s">
        <v>392</v>
      </c>
      <c r="G4459" t="s">
        <v>319</v>
      </c>
      <c r="H4459" s="502">
        <v>52504</v>
      </c>
      <c r="I4459" s="415">
        <v>136545.58328990883</v>
      </c>
      <c r="J4459" s="415">
        <v>115599</v>
      </c>
      <c r="K4459" s="415">
        <v>130655.36</v>
      </c>
      <c r="L4459" s="415">
        <v>129236.09</v>
      </c>
      <c r="M4459" s="415">
        <v>127255.46</v>
      </c>
      <c r="N4459" s="415">
        <v>108746.24000000001</v>
      </c>
      <c r="O4459" s="415">
        <v>92756.39</v>
      </c>
      <c r="P4459" s="415">
        <v>78981.240000000005</v>
      </c>
      <c r="Q4459" s="481">
        <f t="shared" si="115"/>
        <v>-20946.583289908827</v>
      </c>
    </row>
    <row r="4460" spans="1:17" x14ac:dyDescent="0.3">
      <c r="A4460" s="430" t="str">
        <f>IFERROR(VLOOKUP(RIGHT(E4460,3)+0,[1]SchLocTable!$A$2:$B$47,2,FALSE)," ")</f>
        <v>Central HS</v>
      </c>
      <c r="B4460" s="430" t="str">
        <f>VLOOKUP(VALUE(D4460),$D$3:F$106,3,FALSE)</f>
        <v>Custodians</v>
      </c>
      <c r="C4460" t="s">
        <v>314</v>
      </c>
      <c r="D4460">
        <v>887</v>
      </c>
      <c r="E4460" t="s">
        <v>1191</v>
      </c>
      <c r="F4460" t="s">
        <v>1090</v>
      </c>
      <c r="G4460" t="s">
        <v>319</v>
      </c>
      <c r="H4460" s="502">
        <v>51138</v>
      </c>
      <c r="I4460" s="415">
        <v>13592.480251999999</v>
      </c>
      <c r="J4460" s="415">
        <v>17115.759999999998</v>
      </c>
      <c r="K4460" s="415">
        <v>15264.23</v>
      </c>
      <c r="L4460" s="415">
        <v>17409.169999999998</v>
      </c>
      <c r="M4460" s="415">
        <v>17690.37</v>
      </c>
      <c r="N4460" s="415">
        <v>18494.509999999998</v>
      </c>
      <c r="O4460" s="415">
        <v>17721.23</v>
      </c>
      <c r="P4460" s="415">
        <v>16273.09</v>
      </c>
      <c r="Q4460" s="481">
        <f t="shared" si="115"/>
        <v>3523.279747999999</v>
      </c>
    </row>
    <row r="4461" spans="1:17" x14ac:dyDescent="0.3">
      <c r="A4461" s="430" t="str">
        <f>IFERROR(VLOOKUP(RIGHT(E4461,3)+0,[1]SchLocTable!$A$2:$B$47,2,FALSE)," ")</f>
        <v>Central HS</v>
      </c>
      <c r="B4461" s="430" t="str">
        <f>VLOOKUP(VALUE(D4461),$D$3:F$106,3,FALSE)</f>
        <v>Custodians</v>
      </c>
      <c r="C4461" t="s">
        <v>314</v>
      </c>
      <c r="D4461">
        <v>887</v>
      </c>
      <c r="E4461" t="s">
        <v>1191</v>
      </c>
      <c r="F4461" t="s">
        <v>452</v>
      </c>
      <c r="G4461" t="s">
        <v>319</v>
      </c>
      <c r="H4461" s="502">
        <v>51108</v>
      </c>
      <c r="I4461" s="415">
        <v>57274.021428</v>
      </c>
      <c r="J4461" s="415">
        <v>5965.12</v>
      </c>
      <c r="K4461" s="415">
        <v>32090.38</v>
      </c>
      <c r="L4461" s="415">
        <v>7403.89</v>
      </c>
      <c r="M4461" s="415">
        <v>8602.33</v>
      </c>
      <c r="N4461" s="415">
        <v>8872.56</v>
      </c>
      <c r="O4461" s="415">
        <v>7812.35</v>
      </c>
      <c r="P4461" s="415">
        <v>1680.92</v>
      </c>
      <c r="Q4461" s="481">
        <f t="shared" si="115"/>
        <v>-51308.901427999997</v>
      </c>
    </row>
    <row r="4462" spans="1:17" x14ac:dyDescent="0.3">
      <c r="A4462" s="430" t="str">
        <f>IFERROR(VLOOKUP(RIGHT(E4462,3)+0,[1]SchLocTable!$A$2:$B$47,2,FALSE)," ")</f>
        <v>Central HS</v>
      </c>
      <c r="B4462" s="430" t="str">
        <f>VLOOKUP(VALUE(D4462),$D$3:F$106,3,FALSE)</f>
        <v>Custodians</v>
      </c>
      <c r="C4462" t="s">
        <v>314</v>
      </c>
      <c r="D4462">
        <v>887</v>
      </c>
      <c r="E4462" t="s">
        <v>1191</v>
      </c>
      <c r="F4462" t="s">
        <v>483</v>
      </c>
      <c r="G4462" t="s">
        <v>319</v>
      </c>
      <c r="H4462" s="502">
        <v>51122</v>
      </c>
      <c r="I4462" s="415">
        <v>101396.858368</v>
      </c>
      <c r="J4462" s="415">
        <v>40163.730000000003</v>
      </c>
      <c r="K4462" s="415">
        <v>64778.720000000001</v>
      </c>
      <c r="L4462" s="415">
        <v>46054.69</v>
      </c>
      <c r="M4462" s="415">
        <v>27603.86</v>
      </c>
      <c r="N4462" s="415">
        <v>32840.49</v>
      </c>
      <c r="O4462" s="415">
        <v>18901.099999999999</v>
      </c>
      <c r="P4462" s="415">
        <v>19959.52</v>
      </c>
      <c r="Q4462" s="481">
        <f t="shared" si="115"/>
        <v>-61233.128367999998</v>
      </c>
    </row>
    <row r="4463" spans="1:17" x14ac:dyDescent="0.3">
      <c r="A4463" s="430" t="str">
        <f>IFERROR(VLOOKUP(RIGHT(E4463,3)+0,[1]SchLocTable!$A$2:$B$47,2,FALSE)," ")</f>
        <v>Central HS</v>
      </c>
      <c r="B4463" s="430" t="str">
        <f>VLOOKUP(VALUE(D4463),$D$3:F$106,3,FALSE)</f>
        <v>Custodians</v>
      </c>
      <c r="C4463" t="s">
        <v>314</v>
      </c>
      <c r="D4463">
        <v>887</v>
      </c>
      <c r="E4463" t="s">
        <v>1191</v>
      </c>
      <c r="F4463" t="s">
        <v>1148</v>
      </c>
      <c r="G4463" t="s">
        <v>319</v>
      </c>
      <c r="H4463" s="502">
        <v>51124</v>
      </c>
      <c r="I4463" s="415">
        <v>0</v>
      </c>
      <c r="J4463" s="415">
        <v>0</v>
      </c>
      <c r="K4463" s="415">
        <v>0</v>
      </c>
      <c r="L4463" s="415">
        <v>0</v>
      </c>
      <c r="M4463" s="415">
        <v>176.72</v>
      </c>
      <c r="N4463" s="415">
        <v>242.98</v>
      </c>
      <c r="O4463" s="415">
        <v>0</v>
      </c>
      <c r="P4463" s="415">
        <v>261.60000000000002</v>
      </c>
      <c r="Q4463" s="481">
        <f t="shared" si="115"/>
        <v>0</v>
      </c>
    </row>
    <row r="4464" spans="1:17" x14ac:dyDescent="0.3">
      <c r="A4464" s="430" t="str">
        <f>IFERROR(VLOOKUP(RIGHT(E4464,3)+0,[1]SchLocTable!$A$2:$B$47,2,FALSE)," ")</f>
        <v>Central HS</v>
      </c>
      <c r="B4464" s="430" t="str">
        <f>VLOOKUP(VALUE(D4464),$D$3:F$106,3,FALSE)</f>
        <v>Custodians</v>
      </c>
      <c r="C4464" t="s">
        <v>314</v>
      </c>
      <c r="D4464">
        <v>887</v>
      </c>
      <c r="E4464" t="s">
        <v>1191</v>
      </c>
      <c r="F4464" t="s">
        <v>324</v>
      </c>
      <c r="G4464" t="s">
        <v>319</v>
      </c>
      <c r="H4464" s="502">
        <v>52385</v>
      </c>
      <c r="I4464" s="415">
        <v>0</v>
      </c>
      <c r="J4464" s="415">
        <v>0</v>
      </c>
      <c r="K4464" s="415">
        <v>290.39</v>
      </c>
      <c r="L4464" s="415">
        <v>0</v>
      </c>
      <c r="M4464" s="415">
        <v>0</v>
      </c>
      <c r="N4464" s="415">
        <v>1439.16</v>
      </c>
      <c r="O4464" s="415">
        <v>0</v>
      </c>
      <c r="P4464" s="415">
        <v>934.21</v>
      </c>
      <c r="Q4464" s="481">
        <f t="shared" si="115"/>
        <v>0</v>
      </c>
    </row>
    <row r="4465" spans="1:17" x14ac:dyDescent="0.3">
      <c r="A4465" s="430" t="str">
        <f>IFERROR(VLOOKUP(RIGHT(E4465,3)+0,[1]SchLocTable!$A$2:$B$47,2,FALSE)," ")</f>
        <v>Central HS</v>
      </c>
      <c r="B4465" s="430" t="str">
        <f>VLOOKUP(VALUE(D4465),$D$3:F$106,3,FALSE)</f>
        <v>Custodians</v>
      </c>
      <c r="C4465" t="s">
        <v>314</v>
      </c>
      <c r="D4465">
        <v>887</v>
      </c>
      <c r="E4465" t="s">
        <v>1191</v>
      </c>
      <c r="F4465" t="s">
        <v>329</v>
      </c>
      <c r="G4465" t="s">
        <v>319</v>
      </c>
      <c r="H4465" s="502">
        <v>51154</v>
      </c>
      <c r="I4465" s="415">
        <v>225.93049999999999</v>
      </c>
      <c r="J4465" s="415">
        <v>0</v>
      </c>
      <c r="K4465" s="415">
        <v>0</v>
      </c>
      <c r="L4465" s="415">
        <v>0</v>
      </c>
      <c r="M4465" s="415">
        <v>0</v>
      </c>
      <c r="N4465" s="415">
        <v>0</v>
      </c>
      <c r="O4465" s="415">
        <v>0</v>
      </c>
      <c r="P4465" s="415">
        <v>0</v>
      </c>
      <c r="Q4465" s="481">
        <f t="shared" si="115"/>
        <v>-225.93049999999999</v>
      </c>
    </row>
    <row r="4466" spans="1:17" x14ac:dyDescent="0.3">
      <c r="A4466" s="430" t="str">
        <f>IFERROR(VLOOKUP(RIGHT(E4466,3)+0,[1]SchLocTable!$A$2:$B$47,2,FALSE)," ")</f>
        <v>Central HS</v>
      </c>
      <c r="B4466" s="430" t="str">
        <f>VLOOKUP(VALUE(D4466),$D$3:F$106,3,FALSE)</f>
        <v>Custodians</v>
      </c>
      <c r="C4466" t="s">
        <v>314</v>
      </c>
      <c r="D4466">
        <v>887</v>
      </c>
      <c r="E4466" t="s">
        <v>1191</v>
      </c>
      <c r="F4466" t="s">
        <v>418</v>
      </c>
      <c r="G4466" t="s">
        <v>319</v>
      </c>
      <c r="H4466" s="502">
        <v>51314</v>
      </c>
      <c r="I4466" s="415">
        <v>5064.5615000000007</v>
      </c>
      <c r="J4466" s="415">
        <v>0</v>
      </c>
      <c r="K4466" s="415">
        <v>4917.05</v>
      </c>
      <c r="L4466" s="415">
        <v>0</v>
      </c>
      <c r="M4466" s="415">
        <v>3938.66</v>
      </c>
      <c r="N4466" s="415">
        <v>0</v>
      </c>
      <c r="O4466" s="415">
        <v>0</v>
      </c>
      <c r="P4466" s="415">
        <v>0</v>
      </c>
      <c r="Q4466" s="481">
        <f t="shared" si="115"/>
        <v>-5064.5615000000007</v>
      </c>
    </row>
    <row r="4467" spans="1:17" x14ac:dyDescent="0.3">
      <c r="A4467" s="430" t="str">
        <f>IFERROR(VLOOKUP(RIGHT(E4467,3)+0,[1]SchLocTable!$A$2:$B$47,2,FALSE)," ")</f>
        <v>Central HS</v>
      </c>
      <c r="B4467" s="430" t="str">
        <f>VLOOKUP(VALUE(D4467),$D$3:F$106,3,FALSE)</f>
        <v>Custodians</v>
      </c>
      <c r="C4467" t="s">
        <v>314</v>
      </c>
      <c r="D4467">
        <v>887</v>
      </c>
      <c r="E4467" t="s">
        <v>1191</v>
      </c>
      <c r="F4467" t="s">
        <v>356</v>
      </c>
      <c r="G4467" t="s">
        <v>319</v>
      </c>
      <c r="H4467" s="502">
        <v>51156</v>
      </c>
      <c r="I4467" s="415">
        <v>0</v>
      </c>
      <c r="J4467" s="415">
        <v>0</v>
      </c>
      <c r="K4467" s="415">
        <v>7490.62</v>
      </c>
      <c r="L4467" s="415">
        <v>7915.03</v>
      </c>
      <c r="M4467" s="415">
        <v>7162.29</v>
      </c>
      <c r="N4467" s="415">
        <v>5044.8999999999996</v>
      </c>
      <c r="O4467" s="415">
        <v>5916.12</v>
      </c>
      <c r="P4467" s="415">
        <v>4271.8100000000004</v>
      </c>
      <c r="Q4467" s="481">
        <f t="shared" si="115"/>
        <v>0</v>
      </c>
    </row>
    <row r="4468" spans="1:17" x14ac:dyDescent="0.3">
      <c r="A4468" s="430" t="str">
        <f>IFERROR(VLOOKUP(RIGHT(E4468,3)+0,[1]SchLocTable!$A$2:$B$47,2,FALSE)," ")</f>
        <v>Harding HS</v>
      </c>
      <c r="B4468" s="430" t="str">
        <f>VLOOKUP(VALUE(D4468),$D$3:F$106,3,FALSE)</f>
        <v>Custodians</v>
      </c>
      <c r="C4468" t="s">
        <v>314</v>
      </c>
      <c r="D4468">
        <v>887</v>
      </c>
      <c r="E4468" t="s">
        <v>1192</v>
      </c>
      <c r="F4468" t="s">
        <v>1089</v>
      </c>
      <c r="G4468" t="s">
        <v>319</v>
      </c>
      <c r="H4468" s="502">
        <v>51102</v>
      </c>
      <c r="I4468" s="415">
        <v>0</v>
      </c>
      <c r="J4468" s="415">
        <v>0</v>
      </c>
      <c r="K4468" s="415">
        <v>0</v>
      </c>
      <c r="L4468" s="415">
        <v>5291.2</v>
      </c>
      <c r="M4468" s="415">
        <v>15433.68</v>
      </c>
      <c r="N4468" s="415">
        <v>10390.469999999999</v>
      </c>
      <c r="O4468" s="415">
        <v>5886.11</v>
      </c>
      <c r="P4468" s="415">
        <v>303.52</v>
      </c>
      <c r="Q4468" s="481">
        <f t="shared" si="115"/>
        <v>0</v>
      </c>
    </row>
    <row r="4469" spans="1:17" x14ac:dyDescent="0.3">
      <c r="A4469" s="430" t="str">
        <f>IFERROR(VLOOKUP(RIGHT(E4469,3)+0,[1]SchLocTable!$A$2:$B$47,2,FALSE)," ")</f>
        <v>Harding HS</v>
      </c>
      <c r="B4469" s="430" t="str">
        <f>VLOOKUP(VALUE(D4469),$D$3:F$106,3,FALSE)</f>
        <v>Custodians</v>
      </c>
      <c r="C4469" t="s">
        <v>314</v>
      </c>
      <c r="D4469">
        <v>887</v>
      </c>
      <c r="E4469" t="s">
        <v>1192</v>
      </c>
      <c r="F4469" t="s">
        <v>316</v>
      </c>
      <c r="G4469">
        <v>6</v>
      </c>
      <c r="H4469" s="502">
        <v>51000</v>
      </c>
      <c r="I4469" s="415">
        <v>316773.94881599996</v>
      </c>
      <c r="J4469" s="415">
        <v>285395</v>
      </c>
      <c r="K4469" s="415">
        <v>284527.92</v>
      </c>
      <c r="L4469" s="415">
        <v>294405.57</v>
      </c>
      <c r="M4469" s="415">
        <v>288588.42</v>
      </c>
      <c r="N4469" s="415">
        <v>251249.1</v>
      </c>
      <c r="O4469" s="415">
        <v>271953.96000000002</v>
      </c>
      <c r="P4469" s="415">
        <v>271594.53000000003</v>
      </c>
      <c r="Q4469" s="481">
        <f t="shared" si="115"/>
        <v>-31378.94881599996</v>
      </c>
    </row>
    <row r="4470" spans="1:17" x14ac:dyDescent="0.3">
      <c r="A4470" s="430" t="str">
        <f>IFERROR(VLOOKUP(RIGHT(E4470,3)+0,[1]SchLocTable!$A$2:$B$47,2,FALSE)," ")</f>
        <v>Harding HS</v>
      </c>
      <c r="B4470" s="430" t="str">
        <f>VLOOKUP(VALUE(D4470),$D$3:F$106,3,FALSE)</f>
        <v>Custodians</v>
      </c>
      <c r="C4470" t="s">
        <v>314</v>
      </c>
      <c r="D4470">
        <v>887</v>
      </c>
      <c r="E4470" t="s">
        <v>1192</v>
      </c>
      <c r="F4470" t="s">
        <v>360</v>
      </c>
      <c r="G4470" t="s">
        <v>319</v>
      </c>
      <c r="H4470" s="502">
        <v>52920</v>
      </c>
      <c r="I4470" s="415">
        <v>4183.34</v>
      </c>
      <c r="J4470" s="415">
        <v>0</v>
      </c>
      <c r="K4470" s="415">
        <v>700</v>
      </c>
      <c r="L4470" s="415">
        <v>1250</v>
      </c>
      <c r="M4470" s="415">
        <v>666.68</v>
      </c>
      <c r="N4470" s="415">
        <v>1000</v>
      </c>
      <c r="O4470" s="415">
        <v>1000</v>
      </c>
      <c r="P4470" s="415">
        <v>0</v>
      </c>
      <c r="Q4470" s="481">
        <f t="shared" si="115"/>
        <v>-4183.34</v>
      </c>
    </row>
    <row r="4471" spans="1:17" x14ac:dyDescent="0.3">
      <c r="A4471" s="430" t="str">
        <f>IFERROR(VLOOKUP(RIGHT(E4471,3)+0,[1]SchLocTable!$A$2:$B$47,2,FALSE)," ")</f>
        <v>Harding HS</v>
      </c>
      <c r="B4471" s="430" t="str">
        <f>VLOOKUP(VALUE(D4471),$D$3:F$106,3,FALSE)</f>
        <v>Custodians</v>
      </c>
      <c r="C4471" t="s">
        <v>314</v>
      </c>
      <c r="D4471">
        <v>887</v>
      </c>
      <c r="E4471" t="s">
        <v>1192</v>
      </c>
      <c r="F4471" t="s">
        <v>321</v>
      </c>
      <c r="G4471" t="s">
        <v>319</v>
      </c>
      <c r="H4471" s="502">
        <v>52917</v>
      </c>
      <c r="I4471" s="415">
        <v>43511.520000000004</v>
      </c>
      <c r="J4471" s="415">
        <v>50450.3</v>
      </c>
      <c r="K4471" s="415">
        <v>75915.47</v>
      </c>
      <c r="L4471" s="415">
        <v>77765.039999999994</v>
      </c>
      <c r="M4471" s="415">
        <v>96698.98</v>
      </c>
      <c r="N4471" s="415">
        <v>78618.78</v>
      </c>
      <c r="O4471" s="415">
        <v>67843.28</v>
      </c>
      <c r="P4471" s="415">
        <v>69890.39</v>
      </c>
      <c r="Q4471" s="481">
        <f t="shared" si="115"/>
        <v>6938.7799999999988</v>
      </c>
    </row>
    <row r="4472" spans="1:17" x14ac:dyDescent="0.3">
      <c r="A4472" s="430" t="str">
        <f>IFERROR(VLOOKUP(RIGHT(E4472,3)+0,[1]SchLocTable!$A$2:$B$47,2,FALSE)," ")</f>
        <v>Harding HS</v>
      </c>
      <c r="B4472" s="430" t="str">
        <f>VLOOKUP(VALUE(D4472),$D$3:F$106,3,FALSE)</f>
        <v>Custodians</v>
      </c>
      <c r="C4472" t="s">
        <v>314</v>
      </c>
      <c r="D4472">
        <v>887</v>
      </c>
      <c r="E4472" t="s">
        <v>1192</v>
      </c>
      <c r="F4472" t="s">
        <v>1087</v>
      </c>
      <c r="G4472" t="s">
        <v>319</v>
      </c>
      <c r="H4472" s="502">
        <v>51116</v>
      </c>
      <c r="I4472" s="415">
        <v>632.72899999999993</v>
      </c>
      <c r="J4472" s="415">
        <v>0</v>
      </c>
      <c r="K4472" s="415">
        <v>930.11</v>
      </c>
      <c r="L4472" s="415">
        <v>640.58000000000004</v>
      </c>
      <c r="M4472" s="415">
        <v>299.16000000000003</v>
      </c>
      <c r="N4472" s="415">
        <v>295.47000000000003</v>
      </c>
      <c r="O4472" s="415">
        <v>167.05</v>
      </c>
      <c r="P4472" s="415">
        <v>0</v>
      </c>
      <c r="Q4472" s="481">
        <f t="shared" si="115"/>
        <v>-632.72899999999993</v>
      </c>
    </row>
    <row r="4473" spans="1:17" x14ac:dyDescent="0.3">
      <c r="A4473" s="430" t="str">
        <f>IFERROR(VLOOKUP(RIGHT(E4473,3)+0,[1]SchLocTable!$A$2:$B$47,2,FALSE)," ")</f>
        <v>Harding HS</v>
      </c>
      <c r="B4473" s="430" t="str">
        <f>VLOOKUP(VALUE(D4473),$D$3:F$106,3,FALSE)</f>
        <v>Custodians</v>
      </c>
      <c r="C4473" t="s">
        <v>314</v>
      </c>
      <c r="D4473">
        <v>887</v>
      </c>
      <c r="E4473" t="s">
        <v>1192</v>
      </c>
      <c r="F4473" t="s">
        <v>318</v>
      </c>
      <c r="G4473" t="s">
        <v>319</v>
      </c>
      <c r="H4473" s="502">
        <v>51140</v>
      </c>
      <c r="I4473" s="415">
        <v>3225</v>
      </c>
      <c r="J4473" s="415">
        <v>1875</v>
      </c>
      <c r="K4473" s="415">
        <v>5425</v>
      </c>
      <c r="L4473" s="415">
        <v>6377.5</v>
      </c>
      <c r="M4473" s="415">
        <v>7275</v>
      </c>
      <c r="N4473" s="415">
        <v>4530</v>
      </c>
      <c r="O4473" s="415">
        <v>6385</v>
      </c>
      <c r="P4473" s="415">
        <v>5340</v>
      </c>
      <c r="Q4473" s="481">
        <f t="shared" si="115"/>
        <v>-1350</v>
      </c>
    </row>
    <row r="4474" spans="1:17" x14ac:dyDescent="0.3">
      <c r="A4474" s="430" t="str">
        <f>IFERROR(VLOOKUP(RIGHT(E4474,3)+0,[1]SchLocTable!$A$2:$B$47,2,FALSE)," ")</f>
        <v>Harding HS</v>
      </c>
      <c r="B4474" s="430" t="str">
        <f>VLOOKUP(VALUE(D4474),$D$3:F$106,3,FALSE)</f>
        <v>Custodians</v>
      </c>
      <c r="C4474" t="s">
        <v>314</v>
      </c>
      <c r="D4474">
        <v>887</v>
      </c>
      <c r="E4474" t="s">
        <v>1192</v>
      </c>
      <c r="F4474" t="s">
        <v>320</v>
      </c>
      <c r="G4474" t="s">
        <v>319</v>
      </c>
      <c r="H4474" s="502">
        <v>52360</v>
      </c>
      <c r="I4474" s="415">
        <v>5594.5594537860006</v>
      </c>
      <c r="J4474" s="415">
        <v>3688</v>
      </c>
      <c r="K4474" s="415">
        <v>5497.03</v>
      </c>
      <c r="L4474" s="415">
        <v>5838.1</v>
      </c>
      <c r="M4474" s="415">
        <v>5033.7700000000004</v>
      </c>
      <c r="N4474" s="415">
        <v>4413.54</v>
      </c>
      <c r="O4474" s="415">
        <v>4529.38</v>
      </c>
      <c r="P4474" s="415">
        <v>4898.1899999999996</v>
      </c>
      <c r="Q4474" s="481">
        <f t="shared" si="115"/>
        <v>-1906.5594537860006</v>
      </c>
    </row>
    <row r="4475" spans="1:17" x14ac:dyDescent="0.3">
      <c r="A4475" s="430" t="str">
        <f>IFERROR(VLOOKUP(RIGHT(E4475,3)+0,[1]SchLocTable!$A$2:$B$47,2,FALSE)," ")</f>
        <v>Harding HS</v>
      </c>
      <c r="B4475" s="430" t="str">
        <f>VLOOKUP(VALUE(D4475),$D$3:F$106,3,FALSE)</f>
        <v>Custodians</v>
      </c>
      <c r="C4475" t="s">
        <v>314</v>
      </c>
      <c r="D4475">
        <v>887</v>
      </c>
      <c r="E4475" t="s">
        <v>1192</v>
      </c>
      <c r="F4475" t="s">
        <v>392</v>
      </c>
      <c r="G4475" t="s">
        <v>319</v>
      </c>
      <c r="H4475" s="502">
        <v>52504</v>
      </c>
      <c r="I4475" s="415">
        <v>80175.824448050407</v>
      </c>
      <c r="J4475" s="415">
        <v>60193</v>
      </c>
      <c r="K4475" s="415">
        <v>73241.009999999995</v>
      </c>
      <c r="L4475" s="415">
        <v>102220.3</v>
      </c>
      <c r="M4475" s="415">
        <v>70258.87</v>
      </c>
      <c r="N4475" s="415">
        <v>58596.89</v>
      </c>
      <c r="O4475" s="415">
        <v>53665.56</v>
      </c>
      <c r="P4475" s="415">
        <v>50335.59</v>
      </c>
      <c r="Q4475" s="481">
        <f t="shared" si="115"/>
        <v>-19982.824448050407</v>
      </c>
    </row>
    <row r="4476" spans="1:17" x14ac:dyDescent="0.3">
      <c r="A4476" s="430" t="str">
        <f>IFERROR(VLOOKUP(RIGHT(E4476,3)+0,[1]SchLocTable!$A$2:$B$47,2,FALSE)," ")</f>
        <v>Harding HS</v>
      </c>
      <c r="B4476" s="430" t="str">
        <f>VLOOKUP(VALUE(D4476),$D$3:F$106,3,FALSE)</f>
        <v>Custodians</v>
      </c>
      <c r="C4476" t="s">
        <v>314</v>
      </c>
      <c r="D4476">
        <v>887</v>
      </c>
      <c r="E4476" t="s">
        <v>1192</v>
      </c>
      <c r="F4476" t="s">
        <v>1090</v>
      </c>
      <c r="G4476" t="s">
        <v>319</v>
      </c>
      <c r="H4476" s="502">
        <v>51138</v>
      </c>
      <c r="I4476" s="415">
        <v>9568.8970520000003</v>
      </c>
      <c r="J4476" s="415">
        <v>11417.29</v>
      </c>
      <c r="K4476" s="415">
        <v>7942.73</v>
      </c>
      <c r="L4476" s="415">
        <v>9327.4</v>
      </c>
      <c r="M4476" s="415">
        <v>11531.43</v>
      </c>
      <c r="N4476" s="415">
        <v>9595.2999999999993</v>
      </c>
      <c r="O4476" s="415">
        <v>7629.9</v>
      </c>
      <c r="P4476" s="415">
        <v>6528.54</v>
      </c>
      <c r="Q4476" s="481">
        <f t="shared" si="115"/>
        <v>1848.3929480000006</v>
      </c>
    </row>
    <row r="4477" spans="1:17" x14ac:dyDescent="0.3">
      <c r="A4477" s="430" t="str">
        <f>IFERROR(VLOOKUP(RIGHT(E4477,3)+0,[1]SchLocTable!$A$2:$B$47,2,FALSE)," ")</f>
        <v>Harding HS</v>
      </c>
      <c r="B4477" s="430" t="str">
        <f>VLOOKUP(VALUE(D4477),$D$3:F$106,3,FALSE)</f>
        <v>Custodians</v>
      </c>
      <c r="C4477" t="s">
        <v>314</v>
      </c>
      <c r="D4477">
        <v>887</v>
      </c>
      <c r="E4477" t="s">
        <v>1192</v>
      </c>
      <c r="F4477" t="s">
        <v>419</v>
      </c>
      <c r="G4477" t="s">
        <v>319</v>
      </c>
      <c r="H4477" s="502">
        <v>51318</v>
      </c>
      <c r="I4477" s="415">
        <v>0</v>
      </c>
      <c r="J4477" s="415">
        <v>0</v>
      </c>
      <c r="K4477" s="415">
        <v>682.38</v>
      </c>
      <c r="L4477" s="415">
        <v>828.08</v>
      </c>
      <c r="M4477" s="415">
        <v>0</v>
      </c>
      <c r="N4477" s="415">
        <v>0</v>
      </c>
      <c r="O4477" s="415">
        <v>0</v>
      </c>
      <c r="P4477" s="415">
        <v>0</v>
      </c>
      <c r="Q4477" s="481">
        <f t="shared" si="115"/>
        <v>0</v>
      </c>
    </row>
    <row r="4478" spans="1:17" x14ac:dyDescent="0.3">
      <c r="A4478" s="430" t="str">
        <f>IFERROR(VLOOKUP(RIGHT(E4478,3)+0,[1]SchLocTable!$A$2:$B$47,2,FALSE)," ")</f>
        <v>Harding HS</v>
      </c>
      <c r="B4478" s="430" t="str">
        <f>VLOOKUP(VALUE(D4478),$D$3:F$106,3,FALSE)</f>
        <v>Custodians</v>
      </c>
      <c r="C4478" t="s">
        <v>314</v>
      </c>
      <c r="D4478">
        <v>887</v>
      </c>
      <c r="E4478" t="s">
        <v>1192</v>
      </c>
      <c r="F4478" t="s">
        <v>452</v>
      </c>
      <c r="G4478" t="s">
        <v>319</v>
      </c>
      <c r="H4478" s="502">
        <v>51108</v>
      </c>
      <c r="I4478" s="415">
        <v>2854.0745999999999</v>
      </c>
      <c r="J4478" s="415">
        <v>21355.17</v>
      </c>
      <c r="K4478" s="415">
        <v>23379.43</v>
      </c>
      <c r="L4478" s="415">
        <v>18414.490000000002</v>
      </c>
      <c r="M4478" s="415">
        <v>9916.64</v>
      </c>
      <c r="N4478" s="415">
        <v>22580.62</v>
      </c>
      <c r="O4478" s="415">
        <v>8782.74</v>
      </c>
      <c r="P4478" s="415">
        <v>20748.7</v>
      </c>
      <c r="Q4478" s="481">
        <f t="shared" si="115"/>
        <v>18501.095399999998</v>
      </c>
    </row>
    <row r="4479" spans="1:17" x14ac:dyDescent="0.3">
      <c r="A4479" s="430" t="str">
        <f>IFERROR(VLOOKUP(RIGHT(E4479,3)+0,[1]SchLocTable!$A$2:$B$47,2,FALSE)," ")</f>
        <v>Harding HS</v>
      </c>
      <c r="B4479" s="430" t="str">
        <f>VLOOKUP(VALUE(D4479),$D$3:F$106,3,FALSE)</f>
        <v>Custodians</v>
      </c>
      <c r="C4479" t="s">
        <v>314</v>
      </c>
      <c r="D4479">
        <v>887</v>
      </c>
      <c r="E4479" t="s">
        <v>1192</v>
      </c>
      <c r="F4479" t="s">
        <v>483</v>
      </c>
      <c r="G4479" t="s">
        <v>319</v>
      </c>
      <c r="H4479" s="502">
        <v>51122</v>
      </c>
      <c r="I4479" s="415">
        <v>42351.76400000001</v>
      </c>
      <c r="J4479" s="415">
        <v>10464.030000000001</v>
      </c>
      <c r="K4479" s="415">
        <v>38314.769999999997</v>
      </c>
      <c r="L4479" s="415">
        <v>21304.77</v>
      </c>
      <c r="M4479" s="415">
        <v>15238.03</v>
      </c>
      <c r="N4479" s="415">
        <v>9600.82</v>
      </c>
      <c r="O4479" s="415">
        <v>16797.400000000001</v>
      </c>
      <c r="P4479" s="415">
        <v>37124.379999999997</v>
      </c>
      <c r="Q4479" s="481">
        <f t="shared" ref="Q4479:Q4542" si="116">J4479-I4479</f>
        <v>-31887.734000000011</v>
      </c>
    </row>
    <row r="4480" spans="1:17" x14ac:dyDescent="0.3">
      <c r="A4480" s="430" t="str">
        <f>IFERROR(VLOOKUP(RIGHT(E4480,3)+0,[1]SchLocTable!$A$2:$B$47,2,FALSE)," ")</f>
        <v>Harding HS</v>
      </c>
      <c r="B4480" s="430" t="str">
        <f>VLOOKUP(VALUE(D4480),$D$3:F$106,3,FALSE)</f>
        <v>Custodians</v>
      </c>
      <c r="C4480" t="s">
        <v>314</v>
      </c>
      <c r="D4480">
        <v>887</v>
      </c>
      <c r="E4480" t="s">
        <v>1192</v>
      </c>
      <c r="F4480" t="s">
        <v>1148</v>
      </c>
      <c r="G4480" t="s">
        <v>319</v>
      </c>
      <c r="H4480" s="502">
        <v>51124</v>
      </c>
      <c r="I4480" s="415">
        <v>0</v>
      </c>
      <c r="J4480" s="415">
        <v>0</v>
      </c>
      <c r="K4480" s="415">
        <v>0</v>
      </c>
      <c r="L4480" s="415">
        <v>21.39</v>
      </c>
      <c r="M4480" s="415">
        <v>93.2</v>
      </c>
      <c r="N4480" s="415">
        <v>0</v>
      </c>
      <c r="O4480" s="415">
        <v>103.68</v>
      </c>
      <c r="P4480" s="415">
        <v>0</v>
      </c>
      <c r="Q4480" s="481">
        <f t="shared" si="116"/>
        <v>0</v>
      </c>
    </row>
    <row r="4481" spans="1:17" x14ac:dyDescent="0.3">
      <c r="A4481" s="430" t="str">
        <f>IFERROR(VLOOKUP(RIGHT(E4481,3)+0,[1]SchLocTable!$A$2:$B$47,2,FALSE)," ")</f>
        <v>Harding HS</v>
      </c>
      <c r="B4481" s="430" t="str">
        <f>VLOOKUP(VALUE(D4481),$D$3:F$106,3,FALSE)</f>
        <v>Custodians</v>
      </c>
      <c r="C4481" t="s">
        <v>314</v>
      </c>
      <c r="D4481">
        <v>887</v>
      </c>
      <c r="E4481" t="s">
        <v>1192</v>
      </c>
      <c r="F4481" t="s">
        <v>324</v>
      </c>
      <c r="G4481" t="s">
        <v>319</v>
      </c>
      <c r="H4481" s="502">
        <v>52385</v>
      </c>
      <c r="I4481" s="415">
        <v>143.9179092</v>
      </c>
      <c r="J4481" s="415">
        <v>0</v>
      </c>
      <c r="K4481" s="415">
        <v>592.92999999999995</v>
      </c>
      <c r="L4481" s="415">
        <v>481.02</v>
      </c>
      <c r="M4481" s="415">
        <v>1381.85</v>
      </c>
      <c r="N4481" s="415">
        <v>878.85</v>
      </c>
      <c r="O4481" s="415">
        <v>0</v>
      </c>
      <c r="P4481" s="415">
        <v>0</v>
      </c>
      <c r="Q4481" s="481">
        <f t="shared" si="116"/>
        <v>-143.9179092</v>
      </c>
    </row>
    <row r="4482" spans="1:17" x14ac:dyDescent="0.3">
      <c r="A4482" s="430" t="str">
        <f>IFERROR(VLOOKUP(RIGHT(E4482,3)+0,[1]SchLocTable!$A$2:$B$47,2,FALSE)," ")</f>
        <v>Harding HS</v>
      </c>
      <c r="B4482" s="430" t="str">
        <f>VLOOKUP(VALUE(D4482),$D$3:F$106,3,FALSE)</f>
        <v>Custodians</v>
      </c>
      <c r="C4482" t="s">
        <v>314</v>
      </c>
      <c r="D4482">
        <v>887</v>
      </c>
      <c r="E4482" t="s">
        <v>1192</v>
      </c>
      <c r="F4482" t="s">
        <v>329</v>
      </c>
      <c r="G4482" t="s">
        <v>319</v>
      </c>
      <c r="H4482" s="502">
        <v>51154</v>
      </c>
      <c r="I4482" s="415">
        <v>0</v>
      </c>
      <c r="J4482" s="415">
        <v>0</v>
      </c>
      <c r="K4482" s="415">
        <v>26739.69</v>
      </c>
      <c r="L4482" s="415">
        <v>27211.72</v>
      </c>
      <c r="M4482" s="415">
        <v>608.17999999999995</v>
      </c>
      <c r="N4482" s="415">
        <v>0</v>
      </c>
      <c r="O4482" s="415">
        <v>0</v>
      </c>
      <c r="P4482" s="415">
        <v>0</v>
      </c>
      <c r="Q4482" s="481">
        <f t="shared" si="116"/>
        <v>0</v>
      </c>
    </row>
    <row r="4483" spans="1:17" x14ac:dyDescent="0.3">
      <c r="A4483" s="430" t="str">
        <f>IFERROR(VLOOKUP(RIGHT(E4483,3)+0,[1]SchLocTable!$A$2:$B$47,2,FALSE)," ")</f>
        <v>Harding HS</v>
      </c>
      <c r="B4483" s="430" t="str">
        <f>VLOOKUP(VALUE(D4483),$D$3:F$106,3,FALSE)</f>
        <v>Custodians</v>
      </c>
      <c r="C4483" t="s">
        <v>314</v>
      </c>
      <c r="D4483">
        <v>887</v>
      </c>
      <c r="E4483" t="s">
        <v>1192</v>
      </c>
      <c r="F4483" t="s">
        <v>418</v>
      </c>
      <c r="G4483" t="s">
        <v>319</v>
      </c>
      <c r="H4483" s="502">
        <v>51314</v>
      </c>
      <c r="I4483" s="415">
        <v>7714.9987000000001</v>
      </c>
      <c r="J4483" s="415">
        <v>0</v>
      </c>
      <c r="K4483" s="415">
        <v>7490.29</v>
      </c>
      <c r="L4483" s="415">
        <v>9118.1</v>
      </c>
      <c r="M4483" s="415">
        <v>3089.17</v>
      </c>
      <c r="N4483" s="415">
        <v>0</v>
      </c>
      <c r="O4483" s="415">
        <v>0</v>
      </c>
      <c r="P4483" s="415">
        <v>0</v>
      </c>
      <c r="Q4483" s="481">
        <f t="shared" si="116"/>
        <v>-7714.9987000000001</v>
      </c>
    </row>
    <row r="4484" spans="1:17" x14ac:dyDescent="0.3">
      <c r="A4484" s="430" t="str">
        <f>IFERROR(VLOOKUP(RIGHT(E4484,3)+0,[1]SchLocTable!$A$2:$B$47,2,FALSE)," ")</f>
        <v>Harding HS</v>
      </c>
      <c r="B4484" s="430" t="str">
        <f>VLOOKUP(VALUE(D4484),$D$3:F$106,3,FALSE)</f>
        <v>Custodians</v>
      </c>
      <c r="C4484" t="s">
        <v>314</v>
      </c>
      <c r="D4484">
        <v>887</v>
      </c>
      <c r="E4484" t="s">
        <v>1192</v>
      </c>
      <c r="F4484" t="s">
        <v>356</v>
      </c>
      <c r="G4484" t="s">
        <v>319</v>
      </c>
      <c r="H4484" s="502">
        <v>51156</v>
      </c>
      <c r="I4484" s="415">
        <v>0</v>
      </c>
      <c r="J4484" s="415">
        <v>0</v>
      </c>
      <c r="K4484" s="415">
        <v>2265.61</v>
      </c>
      <c r="L4484" s="415">
        <v>3259.78</v>
      </c>
      <c r="M4484" s="415">
        <v>3163.73</v>
      </c>
      <c r="N4484" s="415">
        <v>3845.55</v>
      </c>
      <c r="O4484" s="415">
        <v>3825.63</v>
      </c>
      <c r="P4484" s="415">
        <v>6500.3</v>
      </c>
      <c r="Q4484" s="481">
        <f t="shared" si="116"/>
        <v>0</v>
      </c>
    </row>
    <row r="4485" spans="1:17" x14ac:dyDescent="0.3">
      <c r="A4485" s="430" t="str">
        <f>IFERROR(VLOOKUP(RIGHT(E4485,3)+0,[1]SchLocTable!$A$2:$B$47,2,FALSE)," ")</f>
        <v>Aquaculture</v>
      </c>
      <c r="B4485" s="430" t="str">
        <f>VLOOKUP(VALUE(D4485),$D$3:F$106,3,FALSE)</f>
        <v>Custodians</v>
      </c>
      <c r="C4485" t="s">
        <v>314</v>
      </c>
      <c r="D4485">
        <v>887</v>
      </c>
      <c r="E4485" t="s">
        <v>1193</v>
      </c>
      <c r="F4485" t="s">
        <v>316</v>
      </c>
      <c r="G4485">
        <v>1</v>
      </c>
      <c r="H4485" s="502">
        <v>51000</v>
      </c>
      <c r="I4485" s="415">
        <v>70376.108399999983</v>
      </c>
      <c r="J4485" s="415">
        <v>67996</v>
      </c>
      <c r="K4485" s="415">
        <v>66554.12</v>
      </c>
      <c r="L4485" s="415">
        <v>59094.9</v>
      </c>
      <c r="M4485" s="415">
        <v>58687.87</v>
      </c>
      <c r="N4485" s="415">
        <v>54429.74</v>
      </c>
      <c r="O4485" s="415">
        <v>60490.239999999998</v>
      </c>
      <c r="P4485" s="415">
        <v>47560.99</v>
      </c>
      <c r="Q4485" s="481">
        <f t="shared" si="116"/>
        <v>-2380.1083999999828</v>
      </c>
    </row>
    <row r="4486" spans="1:17" x14ac:dyDescent="0.3">
      <c r="A4486" s="430" t="str">
        <f>IFERROR(VLOOKUP(RIGHT(E4486,3)+0,[1]SchLocTable!$A$2:$B$47,2,FALSE)," ")</f>
        <v>Aquaculture</v>
      </c>
      <c r="B4486" s="430" t="str">
        <f>VLOOKUP(VALUE(D4486),$D$3:F$106,3,FALSE)</f>
        <v>Custodians</v>
      </c>
      <c r="C4486" t="s">
        <v>314</v>
      </c>
      <c r="D4486">
        <v>887</v>
      </c>
      <c r="E4486" t="s">
        <v>1193</v>
      </c>
      <c r="F4486" t="s">
        <v>321</v>
      </c>
      <c r="G4486" t="s">
        <v>319</v>
      </c>
      <c r="H4486" s="502">
        <v>52917</v>
      </c>
      <c r="I4486" s="415">
        <v>36951.407999999996</v>
      </c>
      <c r="J4486" s="415">
        <v>30628</v>
      </c>
      <c r="K4486" s="415">
        <v>27893.19</v>
      </c>
      <c r="L4486" s="415">
        <v>27210.3</v>
      </c>
      <c r="M4486" s="415">
        <v>25562.15</v>
      </c>
      <c r="N4486" s="415">
        <v>23613.19</v>
      </c>
      <c r="O4486" s="415">
        <v>22386.86</v>
      </c>
      <c r="P4486" s="415">
        <v>20853.349999999999</v>
      </c>
      <c r="Q4486" s="481">
        <f t="shared" si="116"/>
        <v>-6323.4079999999958</v>
      </c>
    </row>
    <row r="4487" spans="1:17" x14ac:dyDescent="0.3">
      <c r="A4487" s="430" t="str">
        <f>IFERROR(VLOOKUP(RIGHT(E4487,3)+0,[1]SchLocTable!$A$2:$B$47,2,FALSE)," ")</f>
        <v>Aquaculture</v>
      </c>
      <c r="B4487" s="430" t="str">
        <f>VLOOKUP(VALUE(D4487),$D$3:F$106,3,FALSE)</f>
        <v>Custodians</v>
      </c>
      <c r="C4487" t="s">
        <v>314</v>
      </c>
      <c r="D4487">
        <v>887</v>
      </c>
      <c r="E4487" t="s">
        <v>1193</v>
      </c>
      <c r="F4487" t="s">
        <v>1087</v>
      </c>
      <c r="G4487" t="s">
        <v>319</v>
      </c>
      <c r="H4487" s="502">
        <v>51116</v>
      </c>
      <c r="I4487" s="415">
        <v>0</v>
      </c>
      <c r="J4487" s="415">
        <v>0</v>
      </c>
      <c r="K4487" s="415">
        <v>0</v>
      </c>
      <c r="L4487" s="415">
        <v>79.05</v>
      </c>
      <c r="M4487" s="415">
        <v>0</v>
      </c>
      <c r="N4487" s="415">
        <v>236.38</v>
      </c>
      <c r="O4487" s="415">
        <v>0</v>
      </c>
      <c r="P4487" s="415">
        <v>0</v>
      </c>
      <c r="Q4487" s="481">
        <f t="shared" si="116"/>
        <v>0</v>
      </c>
    </row>
    <row r="4488" spans="1:17" x14ac:dyDescent="0.3">
      <c r="A4488" s="430" t="str">
        <f>IFERROR(VLOOKUP(RIGHT(E4488,3)+0,[1]SchLocTable!$A$2:$B$47,2,FALSE)," ")</f>
        <v>Aquaculture</v>
      </c>
      <c r="B4488" s="430" t="str">
        <f>VLOOKUP(VALUE(D4488),$D$3:F$106,3,FALSE)</f>
        <v>Custodians</v>
      </c>
      <c r="C4488" t="s">
        <v>314</v>
      </c>
      <c r="D4488">
        <v>887</v>
      </c>
      <c r="E4488" t="s">
        <v>1193</v>
      </c>
      <c r="F4488" t="s">
        <v>318</v>
      </c>
      <c r="G4488" t="s">
        <v>319</v>
      </c>
      <c r="H4488" s="502">
        <v>51140</v>
      </c>
      <c r="I4488" s="415">
        <v>1725</v>
      </c>
      <c r="J4488" s="415">
        <v>0</v>
      </c>
      <c r="K4488" s="415">
        <v>1650</v>
      </c>
      <c r="L4488" s="415">
        <v>1575</v>
      </c>
      <c r="M4488" s="415">
        <v>1500</v>
      </c>
      <c r="N4488" s="415">
        <v>1425</v>
      </c>
      <c r="O4488" s="415">
        <v>1350</v>
      </c>
      <c r="P4488" s="415">
        <v>1275</v>
      </c>
      <c r="Q4488" s="481">
        <f t="shared" si="116"/>
        <v>-1725</v>
      </c>
    </row>
    <row r="4489" spans="1:17" x14ac:dyDescent="0.3">
      <c r="A4489" s="430" t="str">
        <f>IFERROR(VLOOKUP(RIGHT(E4489,3)+0,[1]SchLocTable!$A$2:$B$47,2,FALSE)," ")</f>
        <v>Aquaculture</v>
      </c>
      <c r="B4489" s="430" t="str">
        <f>VLOOKUP(VALUE(D4489),$D$3:F$106,3,FALSE)</f>
        <v>Custodians</v>
      </c>
      <c r="C4489" t="s">
        <v>314</v>
      </c>
      <c r="D4489">
        <v>887</v>
      </c>
      <c r="E4489" t="s">
        <v>1193</v>
      </c>
      <c r="F4489" t="s">
        <v>320</v>
      </c>
      <c r="G4489" t="s">
        <v>319</v>
      </c>
      <c r="H4489" s="502">
        <v>52360</v>
      </c>
      <c r="I4489" s="415">
        <v>1595.5229628</v>
      </c>
      <c r="J4489" s="415">
        <v>867</v>
      </c>
      <c r="K4489" s="415">
        <v>1322.45</v>
      </c>
      <c r="L4489" s="415">
        <v>1207.76</v>
      </c>
      <c r="M4489" s="415">
        <v>1222.6500000000001</v>
      </c>
      <c r="N4489" s="415">
        <v>1220.56</v>
      </c>
      <c r="O4489" s="415">
        <v>1028.5899999999999</v>
      </c>
      <c r="P4489" s="415">
        <v>986.79</v>
      </c>
      <c r="Q4489" s="481">
        <f t="shared" si="116"/>
        <v>-728.52296279999996</v>
      </c>
    </row>
    <row r="4490" spans="1:17" x14ac:dyDescent="0.3">
      <c r="A4490" s="430" t="str">
        <f>IFERROR(VLOOKUP(RIGHT(E4490,3)+0,[1]SchLocTable!$A$2:$B$47,2,FALSE)," ")</f>
        <v>Aquaculture</v>
      </c>
      <c r="B4490" s="430" t="str">
        <f>VLOOKUP(VALUE(D4490),$D$3:F$106,3,FALSE)</f>
        <v>Custodians</v>
      </c>
      <c r="C4490" t="s">
        <v>314</v>
      </c>
      <c r="D4490">
        <v>887</v>
      </c>
      <c r="E4490" t="s">
        <v>1193</v>
      </c>
      <c r="F4490" t="s">
        <v>392</v>
      </c>
      <c r="G4490" t="s">
        <v>319</v>
      </c>
      <c r="H4490" s="502">
        <v>52504</v>
      </c>
      <c r="I4490" s="415">
        <v>22865.494597919998</v>
      </c>
      <c r="J4490" s="415">
        <v>14488</v>
      </c>
      <c r="K4490" s="415">
        <v>20634.89</v>
      </c>
      <c r="L4490" s="415">
        <v>18865.46</v>
      </c>
      <c r="M4490" s="415">
        <v>19950.73</v>
      </c>
      <c r="N4490" s="415">
        <v>17277.009999999998</v>
      </c>
      <c r="O4490" s="415">
        <v>12885.97</v>
      </c>
      <c r="P4490" s="415">
        <v>10663.61</v>
      </c>
      <c r="Q4490" s="481">
        <f t="shared" si="116"/>
        <v>-8377.4945979199983</v>
      </c>
    </row>
    <row r="4491" spans="1:17" x14ac:dyDescent="0.3">
      <c r="A4491" s="430" t="str">
        <f>IFERROR(VLOOKUP(RIGHT(E4491,3)+0,[1]SchLocTable!$A$2:$B$47,2,FALSE)," ")</f>
        <v>Aquaculture</v>
      </c>
      <c r="B4491" s="430" t="str">
        <f>VLOOKUP(VALUE(D4491),$D$3:F$106,3,FALSE)</f>
        <v>Custodians</v>
      </c>
      <c r="C4491" t="s">
        <v>314</v>
      </c>
      <c r="D4491">
        <v>887</v>
      </c>
      <c r="E4491" t="s">
        <v>1193</v>
      </c>
      <c r="F4491" t="s">
        <v>1090</v>
      </c>
      <c r="G4491" t="s">
        <v>319</v>
      </c>
      <c r="H4491" s="502">
        <v>51138</v>
      </c>
      <c r="I4491" s="415">
        <v>464.46660000000003</v>
      </c>
      <c r="J4491" s="415">
        <v>433.23</v>
      </c>
      <c r="K4491" s="415">
        <v>450.49</v>
      </c>
      <c r="L4491" s="415">
        <v>431.5</v>
      </c>
      <c r="M4491" s="415">
        <v>433.23</v>
      </c>
      <c r="N4491" s="415">
        <v>459.11</v>
      </c>
      <c r="O4491" s="415">
        <v>419.95</v>
      </c>
      <c r="P4491" s="415">
        <v>387.71</v>
      </c>
      <c r="Q4491" s="481">
        <f t="shared" si="116"/>
        <v>-31.23660000000001</v>
      </c>
    </row>
    <row r="4492" spans="1:17" x14ac:dyDescent="0.3">
      <c r="A4492" s="430" t="str">
        <f>IFERROR(VLOOKUP(RIGHT(E4492,3)+0,[1]SchLocTable!$A$2:$B$47,2,FALSE)," ")</f>
        <v>Aquaculture</v>
      </c>
      <c r="B4492" s="430" t="str">
        <f>VLOOKUP(VALUE(D4492),$D$3:F$106,3,FALSE)</f>
        <v>Custodians</v>
      </c>
      <c r="C4492" t="s">
        <v>314</v>
      </c>
      <c r="D4492">
        <v>887</v>
      </c>
      <c r="E4492" t="s">
        <v>1193</v>
      </c>
      <c r="F4492" t="s">
        <v>452</v>
      </c>
      <c r="G4492" t="s">
        <v>319</v>
      </c>
      <c r="H4492" s="502">
        <v>51108</v>
      </c>
      <c r="I4492" s="415">
        <v>11875.921199999999</v>
      </c>
      <c r="J4492" s="415">
        <v>53.03</v>
      </c>
      <c r="K4492" s="415">
        <v>7594.16</v>
      </c>
      <c r="L4492" s="415">
        <v>6317.25</v>
      </c>
      <c r="M4492" s="415">
        <v>6778.46</v>
      </c>
      <c r="N4492" s="415">
        <v>8416.16</v>
      </c>
      <c r="O4492" s="415">
        <v>5612.41</v>
      </c>
      <c r="P4492" s="415">
        <v>4385.22</v>
      </c>
      <c r="Q4492" s="481">
        <f t="shared" si="116"/>
        <v>-11822.891199999998</v>
      </c>
    </row>
    <row r="4493" spans="1:17" x14ac:dyDescent="0.3">
      <c r="A4493" s="430" t="str">
        <f>IFERROR(VLOOKUP(RIGHT(E4493,3)+0,[1]SchLocTable!$A$2:$B$47,2,FALSE)," ")</f>
        <v>Aquaculture</v>
      </c>
      <c r="B4493" s="430" t="str">
        <f>VLOOKUP(VALUE(D4493),$D$3:F$106,3,FALSE)</f>
        <v>Custodians</v>
      </c>
      <c r="C4493" t="s">
        <v>314</v>
      </c>
      <c r="D4493">
        <v>887</v>
      </c>
      <c r="E4493" t="s">
        <v>1193</v>
      </c>
      <c r="F4493" t="s">
        <v>483</v>
      </c>
      <c r="G4493" t="s">
        <v>319</v>
      </c>
      <c r="H4493" s="502">
        <v>51122</v>
      </c>
      <c r="I4493" s="415">
        <v>23093.672160000006</v>
      </c>
      <c r="J4493" s="415">
        <v>17680.95</v>
      </c>
      <c r="K4493" s="415">
        <v>21533.57</v>
      </c>
      <c r="L4493" s="415">
        <v>13892.68</v>
      </c>
      <c r="M4493" s="415">
        <v>14792.82</v>
      </c>
      <c r="N4493" s="415">
        <v>18333.89</v>
      </c>
      <c r="O4493" s="415">
        <v>10276.959999999999</v>
      </c>
      <c r="P4493" s="415">
        <v>9470.41</v>
      </c>
      <c r="Q4493" s="481">
        <f t="shared" si="116"/>
        <v>-5412.7221600000048</v>
      </c>
    </row>
    <row r="4494" spans="1:17" x14ac:dyDescent="0.3">
      <c r="A4494" s="430" t="str">
        <f>IFERROR(VLOOKUP(RIGHT(E4494,3)+0,[1]SchLocTable!$A$2:$B$47,2,FALSE)," ")</f>
        <v>Aquaculture</v>
      </c>
      <c r="B4494" s="430" t="str">
        <f>VLOOKUP(VALUE(D4494),$D$3:F$106,3,FALSE)</f>
        <v>Custodians</v>
      </c>
      <c r="C4494" t="s">
        <v>314</v>
      </c>
      <c r="D4494">
        <v>887</v>
      </c>
      <c r="E4494" t="s">
        <v>1193</v>
      </c>
      <c r="F4494" t="s">
        <v>1148</v>
      </c>
      <c r="G4494" t="s">
        <v>319</v>
      </c>
      <c r="H4494" s="502">
        <v>51124</v>
      </c>
      <c r="I4494" s="415">
        <v>0</v>
      </c>
      <c r="J4494" s="415">
        <v>0</v>
      </c>
      <c r="K4494" s="415">
        <v>70.94</v>
      </c>
      <c r="L4494" s="415">
        <v>0</v>
      </c>
      <c r="M4494" s="415">
        <v>0</v>
      </c>
      <c r="N4494" s="415">
        <v>0</v>
      </c>
      <c r="O4494" s="415">
        <v>0</v>
      </c>
      <c r="P4494" s="415">
        <v>0</v>
      </c>
      <c r="Q4494" s="481">
        <f t="shared" si="116"/>
        <v>0</v>
      </c>
    </row>
    <row r="4495" spans="1:17" x14ac:dyDescent="0.3">
      <c r="A4495" s="430" t="str">
        <f>IFERROR(VLOOKUP(RIGHT(E4495,3)+0,[1]SchLocTable!$A$2:$B$47,2,FALSE)," ")</f>
        <v>Adult Education</v>
      </c>
      <c r="B4495" s="430" t="str">
        <f>VLOOKUP(VALUE(D4495),$D$3:F$106,3,FALSE)</f>
        <v>Custodians</v>
      </c>
      <c r="C4495" t="s">
        <v>314</v>
      </c>
      <c r="D4495">
        <v>887</v>
      </c>
      <c r="E4495" t="s">
        <v>1194</v>
      </c>
      <c r="F4495" t="s">
        <v>320</v>
      </c>
      <c r="G4495" t="s">
        <v>319</v>
      </c>
      <c r="H4495" s="502">
        <v>52360</v>
      </c>
      <c r="I4495" s="415">
        <v>0</v>
      </c>
      <c r="J4495" s="415">
        <v>0</v>
      </c>
      <c r="K4495" s="415">
        <v>0</v>
      </c>
      <c r="L4495" s="415">
        <v>0</v>
      </c>
      <c r="M4495" s="415">
        <v>0</v>
      </c>
      <c r="N4495" s="415">
        <v>0</v>
      </c>
      <c r="O4495" s="415">
        <v>0</v>
      </c>
      <c r="P4495" s="415">
        <v>0</v>
      </c>
      <c r="Q4495" s="481">
        <f t="shared" si="116"/>
        <v>0</v>
      </c>
    </row>
    <row r="4496" spans="1:17" x14ac:dyDescent="0.3">
      <c r="A4496" s="430" t="str">
        <f>IFERROR(VLOOKUP(RIGHT(E4496,3)+0,[1]SchLocTable!$A$2:$B$47,2,FALSE)," ")</f>
        <v>Adult Education</v>
      </c>
      <c r="B4496" s="430" t="str">
        <f>VLOOKUP(VALUE(D4496),$D$3:F$106,3,FALSE)</f>
        <v>Custodians</v>
      </c>
      <c r="C4496" t="s">
        <v>314</v>
      </c>
      <c r="D4496">
        <v>887</v>
      </c>
      <c r="E4496" t="s">
        <v>1194</v>
      </c>
      <c r="F4496" t="s">
        <v>392</v>
      </c>
      <c r="G4496" t="s">
        <v>319</v>
      </c>
      <c r="H4496" s="502">
        <v>52504</v>
      </c>
      <c r="I4496" s="415">
        <v>0</v>
      </c>
      <c r="J4496" s="415">
        <v>0</v>
      </c>
      <c r="K4496" s="415">
        <v>0</v>
      </c>
      <c r="L4496" s="415">
        <v>0</v>
      </c>
      <c r="M4496" s="415">
        <v>0</v>
      </c>
      <c r="N4496" s="415">
        <v>0</v>
      </c>
      <c r="O4496" s="415">
        <v>0</v>
      </c>
      <c r="P4496" s="415">
        <v>0</v>
      </c>
      <c r="Q4496" s="481">
        <f t="shared" si="116"/>
        <v>0</v>
      </c>
    </row>
    <row r="4497" spans="1:17" x14ac:dyDescent="0.3">
      <c r="A4497" s="430" t="str">
        <f>IFERROR(VLOOKUP(RIGHT(E4497,3)+0,[1]SchLocTable!$A$2:$B$47,2,FALSE)," ")</f>
        <v>Adult Education</v>
      </c>
      <c r="B4497" s="430" t="str">
        <f>VLOOKUP(VALUE(D4497),$D$3:F$106,3,FALSE)</f>
        <v>Custodians</v>
      </c>
      <c r="C4497" t="s">
        <v>314</v>
      </c>
      <c r="D4497">
        <v>887</v>
      </c>
      <c r="E4497" t="s">
        <v>1194</v>
      </c>
      <c r="F4497" t="s">
        <v>452</v>
      </c>
      <c r="G4497" t="s">
        <v>319</v>
      </c>
      <c r="H4497" s="502">
        <v>51108</v>
      </c>
      <c r="I4497" s="415">
        <v>0</v>
      </c>
      <c r="J4497" s="415">
        <v>0</v>
      </c>
      <c r="K4497" s="415">
        <v>0</v>
      </c>
      <c r="L4497" s="415">
        <v>0</v>
      </c>
      <c r="M4497" s="415">
        <v>0</v>
      </c>
      <c r="N4497" s="415">
        <v>0</v>
      </c>
      <c r="O4497" s="415">
        <v>0</v>
      </c>
      <c r="P4497" s="415">
        <v>0</v>
      </c>
      <c r="Q4497" s="481">
        <f t="shared" si="116"/>
        <v>0</v>
      </c>
    </row>
    <row r="4498" spans="1:17" x14ac:dyDescent="0.3">
      <c r="A4498" s="430" t="str">
        <f>IFERROR(VLOOKUP(RIGHT(E4498,3)+0,[1]SchLocTable!$A$2:$B$47,2,FALSE)," ")</f>
        <v>Adult Education</v>
      </c>
      <c r="B4498" s="430" t="str">
        <f>VLOOKUP(VALUE(D4498),$D$3:F$106,3,FALSE)</f>
        <v>Custodians</v>
      </c>
      <c r="C4498" t="s">
        <v>314</v>
      </c>
      <c r="D4498">
        <v>887</v>
      </c>
      <c r="E4498" t="s">
        <v>1194</v>
      </c>
      <c r="F4498" t="s">
        <v>483</v>
      </c>
      <c r="G4498" t="s">
        <v>319</v>
      </c>
      <c r="H4498" s="502">
        <v>51122</v>
      </c>
      <c r="I4498" s="415">
        <v>1501.7392</v>
      </c>
      <c r="J4498" s="415">
        <v>0</v>
      </c>
      <c r="K4498" s="415">
        <v>0</v>
      </c>
      <c r="L4498" s="415">
        <v>0</v>
      </c>
      <c r="M4498" s="415">
        <v>0</v>
      </c>
      <c r="N4498" s="415">
        <v>0</v>
      </c>
      <c r="O4498" s="415">
        <v>0</v>
      </c>
      <c r="P4498" s="415">
        <v>0</v>
      </c>
      <c r="Q4498" s="481">
        <f t="shared" si="116"/>
        <v>-1501.7392</v>
      </c>
    </row>
    <row r="4499" spans="1:17" x14ac:dyDescent="0.3">
      <c r="A4499" s="430" t="str">
        <f>IFERROR(VLOOKUP(RIGHT(E4499,3)+0,[1]SchLocTable!$A$2:$B$47,2,FALSE)," ")</f>
        <v>FCW campus</v>
      </c>
      <c r="B4499" s="430" t="str">
        <f>VLOOKUP(VALUE(D4499),$D$3:F$106,3,FALSE)</f>
        <v>Custodians</v>
      </c>
      <c r="C4499" t="s">
        <v>314</v>
      </c>
      <c r="D4499">
        <v>887</v>
      </c>
      <c r="E4499" t="s">
        <v>1195</v>
      </c>
      <c r="F4499" t="s">
        <v>1089</v>
      </c>
      <c r="G4499" t="s">
        <v>319</v>
      </c>
      <c r="H4499" s="502">
        <v>51102</v>
      </c>
      <c r="I4499" s="415">
        <v>0</v>
      </c>
      <c r="J4499" s="415">
        <v>0</v>
      </c>
      <c r="K4499" s="415">
        <v>0</v>
      </c>
      <c r="L4499" s="415">
        <v>1361.97</v>
      </c>
      <c r="M4499" s="415">
        <v>2063.09</v>
      </c>
      <c r="N4499" s="415">
        <v>2706.87</v>
      </c>
      <c r="O4499" s="415">
        <v>1430.41</v>
      </c>
      <c r="P4499" s="415">
        <v>1871.39</v>
      </c>
      <c r="Q4499" s="481">
        <f t="shared" si="116"/>
        <v>0</v>
      </c>
    </row>
    <row r="4500" spans="1:17" x14ac:dyDescent="0.3">
      <c r="A4500" s="430" t="str">
        <f>IFERROR(VLOOKUP(RIGHT(E4500,3)+0,[1]SchLocTable!$A$2:$B$47,2,FALSE)," ")</f>
        <v>FCW campus</v>
      </c>
      <c r="B4500" s="430" t="str">
        <f>VLOOKUP(VALUE(D4500),$D$3:F$106,3,FALSE)</f>
        <v>Custodians</v>
      </c>
      <c r="C4500" t="s">
        <v>314</v>
      </c>
      <c r="D4500">
        <v>887</v>
      </c>
      <c r="E4500" t="s">
        <v>1195</v>
      </c>
      <c r="F4500" t="s">
        <v>316</v>
      </c>
      <c r="G4500">
        <v>9</v>
      </c>
      <c r="H4500" s="502">
        <v>51000</v>
      </c>
      <c r="I4500" s="415">
        <v>438984.07383999997</v>
      </c>
      <c r="J4500" s="415">
        <v>383879.26</v>
      </c>
      <c r="K4500" s="415">
        <v>440522.35</v>
      </c>
      <c r="L4500" s="415">
        <v>416591.69</v>
      </c>
      <c r="M4500" s="415">
        <v>400338.39</v>
      </c>
      <c r="N4500" s="415">
        <v>385527.05</v>
      </c>
      <c r="O4500" s="415">
        <v>472882.97</v>
      </c>
      <c r="P4500" s="415">
        <v>418299.77</v>
      </c>
      <c r="Q4500" s="481">
        <f t="shared" si="116"/>
        <v>-55104.813839999959</v>
      </c>
    </row>
    <row r="4501" spans="1:17" x14ac:dyDescent="0.3">
      <c r="A4501" s="430" t="str">
        <f>IFERROR(VLOOKUP(RIGHT(E4501,3)+0,[1]SchLocTable!$A$2:$B$47,2,FALSE)," ")</f>
        <v>FCW campus</v>
      </c>
      <c r="B4501" s="430" t="str">
        <f>VLOOKUP(VALUE(D4501),$D$3:F$106,3,FALSE)</f>
        <v>Custodians</v>
      </c>
      <c r="C4501" t="s">
        <v>314</v>
      </c>
      <c r="D4501">
        <v>887</v>
      </c>
      <c r="E4501" t="s">
        <v>1195</v>
      </c>
      <c r="F4501" t="s">
        <v>360</v>
      </c>
      <c r="G4501" t="s">
        <v>319</v>
      </c>
      <c r="H4501" s="502">
        <v>52920</v>
      </c>
      <c r="I4501" s="415">
        <v>2583.34</v>
      </c>
      <c r="J4501" s="415">
        <v>500</v>
      </c>
      <c r="K4501" s="415">
        <v>500</v>
      </c>
      <c r="L4501" s="415">
        <v>2583.34</v>
      </c>
      <c r="M4501" s="415">
        <v>3500.02</v>
      </c>
      <c r="N4501" s="415">
        <v>3000</v>
      </c>
      <c r="O4501" s="415">
        <v>1333.34</v>
      </c>
      <c r="P4501" s="415">
        <v>1500</v>
      </c>
      <c r="Q4501" s="481">
        <f t="shared" si="116"/>
        <v>-2083.34</v>
      </c>
    </row>
    <row r="4502" spans="1:17" x14ac:dyDescent="0.3">
      <c r="A4502" s="430" t="str">
        <f>IFERROR(VLOOKUP(RIGHT(E4502,3)+0,[1]SchLocTable!$A$2:$B$47,2,FALSE)," ")</f>
        <v>FCW campus</v>
      </c>
      <c r="B4502" s="430" t="str">
        <f>VLOOKUP(VALUE(D4502),$D$3:F$106,3,FALSE)</f>
        <v>Custodians</v>
      </c>
      <c r="C4502" t="s">
        <v>314</v>
      </c>
      <c r="D4502">
        <v>887</v>
      </c>
      <c r="E4502" t="s">
        <v>1195</v>
      </c>
      <c r="F4502" t="s">
        <v>321</v>
      </c>
      <c r="G4502" t="s">
        <v>319</v>
      </c>
      <c r="H4502" s="502">
        <v>52917</v>
      </c>
      <c r="I4502" s="415">
        <v>159805.77599999998</v>
      </c>
      <c r="J4502" s="415">
        <v>133683.70000000001</v>
      </c>
      <c r="K4502" s="415">
        <v>151321.09</v>
      </c>
      <c r="L4502" s="415">
        <v>133638.65</v>
      </c>
      <c r="M4502" s="415">
        <v>131498.85999999999</v>
      </c>
      <c r="N4502" s="415">
        <v>139646.39000000001</v>
      </c>
      <c r="O4502" s="415">
        <v>166811.73000000001</v>
      </c>
      <c r="P4502" s="415">
        <v>137363.72</v>
      </c>
      <c r="Q4502" s="481">
        <f t="shared" si="116"/>
        <v>-26122.075999999972</v>
      </c>
    </row>
    <row r="4503" spans="1:17" x14ac:dyDescent="0.3">
      <c r="A4503" s="430" t="str">
        <f>IFERROR(VLOOKUP(RIGHT(E4503,3)+0,[1]SchLocTable!$A$2:$B$47,2,FALSE)," ")</f>
        <v>FCW campus</v>
      </c>
      <c r="B4503" s="430" t="str">
        <f>VLOOKUP(VALUE(D4503),$D$3:F$106,3,FALSE)</f>
        <v>Custodians</v>
      </c>
      <c r="C4503" t="s">
        <v>314</v>
      </c>
      <c r="D4503">
        <v>887</v>
      </c>
      <c r="E4503" t="s">
        <v>1195</v>
      </c>
      <c r="F4503" t="s">
        <v>318</v>
      </c>
      <c r="G4503" t="s">
        <v>319</v>
      </c>
      <c r="H4503" s="502">
        <v>51140</v>
      </c>
      <c r="I4503" s="415">
        <v>5355</v>
      </c>
      <c r="J4503" s="415">
        <v>4305</v>
      </c>
      <c r="K4503" s="415">
        <v>6045</v>
      </c>
      <c r="L4503" s="415">
        <v>6225</v>
      </c>
      <c r="M4503" s="415">
        <v>3975</v>
      </c>
      <c r="N4503" s="415">
        <v>9143.75</v>
      </c>
      <c r="O4503" s="415">
        <v>5855</v>
      </c>
      <c r="P4503" s="415">
        <v>3610</v>
      </c>
      <c r="Q4503" s="481">
        <f t="shared" si="116"/>
        <v>-1050</v>
      </c>
    </row>
    <row r="4504" spans="1:17" x14ac:dyDescent="0.3">
      <c r="A4504" s="430" t="str">
        <f>IFERROR(VLOOKUP(RIGHT(E4504,3)+0,[1]SchLocTable!$A$2:$B$47,2,FALSE)," ")</f>
        <v>FCW campus</v>
      </c>
      <c r="B4504" s="430" t="str">
        <f>VLOOKUP(VALUE(D4504),$D$3:F$106,3,FALSE)</f>
        <v>Custodians</v>
      </c>
      <c r="C4504" t="s">
        <v>314</v>
      </c>
      <c r="D4504">
        <v>887</v>
      </c>
      <c r="E4504" t="s">
        <v>1195</v>
      </c>
      <c r="F4504" t="s">
        <v>320</v>
      </c>
      <c r="G4504" t="s">
        <v>319</v>
      </c>
      <c r="H4504" s="502">
        <v>52360</v>
      </c>
      <c r="I4504" s="415">
        <v>7369.0749003339997</v>
      </c>
      <c r="J4504" s="415">
        <v>5818</v>
      </c>
      <c r="K4504" s="415">
        <v>7081.77</v>
      </c>
      <c r="L4504" s="415">
        <v>6923.32</v>
      </c>
      <c r="M4504" s="415">
        <v>6636.01</v>
      </c>
      <c r="N4504" s="415">
        <v>6163.02</v>
      </c>
      <c r="O4504" s="415">
        <v>6414.5</v>
      </c>
      <c r="P4504" s="415">
        <v>5962.32</v>
      </c>
      <c r="Q4504" s="481">
        <f t="shared" si="116"/>
        <v>-1551.0749003339997</v>
      </c>
    </row>
    <row r="4505" spans="1:17" x14ac:dyDescent="0.3">
      <c r="A4505" s="430" t="str">
        <f>IFERROR(VLOOKUP(RIGHT(E4505,3)+0,[1]SchLocTable!$A$2:$B$47,2,FALSE)," ")</f>
        <v>FCW campus</v>
      </c>
      <c r="B4505" s="430" t="str">
        <f>VLOOKUP(VALUE(D4505),$D$3:F$106,3,FALSE)</f>
        <v>Custodians</v>
      </c>
      <c r="C4505" t="s">
        <v>314</v>
      </c>
      <c r="D4505">
        <v>887</v>
      </c>
      <c r="E4505" t="s">
        <v>1195</v>
      </c>
      <c r="F4505" t="s">
        <v>392</v>
      </c>
      <c r="G4505" t="s">
        <v>319</v>
      </c>
      <c r="H4505" s="502">
        <v>52504</v>
      </c>
      <c r="I4505" s="415">
        <v>105606.46650271761</v>
      </c>
      <c r="J4505" s="415">
        <v>87818</v>
      </c>
      <c r="K4505" s="415">
        <v>104207.51</v>
      </c>
      <c r="L4505" s="415">
        <v>102916.32</v>
      </c>
      <c r="M4505" s="415">
        <v>97601.13</v>
      </c>
      <c r="N4505" s="415">
        <v>87781.07</v>
      </c>
      <c r="O4505" s="415">
        <v>82308.44</v>
      </c>
      <c r="P4505" s="415">
        <v>63030.12</v>
      </c>
      <c r="Q4505" s="481">
        <f t="shared" si="116"/>
        <v>-17788.466502717609</v>
      </c>
    </row>
    <row r="4506" spans="1:17" x14ac:dyDescent="0.3">
      <c r="A4506" s="430" t="str">
        <f>IFERROR(VLOOKUP(RIGHT(E4506,3)+0,[1]SchLocTable!$A$2:$B$47,2,FALSE)," ")</f>
        <v>FCW campus</v>
      </c>
      <c r="B4506" s="430" t="str">
        <f>VLOOKUP(VALUE(D4506),$D$3:F$106,3,FALSE)</f>
        <v>Custodians</v>
      </c>
      <c r="C4506" t="s">
        <v>314</v>
      </c>
      <c r="D4506">
        <v>887</v>
      </c>
      <c r="E4506" t="s">
        <v>1195</v>
      </c>
      <c r="F4506" t="s">
        <v>1090</v>
      </c>
      <c r="G4506" t="s">
        <v>319</v>
      </c>
      <c r="H4506" s="502">
        <v>51138</v>
      </c>
      <c r="I4506" s="415">
        <v>19421.903852000003</v>
      </c>
      <c r="J4506" s="415">
        <v>10757.41</v>
      </c>
      <c r="K4506" s="415">
        <v>14679.02</v>
      </c>
      <c r="L4506" s="415">
        <v>12573.01</v>
      </c>
      <c r="M4506" s="415">
        <v>11683.24</v>
      </c>
      <c r="N4506" s="415">
        <v>8714.26</v>
      </c>
      <c r="O4506" s="415">
        <v>11501.64</v>
      </c>
      <c r="P4506" s="415">
        <v>9908.8799999999992</v>
      </c>
      <c r="Q4506" s="481">
        <f t="shared" si="116"/>
        <v>-8664.4938520000032</v>
      </c>
    </row>
    <row r="4507" spans="1:17" x14ac:dyDescent="0.3">
      <c r="A4507" s="430" t="str">
        <f>IFERROR(VLOOKUP(RIGHT(E4507,3)+0,[1]SchLocTable!$A$2:$B$47,2,FALSE)," ")</f>
        <v>FCW campus</v>
      </c>
      <c r="B4507" s="430" t="str">
        <f>VLOOKUP(VALUE(D4507),$D$3:F$106,3,FALSE)</f>
        <v>Custodians</v>
      </c>
      <c r="C4507" t="s">
        <v>314</v>
      </c>
      <c r="D4507">
        <v>887</v>
      </c>
      <c r="E4507" t="s">
        <v>1195</v>
      </c>
      <c r="F4507" t="s">
        <v>419</v>
      </c>
      <c r="G4507" t="s">
        <v>319</v>
      </c>
      <c r="H4507" s="502">
        <v>51318</v>
      </c>
      <c r="I4507" s="415">
        <v>0</v>
      </c>
      <c r="J4507" s="415">
        <v>0</v>
      </c>
      <c r="K4507" s="415">
        <v>234.27</v>
      </c>
      <c r="L4507" s="415">
        <v>0</v>
      </c>
      <c r="M4507" s="415">
        <v>0</v>
      </c>
      <c r="N4507" s="415">
        <v>503.75</v>
      </c>
      <c r="O4507" s="415">
        <v>0</v>
      </c>
      <c r="P4507" s="415">
        <v>0</v>
      </c>
      <c r="Q4507" s="481">
        <f t="shared" si="116"/>
        <v>0</v>
      </c>
    </row>
    <row r="4508" spans="1:17" x14ac:dyDescent="0.3">
      <c r="A4508" s="430" t="str">
        <f>IFERROR(VLOOKUP(RIGHT(E4508,3)+0,[1]SchLocTable!$A$2:$B$47,2,FALSE)," ")</f>
        <v>FCW campus</v>
      </c>
      <c r="B4508" s="430" t="str">
        <f>VLOOKUP(VALUE(D4508),$D$3:F$106,3,FALSE)</f>
        <v>Custodians</v>
      </c>
      <c r="C4508" t="s">
        <v>314</v>
      </c>
      <c r="D4508">
        <v>887</v>
      </c>
      <c r="E4508" t="s">
        <v>1195</v>
      </c>
      <c r="F4508" t="s">
        <v>452</v>
      </c>
      <c r="G4508" t="s">
        <v>319</v>
      </c>
      <c r="H4508" s="502">
        <v>51108</v>
      </c>
      <c r="I4508" s="415">
        <v>0</v>
      </c>
      <c r="J4508" s="415">
        <v>26850.51</v>
      </c>
      <c r="K4508" s="415">
        <v>34364.230000000003</v>
      </c>
      <c r="L4508" s="415">
        <v>17758.87</v>
      </c>
      <c r="M4508" s="415">
        <v>14281.67</v>
      </c>
      <c r="N4508" s="415">
        <v>16778.09</v>
      </c>
      <c r="O4508" s="415">
        <v>374.61</v>
      </c>
      <c r="P4508" s="415">
        <v>4982.47</v>
      </c>
      <c r="Q4508" s="481">
        <f t="shared" si="116"/>
        <v>26850.51</v>
      </c>
    </row>
    <row r="4509" spans="1:17" x14ac:dyDescent="0.3">
      <c r="A4509" s="430" t="str">
        <f>IFERROR(VLOOKUP(RIGHT(E4509,3)+0,[1]SchLocTable!$A$2:$B$47,2,FALSE)," ")</f>
        <v>FCW campus</v>
      </c>
      <c r="B4509" s="430" t="str">
        <f>VLOOKUP(VALUE(D4509),$D$3:F$106,3,FALSE)</f>
        <v>Custodians</v>
      </c>
      <c r="C4509" t="s">
        <v>314</v>
      </c>
      <c r="D4509">
        <v>887</v>
      </c>
      <c r="E4509" t="s">
        <v>1195</v>
      </c>
      <c r="F4509" t="s">
        <v>483</v>
      </c>
      <c r="G4509" t="s">
        <v>319</v>
      </c>
      <c r="H4509" s="502">
        <v>51122</v>
      </c>
      <c r="I4509" s="415">
        <v>39234.985920000006</v>
      </c>
      <c r="J4509" s="415">
        <v>29919.79</v>
      </c>
      <c r="K4509" s="415">
        <v>30006.77</v>
      </c>
      <c r="L4509" s="415">
        <v>28055.83</v>
      </c>
      <c r="M4509" s="415">
        <v>8545.07</v>
      </c>
      <c r="N4509" s="415">
        <v>16050.71</v>
      </c>
      <c r="O4509" s="415">
        <v>6236.85</v>
      </c>
      <c r="P4509" s="415">
        <v>9995.59</v>
      </c>
      <c r="Q4509" s="481">
        <f t="shared" si="116"/>
        <v>-9315.1959200000056</v>
      </c>
    </row>
    <row r="4510" spans="1:17" x14ac:dyDescent="0.3">
      <c r="A4510" s="430" t="str">
        <f>IFERROR(VLOOKUP(RIGHT(E4510,3)+0,[1]SchLocTable!$A$2:$B$47,2,FALSE)," ")</f>
        <v>FCW campus</v>
      </c>
      <c r="B4510" s="430" t="str">
        <f>VLOOKUP(VALUE(D4510),$D$3:F$106,3,FALSE)</f>
        <v>Custodians</v>
      </c>
      <c r="C4510" t="s">
        <v>314</v>
      </c>
      <c r="D4510">
        <v>887</v>
      </c>
      <c r="E4510" t="s">
        <v>1195</v>
      </c>
      <c r="F4510" t="s">
        <v>1148</v>
      </c>
      <c r="G4510" t="s">
        <v>319</v>
      </c>
      <c r="H4510" s="502">
        <v>51124</v>
      </c>
      <c r="I4510" s="415">
        <v>0</v>
      </c>
      <c r="J4510" s="415">
        <v>0</v>
      </c>
      <c r="K4510" s="415">
        <v>67</v>
      </c>
      <c r="L4510" s="415">
        <v>0</v>
      </c>
      <c r="M4510" s="415">
        <v>0</v>
      </c>
      <c r="N4510" s="415">
        <v>0</v>
      </c>
      <c r="O4510" s="415">
        <v>0</v>
      </c>
      <c r="P4510" s="415">
        <v>0</v>
      </c>
      <c r="Q4510" s="481">
        <f t="shared" si="116"/>
        <v>0</v>
      </c>
    </row>
    <row r="4511" spans="1:17" x14ac:dyDescent="0.3">
      <c r="A4511" s="430" t="str">
        <f>IFERROR(VLOOKUP(RIGHT(E4511,3)+0,[1]SchLocTable!$A$2:$B$47,2,FALSE)," ")</f>
        <v>FCW campus</v>
      </c>
      <c r="B4511" s="430" t="str">
        <f>VLOOKUP(VALUE(D4511),$D$3:F$106,3,FALSE)</f>
        <v>Custodians</v>
      </c>
      <c r="C4511" t="s">
        <v>314</v>
      </c>
      <c r="D4511">
        <v>887</v>
      </c>
      <c r="E4511" t="s">
        <v>1195</v>
      </c>
      <c r="F4511" t="s">
        <v>324</v>
      </c>
      <c r="G4511" t="s">
        <v>319</v>
      </c>
      <c r="H4511" s="502">
        <v>52385</v>
      </c>
      <c r="I4511" s="415">
        <v>2503.2800000000002</v>
      </c>
      <c r="J4511" s="415">
        <v>0</v>
      </c>
      <c r="K4511" s="415">
        <v>228.4</v>
      </c>
      <c r="L4511" s="415">
        <v>826.61</v>
      </c>
      <c r="M4511" s="415">
        <v>2775.77</v>
      </c>
      <c r="N4511" s="415">
        <v>0</v>
      </c>
      <c r="O4511" s="415">
        <v>0</v>
      </c>
      <c r="P4511" s="415">
        <v>1165.8399999999999</v>
      </c>
      <c r="Q4511" s="481">
        <f t="shared" si="116"/>
        <v>-2503.2800000000002</v>
      </c>
    </row>
    <row r="4512" spans="1:17" x14ac:dyDescent="0.3">
      <c r="A4512" s="430" t="str">
        <f>IFERROR(VLOOKUP(RIGHT(E4512,3)+0,[1]SchLocTable!$A$2:$B$47,2,FALSE)," ")</f>
        <v>FCW campus</v>
      </c>
      <c r="B4512" s="430" t="str">
        <f>VLOOKUP(VALUE(D4512),$D$3:F$106,3,FALSE)</f>
        <v>Custodians</v>
      </c>
      <c r="C4512" t="s">
        <v>314</v>
      </c>
      <c r="D4512">
        <v>887</v>
      </c>
      <c r="E4512" t="s">
        <v>1195</v>
      </c>
      <c r="F4512" t="s">
        <v>329</v>
      </c>
      <c r="G4512" t="s">
        <v>319</v>
      </c>
      <c r="H4512" s="502">
        <v>51154</v>
      </c>
      <c r="I4512" s="415">
        <v>188.51060000000001</v>
      </c>
      <c r="J4512" s="415">
        <v>0</v>
      </c>
      <c r="K4512" s="415">
        <v>45.76</v>
      </c>
      <c r="L4512" s="415">
        <v>534.21</v>
      </c>
      <c r="M4512" s="415">
        <v>0</v>
      </c>
      <c r="N4512" s="415">
        <v>4568.78</v>
      </c>
      <c r="O4512" s="415">
        <v>0</v>
      </c>
      <c r="P4512" s="415">
        <v>0</v>
      </c>
      <c r="Q4512" s="481">
        <f t="shared" si="116"/>
        <v>-188.51060000000001</v>
      </c>
    </row>
    <row r="4513" spans="1:17" x14ac:dyDescent="0.3">
      <c r="A4513" s="430" t="str">
        <f>IFERROR(VLOOKUP(RIGHT(E4513,3)+0,[1]SchLocTable!$A$2:$B$47,2,FALSE)," ")</f>
        <v>FCW campus</v>
      </c>
      <c r="B4513" s="430" t="str">
        <f>VLOOKUP(VALUE(D4513),$D$3:F$106,3,FALSE)</f>
        <v>Custodians</v>
      </c>
      <c r="C4513" t="s">
        <v>314</v>
      </c>
      <c r="D4513">
        <v>887</v>
      </c>
      <c r="E4513" t="s">
        <v>1195</v>
      </c>
      <c r="F4513" t="s">
        <v>418</v>
      </c>
      <c r="G4513" t="s">
        <v>319</v>
      </c>
      <c r="H4513" s="502">
        <v>51314</v>
      </c>
      <c r="I4513" s="415">
        <v>7238.9636</v>
      </c>
      <c r="J4513" s="415">
        <v>0</v>
      </c>
      <c r="K4513" s="415">
        <v>1757.03</v>
      </c>
      <c r="L4513" s="415">
        <v>623.5</v>
      </c>
      <c r="M4513" s="415">
        <v>0</v>
      </c>
      <c r="N4513" s="415">
        <v>5037.4799999999996</v>
      </c>
      <c r="O4513" s="415">
        <v>0</v>
      </c>
      <c r="P4513" s="415">
        <v>0</v>
      </c>
      <c r="Q4513" s="481">
        <f t="shared" si="116"/>
        <v>-7238.9636</v>
      </c>
    </row>
    <row r="4514" spans="1:17" x14ac:dyDescent="0.3">
      <c r="A4514" s="430" t="str">
        <f>IFERROR(VLOOKUP(RIGHT(E4514,3)+0,[1]SchLocTable!$A$2:$B$47,2,FALSE)," ")</f>
        <v xml:space="preserve"> </v>
      </c>
      <c r="B4514" s="430" t="str">
        <f>VLOOKUP(VALUE(D4514),$D$3:F$106,3,FALSE)</f>
        <v>PT Custodians</v>
      </c>
      <c r="C4514" t="s">
        <v>314</v>
      </c>
      <c r="D4514">
        <v>888</v>
      </c>
      <c r="E4514" t="s">
        <v>1196</v>
      </c>
      <c r="F4514" t="s">
        <v>316</v>
      </c>
      <c r="G4514">
        <v>1</v>
      </c>
      <c r="H4514" s="502">
        <v>51000</v>
      </c>
      <c r="I4514" s="415">
        <v>51128.999999999993</v>
      </c>
      <c r="J4514" s="415">
        <v>28358</v>
      </c>
      <c r="K4514" s="415">
        <v>49242.5</v>
      </c>
      <c r="L4514" s="415">
        <v>44547.5</v>
      </c>
      <c r="M4514" s="415">
        <v>11548</v>
      </c>
      <c r="N4514" s="415">
        <v>0</v>
      </c>
      <c r="O4514" s="415">
        <v>0</v>
      </c>
      <c r="P4514" s="415">
        <v>0</v>
      </c>
      <c r="Q4514" s="481">
        <f t="shared" si="116"/>
        <v>-22770.999999999993</v>
      </c>
    </row>
    <row r="4515" spans="1:17" x14ac:dyDescent="0.3">
      <c r="A4515" s="430" t="str">
        <f>IFERROR(VLOOKUP(RIGHT(E4515,3)+0,[1]SchLocTable!$A$2:$B$47,2,FALSE)," ")</f>
        <v xml:space="preserve"> </v>
      </c>
      <c r="B4515" s="430" t="str">
        <f>VLOOKUP(VALUE(D4515),$D$3:F$106,3,FALSE)</f>
        <v>PT Custodians</v>
      </c>
      <c r="C4515" t="s">
        <v>314</v>
      </c>
      <c r="D4515">
        <v>888</v>
      </c>
      <c r="E4515" t="s">
        <v>1196</v>
      </c>
      <c r="F4515" t="s">
        <v>320</v>
      </c>
      <c r="G4515" t="s">
        <v>319</v>
      </c>
      <c r="H4515" s="502">
        <v>52360</v>
      </c>
      <c r="I4515" s="415">
        <v>741.37049999999988</v>
      </c>
      <c r="J4515" s="415">
        <v>353.34</v>
      </c>
      <c r="K4515" s="415">
        <v>714.02</v>
      </c>
      <c r="L4515" s="415">
        <v>645.94000000000005</v>
      </c>
      <c r="M4515" s="415">
        <v>167.44</v>
      </c>
      <c r="N4515" s="415">
        <v>0</v>
      </c>
      <c r="O4515" s="415">
        <v>0</v>
      </c>
      <c r="P4515" s="415">
        <v>0</v>
      </c>
      <c r="Q4515" s="481">
        <f t="shared" si="116"/>
        <v>-388.0304999999999</v>
      </c>
    </row>
    <row r="4516" spans="1:17" x14ac:dyDescent="0.3">
      <c r="A4516" s="430" t="str">
        <f>IFERROR(VLOOKUP(RIGHT(E4516,3)+0,[1]SchLocTable!$A$2:$B$47,2,FALSE)," ")</f>
        <v xml:space="preserve"> </v>
      </c>
      <c r="B4516" s="430" t="str">
        <f>VLOOKUP(VALUE(D4516),$D$3:F$106,3,FALSE)</f>
        <v>PT Custodians</v>
      </c>
      <c r="C4516" t="s">
        <v>314</v>
      </c>
      <c r="D4516">
        <v>888</v>
      </c>
      <c r="E4516" t="s">
        <v>1196</v>
      </c>
      <c r="F4516" t="s">
        <v>324</v>
      </c>
      <c r="G4516" t="s">
        <v>319</v>
      </c>
      <c r="H4516" s="502">
        <v>52385</v>
      </c>
      <c r="I4516" s="415">
        <v>4701.3979999999992</v>
      </c>
      <c r="J4516" s="415">
        <v>808.97</v>
      </c>
      <c r="K4516" s="415">
        <v>1486.14</v>
      </c>
      <c r="L4516" s="415">
        <v>1431.28</v>
      </c>
      <c r="M4516" s="415">
        <v>0</v>
      </c>
      <c r="N4516" s="415">
        <v>0</v>
      </c>
      <c r="O4516" s="415">
        <v>0</v>
      </c>
      <c r="P4516" s="415">
        <v>0</v>
      </c>
      <c r="Q4516" s="481">
        <f t="shared" si="116"/>
        <v>-3892.427999999999</v>
      </c>
    </row>
    <row r="4517" spans="1:17" x14ac:dyDescent="0.3">
      <c r="A4517" s="430" t="str">
        <f>IFERROR(VLOOKUP(RIGHT(E4517,3)+0,[1]SchLocTable!$A$2:$B$47,2,FALSE)," ")</f>
        <v>Hall</v>
      </c>
      <c r="B4517" s="430" t="str">
        <f>VLOOKUP(VALUE(D4517),$D$3:F$106,3,FALSE)</f>
        <v>PT Custodians</v>
      </c>
      <c r="C4517" t="s">
        <v>314</v>
      </c>
      <c r="D4517">
        <v>888</v>
      </c>
      <c r="E4517" t="s">
        <v>1197</v>
      </c>
      <c r="F4517" t="s">
        <v>316</v>
      </c>
      <c r="G4517" t="s">
        <v>319</v>
      </c>
      <c r="H4517" s="502">
        <v>51000</v>
      </c>
      <c r="I4517" s="415">
        <v>0</v>
      </c>
      <c r="J4517" s="415">
        <v>0</v>
      </c>
      <c r="K4517" s="415">
        <v>2450</v>
      </c>
      <c r="L4517" s="415">
        <v>18040</v>
      </c>
      <c r="M4517" s="415">
        <v>18708</v>
      </c>
      <c r="N4517" s="415">
        <v>9152</v>
      </c>
      <c r="O4517" s="415">
        <v>0</v>
      </c>
      <c r="P4517" s="415">
        <v>0</v>
      </c>
      <c r="Q4517" s="481">
        <f t="shared" si="116"/>
        <v>0</v>
      </c>
    </row>
    <row r="4518" spans="1:17" x14ac:dyDescent="0.3">
      <c r="A4518" s="430" t="str">
        <f>IFERROR(VLOOKUP(RIGHT(E4518,3)+0,[1]SchLocTable!$A$2:$B$47,2,FALSE)," ")</f>
        <v>Hall</v>
      </c>
      <c r="B4518" s="430" t="str">
        <f>VLOOKUP(VALUE(D4518),$D$3:F$106,3,FALSE)</f>
        <v>PT Custodians</v>
      </c>
      <c r="C4518" t="s">
        <v>314</v>
      </c>
      <c r="D4518">
        <v>888</v>
      </c>
      <c r="E4518" t="s">
        <v>1197</v>
      </c>
      <c r="F4518" t="s">
        <v>320</v>
      </c>
      <c r="G4518" t="s">
        <v>319</v>
      </c>
      <c r="H4518" s="502">
        <v>52360</v>
      </c>
      <c r="I4518" s="415">
        <v>0</v>
      </c>
      <c r="J4518" s="415">
        <v>0</v>
      </c>
      <c r="K4518" s="415">
        <v>35.53</v>
      </c>
      <c r="L4518" s="415">
        <v>261.58</v>
      </c>
      <c r="M4518" s="415">
        <v>271.27</v>
      </c>
      <c r="N4518" s="415">
        <v>132.71</v>
      </c>
      <c r="O4518" s="415">
        <v>0</v>
      </c>
      <c r="P4518" s="415">
        <v>0</v>
      </c>
      <c r="Q4518" s="481">
        <f t="shared" si="116"/>
        <v>0</v>
      </c>
    </row>
    <row r="4519" spans="1:17" x14ac:dyDescent="0.3">
      <c r="A4519" s="430" t="str">
        <f>IFERROR(VLOOKUP(RIGHT(E4519,3)+0,[1]SchLocTable!$A$2:$B$47,2,FALSE)," ")</f>
        <v>Hallen</v>
      </c>
      <c r="B4519" s="430" t="str">
        <f>VLOOKUP(VALUE(D4519),$D$3:F$106,3,FALSE)</f>
        <v>PT Custodians</v>
      </c>
      <c r="C4519" t="s">
        <v>314</v>
      </c>
      <c r="D4519">
        <v>888</v>
      </c>
      <c r="E4519" t="s">
        <v>1198</v>
      </c>
      <c r="F4519" t="s">
        <v>316</v>
      </c>
      <c r="G4519" t="s">
        <v>319</v>
      </c>
      <c r="H4519" s="502">
        <v>51000</v>
      </c>
      <c r="I4519" s="415">
        <v>0</v>
      </c>
      <c r="J4519" s="415">
        <v>0</v>
      </c>
      <c r="K4519" s="415">
        <v>7727.45</v>
      </c>
      <c r="L4519" s="415">
        <v>14488.56</v>
      </c>
      <c r="M4519" s="415">
        <v>13443.6</v>
      </c>
      <c r="N4519" s="415">
        <v>12266.9</v>
      </c>
      <c r="O4519" s="415">
        <v>11502.2</v>
      </c>
      <c r="P4519" s="415">
        <v>10745.1</v>
      </c>
      <c r="Q4519" s="481">
        <f t="shared" si="116"/>
        <v>0</v>
      </c>
    </row>
    <row r="4520" spans="1:17" x14ac:dyDescent="0.3">
      <c r="A4520" s="430" t="str">
        <f>IFERROR(VLOOKUP(RIGHT(E4520,3)+0,[1]SchLocTable!$A$2:$B$47,2,FALSE)," ")</f>
        <v>Hallen</v>
      </c>
      <c r="B4520" s="430" t="str">
        <f>VLOOKUP(VALUE(D4520),$D$3:F$106,3,FALSE)</f>
        <v>PT Custodians</v>
      </c>
      <c r="C4520" t="s">
        <v>314</v>
      </c>
      <c r="D4520">
        <v>888</v>
      </c>
      <c r="E4520" t="s">
        <v>1198</v>
      </c>
      <c r="F4520" t="s">
        <v>320</v>
      </c>
      <c r="G4520" t="s">
        <v>319</v>
      </c>
      <c r="H4520" s="502">
        <v>52360</v>
      </c>
      <c r="I4520" s="415">
        <v>0</v>
      </c>
      <c r="J4520" s="415">
        <v>0</v>
      </c>
      <c r="K4520" s="415">
        <v>112.04</v>
      </c>
      <c r="L4520" s="415">
        <v>210.09</v>
      </c>
      <c r="M4520" s="415">
        <v>194.93</v>
      </c>
      <c r="N4520" s="415">
        <v>177.87</v>
      </c>
      <c r="O4520" s="415">
        <v>166.78</v>
      </c>
      <c r="P4520" s="415">
        <v>155.80000000000001</v>
      </c>
      <c r="Q4520" s="481">
        <f t="shared" si="116"/>
        <v>0</v>
      </c>
    </row>
    <row r="4521" spans="1:17" x14ac:dyDescent="0.3">
      <c r="A4521" s="430" t="str">
        <f>IFERROR(VLOOKUP(RIGHT(E4521,3)+0,[1]SchLocTable!$A$2:$B$47,2,FALSE)," ")</f>
        <v>Hallen</v>
      </c>
      <c r="B4521" s="430" t="str">
        <f>VLOOKUP(VALUE(D4521),$D$3:F$106,3,FALSE)</f>
        <v>PT Custodians</v>
      </c>
      <c r="C4521" t="s">
        <v>314</v>
      </c>
      <c r="D4521">
        <v>888</v>
      </c>
      <c r="E4521" t="s">
        <v>1198</v>
      </c>
      <c r="F4521" t="s">
        <v>324</v>
      </c>
      <c r="G4521" t="s">
        <v>319</v>
      </c>
      <c r="H4521" s="502">
        <v>52385</v>
      </c>
      <c r="I4521" s="415">
        <v>0</v>
      </c>
      <c r="J4521" s="415">
        <v>0</v>
      </c>
      <c r="K4521" s="415">
        <v>479.1</v>
      </c>
      <c r="L4521" s="415">
        <v>898.29</v>
      </c>
      <c r="M4521" s="415">
        <v>833.51</v>
      </c>
      <c r="N4521" s="415">
        <v>760.55</v>
      </c>
      <c r="O4521" s="415">
        <v>713.14</v>
      </c>
      <c r="P4521" s="415">
        <v>666.19</v>
      </c>
      <c r="Q4521" s="481">
        <f t="shared" si="116"/>
        <v>0</v>
      </c>
    </row>
    <row r="4522" spans="1:17" x14ac:dyDescent="0.3">
      <c r="A4522" s="430" t="str">
        <f>IFERROR(VLOOKUP(RIGHT(E4522,3)+0,[1]SchLocTable!$A$2:$B$47,2,FALSE)," ")</f>
        <v>BMA HS</v>
      </c>
      <c r="B4522" s="430" t="str">
        <f>VLOOKUP(VALUE(D4522),$D$3:F$106,3,FALSE)</f>
        <v>PT Custodians</v>
      </c>
      <c r="C4522" t="s">
        <v>314</v>
      </c>
      <c r="D4522">
        <v>888</v>
      </c>
      <c r="E4522" t="s">
        <v>1199</v>
      </c>
      <c r="F4522" t="s">
        <v>316</v>
      </c>
      <c r="G4522">
        <v>1</v>
      </c>
      <c r="H4522" s="502">
        <v>51000</v>
      </c>
      <c r="I4522" s="415">
        <v>20451.599999999999</v>
      </c>
      <c r="J4522" s="415">
        <v>23.4</v>
      </c>
      <c r="K4522" s="415">
        <v>18086</v>
      </c>
      <c r="L4522" s="415">
        <v>11300.07</v>
      </c>
      <c r="M4522" s="415">
        <v>23.4</v>
      </c>
      <c r="N4522" s="415">
        <v>9843.6</v>
      </c>
      <c r="O4522" s="415">
        <v>8870</v>
      </c>
      <c r="P4522" s="415">
        <v>6110.75</v>
      </c>
      <c r="Q4522" s="481">
        <f t="shared" si="116"/>
        <v>-20428.199999999997</v>
      </c>
    </row>
    <row r="4523" spans="1:17" x14ac:dyDescent="0.3">
      <c r="A4523" s="430" t="str">
        <f>IFERROR(VLOOKUP(RIGHT(E4523,3)+0,[1]SchLocTable!$A$2:$B$47,2,FALSE)," ")</f>
        <v>BMA HS</v>
      </c>
      <c r="B4523" s="430" t="str">
        <f>VLOOKUP(VALUE(D4523),$D$3:F$106,3,FALSE)</f>
        <v>PT Custodians</v>
      </c>
      <c r="C4523" t="s">
        <v>314</v>
      </c>
      <c r="D4523">
        <v>888</v>
      </c>
      <c r="E4523" t="s">
        <v>1199</v>
      </c>
      <c r="F4523" t="s">
        <v>320</v>
      </c>
      <c r="G4523" t="s">
        <v>319</v>
      </c>
      <c r="H4523" s="502">
        <v>52360</v>
      </c>
      <c r="I4523" s="415">
        <v>296.54820000000001</v>
      </c>
      <c r="J4523" s="415">
        <v>0.34</v>
      </c>
      <c r="K4523" s="415">
        <v>262.25</v>
      </c>
      <c r="L4523" s="415">
        <v>163.85</v>
      </c>
      <c r="M4523" s="415">
        <v>0.34</v>
      </c>
      <c r="N4523" s="415">
        <v>142.72999999999999</v>
      </c>
      <c r="O4523" s="415">
        <v>128.62</v>
      </c>
      <c r="P4523" s="415">
        <v>88.61</v>
      </c>
      <c r="Q4523" s="481">
        <f t="shared" si="116"/>
        <v>-296.20820000000003</v>
      </c>
    </row>
    <row r="4524" spans="1:17" x14ac:dyDescent="0.3">
      <c r="A4524" s="430" t="str">
        <f>IFERROR(VLOOKUP(RIGHT(E4524,3)+0,[1]SchLocTable!$A$2:$B$47,2,FALSE)," ")</f>
        <v>BMA HS</v>
      </c>
      <c r="B4524" s="430" t="str">
        <f>VLOOKUP(VALUE(D4524),$D$3:F$106,3,FALSE)</f>
        <v>PT Custodians</v>
      </c>
      <c r="C4524" t="s">
        <v>314</v>
      </c>
      <c r="D4524">
        <v>888</v>
      </c>
      <c r="E4524" t="s">
        <v>1199</v>
      </c>
      <c r="F4524" t="s">
        <v>324</v>
      </c>
      <c r="G4524" t="s">
        <v>319</v>
      </c>
      <c r="H4524" s="502">
        <v>52385</v>
      </c>
      <c r="I4524" s="415">
        <v>2493.1192000000001</v>
      </c>
      <c r="J4524" s="415">
        <v>1.45</v>
      </c>
      <c r="K4524" s="415">
        <v>1121.33</v>
      </c>
      <c r="L4524" s="415">
        <v>700.6</v>
      </c>
      <c r="M4524" s="415">
        <v>1.45</v>
      </c>
      <c r="N4524" s="415">
        <v>610.30999999999995</v>
      </c>
      <c r="O4524" s="415">
        <v>549.94000000000005</v>
      </c>
      <c r="P4524" s="415">
        <v>378.87</v>
      </c>
      <c r="Q4524" s="481">
        <f t="shared" si="116"/>
        <v>-2491.6692000000003</v>
      </c>
    </row>
    <row r="4525" spans="1:17" x14ac:dyDescent="0.3">
      <c r="A4525" s="430" t="str">
        <f>IFERROR(VLOOKUP(RIGHT(E4525,3)+0,[1]SchLocTable!$A$2:$B$47,2,FALSE)," ")</f>
        <v>Madison</v>
      </c>
      <c r="B4525" s="430" t="str">
        <f>VLOOKUP(VALUE(D4525),$D$3:F$106,3,FALSE)</f>
        <v>PT Custodians</v>
      </c>
      <c r="C4525" t="s">
        <v>314</v>
      </c>
      <c r="D4525">
        <v>888</v>
      </c>
      <c r="E4525" t="s">
        <v>1200</v>
      </c>
      <c r="F4525" t="s">
        <v>316</v>
      </c>
      <c r="G4525" t="s">
        <v>319</v>
      </c>
      <c r="H4525" s="502">
        <v>51000</v>
      </c>
      <c r="I4525" s="415">
        <v>0</v>
      </c>
      <c r="J4525" s="415">
        <v>0</v>
      </c>
      <c r="K4525" s="415">
        <v>0</v>
      </c>
      <c r="L4525" s="415">
        <v>11660</v>
      </c>
      <c r="M4525" s="415">
        <v>13070</v>
      </c>
      <c r="N4525" s="415">
        <v>0</v>
      </c>
      <c r="O4525" s="415">
        <v>0</v>
      </c>
      <c r="P4525" s="415">
        <v>0</v>
      </c>
      <c r="Q4525" s="481">
        <f t="shared" si="116"/>
        <v>0</v>
      </c>
    </row>
    <row r="4526" spans="1:17" x14ac:dyDescent="0.3">
      <c r="A4526" s="430" t="str">
        <f>IFERROR(VLOOKUP(RIGHT(E4526,3)+0,[1]SchLocTable!$A$2:$B$47,2,FALSE)," ")</f>
        <v>Madison</v>
      </c>
      <c r="B4526" s="430" t="str">
        <f>VLOOKUP(VALUE(D4526),$D$3:F$106,3,FALSE)</f>
        <v>PT Custodians</v>
      </c>
      <c r="C4526" t="s">
        <v>314</v>
      </c>
      <c r="D4526">
        <v>888</v>
      </c>
      <c r="E4526" t="s">
        <v>1200</v>
      </c>
      <c r="F4526" t="s">
        <v>320</v>
      </c>
      <c r="G4526" t="s">
        <v>319</v>
      </c>
      <c r="H4526" s="502">
        <v>52360</v>
      </c>
      <c r="I4526" s="415">
        <v>0</v>
      </c>
      <c r="J4526" s="415">
        <v>0</v>
      </c>
      <c r="K4526" s="415">
        <v>0</v>
      </c>
      <c r="L4526" s="415">
        <v>169.08</v>
      </c>
      <c r="M4526" s="415">
        <v>189.52</v>
      </c>
      <c r="N4526" s="415">
        <v>0</v>
      </c>
      <c r="O4526" s="415">
        <v>0</v>
      </c>
      <c r="P4526" s="415">
        <v>0</v>
      </c>
      <c r="Q4526" s="481">
        <f t="shared" si="116"/>
        <v>0</v>
      </c>
    </row>
    <row r="4527" spans="1:17" x14ac:dyDescent="0.3">
      <c r="A4527" s="430" t="str">
        <f>IFERROR(VLOOKUP(RIGHT(E4527,3)+0,[1]SchLocTable!$A$2:$B$47,2,FALSE)," ")</f>
        <v>Madison</v>
      </c>
      <c r="B4527" s="430" t="str">
        <f>VLOOKUP(VALUE(D4527),$D$3:F$106,3,FALSE)</f>
        <v>PT Custodians</v>
      </c>
      <c r="C4527" t="s">
        <v>314</v>
      </c>
      <c r="D4527">
        <v>888</v>
      </c>
      <c r="E4527" t="s">
        <v>1200</v>
      </c>
      <c r="F4527" t="s">
        <v>324</v>
      </c>
      <c r="G4527" t="s">
        <v>319</v>
      </c>
      <c r="H4527" s="502">
        <v>52385</v>
      </c>
      <c r="I4527" s="415">
        <v>0</v>
      </c>
      <c r="J4527" s="415">
        <v>0</v>
      </c>
      <c r="K4527" s="415">
        <v>0</v>
      </c>
      <c r="L4527" s="415">
        <v>650.38</v>
      </c>
      <c r="M4527" s="415">
        <v>810.34</v>
      </c>
      <c r="N4527" s="415">
        <v>0</v>
      </c>
      <c r="O4527" s="415">
        <v>0</v>
      </c>
      <c r="P4527" s="415">
        <v>0</v>
      </c>
      <c r="Q4527" s="481">
        <f t="shared" si="116"/>
        <v>0</v>
      </c>
    </row>
    <row r="4528" spans="1:17" x14ac:dyDescent="0.3">
      <c r="A4528" s="430" t="str">
        <f>IFERROR(VLOOKUP(RIGHT(E4528,3)+0,[1]SchLocTable!$A$2:$B$47,2,FALSE)," ")</f>
        <v>Tisdale</v>
      </c>
      <c r="B4528" s="430" t="str">
        <f>VLOOKUP(VALUE(D4528),$D$3:F$106,3,FALSE)</f>
        <v>PT Custodians</v>
      </c>
      <c r="C4528" t="s">
        <v>314</v>
      </c>
      <c r="D4528">
        <v>888</v>
      </c>
      <c r="E4528" t="s">
        <v>1201</v>
      </c>
      <c r="F4528" t="s">
        <v>316</v>
      </c>
      <c r="G4528" t="s">
        <v>319</v>
      </c>
      <c r="H4528" s="502">
        <v>51000</v>
      </c>
      <c r="I4528" s="415">
        <v>0</v>
      </c>
      <c r="J4528" s="415">
        <v>0</v>
      </c>
      <c r="K4528" s="415">
        <v>0</v>
      </c>
      <c r="L4528" s="415">
        <v>8050</v>
      </c>
      <c r="M4528" s="415">
        <v>16190</v>
      </c>
      <c r="N4528" s="415">
        <v>0</v>
      </c>
      <c r="O4528" s="415">
        <v>0</v>
      </c>
      <c r="P4528" s="415">
        <v>0</v>
      </c>
      <c r="Q4528" s="481">
        <f t="shared" si="116"/>
        <v>0</v>
      </c>
    </row>
    <row r="4529" spans="1:17" x14ac:dyDescent="0.3">
      <c r="A4529" s="430" t="str">
        <f>IFERROR(VLOOKUP(RIGHT(E4529,3)+0,[1]SchLocTable!$A$2:$B$47,2,FALSE)," ")</f>
        <v>Tisdale</v>
      </c>
      <c r="B4529" s="430" t="str">
        <f>VLOOKUP(VALUE(D4529),$D$3:F$106,3,FALSE)</f>
        <v>PT Custodians</v>
      </c>
      <c r="C4529" t="s">
        <v>314</v>
      </c>
      <c r="D4529">
        <v>888</v>
      </c>
      <c r="E4529" t="s">
        <v>1201</v>
      </c>
      <c r="F4529" t="s">
        <v>320</v>
      </c>
      <c r="G4529" t="s">
        <v>319</v>
      </c>
      <c r="H4529" s="502">
        <v>52360</v>
      </c>
      <c r="I4529" s="415">
        <v>0</v>
      </c>
      <c r="J4529" s="415">
        <v>0</v>
      </c>
      <c r="K4529" s="415">
        <v>0</v>
      </c>
      <c r="L4529" s="415">
        <v>116.73</v>
      </c>
      <c r="M4529" s="415">
        <v>171.25</v>
      </c>
      <c r="N4529" s="415">
        <v>0</v>
      </c>
      <c r="O4529" s="415">
        <v>0</v>
      </c>
      <c r="P4529" s="415">
        <v>0</v>
      </c>
      <c r="Q4529" s="481">
        <f t="shared" si="116"/>
        <v>0</v>
      </c>
    </row>
    <row r="4530" spans="1:17" x14ac:dyDescent="0.3">
      <c r="A4530" s="430" t="str">
        <f>IFERROR(VLOOKUP(RIGHT(E4530,3)+0,[1]SchLocTable!$A$2:$B$47,2,FALSE)," ")</f>
        <v>Claytor</v>
      </c>
      <c r="B4530" s="430" t="str">
        <f>VLOOKUP(VALUE(D4530),$D$3:F$106,3,FALSE)</f>
        <v>PT Custodians</v>
      </c>
      <c r="C4530" t="s">
        <v>314</v>
      </c>
      <c r="D4530">
        <v>888</v>
      </c>
      <c r="E4530" t="s">
        <v>1202</v>
      </c>
      <c r="F4530" t="s">
        <v>316</v>
      </c>
      <c r="G4530" t="s">
        <v>319</v>
      </c>
      <c r="H4530" s="502">
        <v>51000</v>
      </c>
      <c r="I4530" s="415">
        <v>0</v>
      </c>
      <c r="J4530" s="415">
        <v>0</v>
      </c>
      <c r="K4530" s="415">
        <v>0</v>
      </c>
      <c r="L4530" s="415">
        <v>6700</v>
      </c>
      <c r="M4530" s="415">
        <v>8700</v>
      </c>
      <c r="N4530" s="415">
        <v>0</v>
      </c>
      <c r="O4530" s="415">
        <v>0</v>
      </c>
      <c r="P4530" s="415">
        <v>0</v>
      </c>
      <c r="Q4530" s="481">
        <f t="shared" si="116"/>
        <v>0</v>
      </c>
    </row>
    <row r="4531" spans="1:17" x14ac:dyDescent="0.3">
      <c r="A4531" s="430" t="str">
        <f>IFERROR(VLOOKUP(RIGHT(E4531,3)+0,[1]SchLocTable!$A$2:$B$47,2,FALSE)," ")</f>
        <v>Claytor</v>
      </c>
      <c r="B4531" s="430" t="str">
        <f>VLOOKUP(VALUE(D4531),$D$3:F$106,3,FALSE)</f>
        <v>PT Custodians</v>
      </c>
      <c r="C4531" t="s">
        <v>314</v>
      </c>
      <c r="D4531">
        <v>888</v>
      </c>
      <c r="E4531" t="s">
        <v>1202</v>
      </c>
      <c r="F4531" t="s">
        <v>320</v>
      </c>
      <c r="G4531" t="s">
        <v>319</v>
      </c>
      <c r="H4531" s="502">
        <v>52360</v>
      </c>
      <c r="I4531" s="415">
        <v>0</v>
      </c>
      <c r="J4531" s="415">
        <v>0</v>
      </c>
      <c r="K4531" s="415">
        <v>0</v>
      </c>
      <c r="L4531" s="415">
        <v>97.16</v>
      </c>
      <c r="M4531" s="415">
        <v>126.15</v>
      </c>
      <c r="N4531" s="415">
        <v>0</v>
      </c>
      <c r="O4531" s="415">
        <v>0</v>
      </c>
      <c r="P4531" s="415">
        <v>0</v>
      </c>
      <c r="Q4531" s="481">
        <f t="shared" si="116"/>
        <v>0</v>
      </c>
    </row>
    <row r="4532" spans="1:17" x14ac:dyDescent="0.3">
      <c r="A4532" s="430" t="str">
        <f>IFERROR(VLOOKUP(RIGHT(E4532,3)+0,[1]SchLocTable!$A$2:$B$47,2,FALSE)," ")</f>
        <v>Claytor</v>
      </c>
      <c r="B4532" s="430" t="str">
        <f>VLOOKUP(VALUE(D4532),$D$3:F$106,3,FALSE)</f>
        <v>PT Custodians</v>
      </c>
      <c r="C4532" t="s">
        <v>314</v>
      </c>
      <c r="D4532">
        <v>888</v>
      </c>
      <c r="E4532" t="s">
        <v>1202</v>
      </c>
      <c r="F4532" t="s">
        <v>324</v>
      </c>
      <c r="G4532" t="s">
        <v>319</v>
      </c>
      <c r="H4532" s="502">
        <v>52385</v>
      </c>
      <c r="I4532" s="415">
        <v>0</v>
      </c>
      <c r="J4532" s="415">
        <v>0</v>
      </c>
      <c r="K4532" s="415">
        <v>0</v>
      </c>
      <c r="L4532" s="415">
        <v>415.4</v>
      </c>
      <c r="M4532" s="415">
        <v>539.4</v>
      </c>
      <c r="N4532" s="415">
        <v>0</v>
      </c>
      <c r="O4532" s="415">
        <v>0</v>
      </c>
      <c r="P4532" s="415">
        <v>0</v>
      </c>
      <c r="Q4532" s="481">
        <f t="shared" si="116"/>
        <v>0</v>
      </c>
    </row>
    <row r="4533" spans="1:17" x14ac:dyDescent="0.3">
      <c r="A4533" s="430" t="str">
        <f>IFERROR(VLOOKUP(RIGHT(E4533,3)+0,[1]SchLocTable!$A$2:$B$47,2,FALSE)," ")</f>
        <v>Bassick HS</v>
      </c>
      <c r="B4533" s="430" t="str">
        <f>VLOOKUP(VALUE(D4533),$D$3:F$106,3,FALSE)</f>
        <v>PT Custodians</v>
      </c>
      <c r="C4533" t="s">
        <v>314</v>
      </c>
      <c r="D4533">
        <v>888</v>
      </c>
      <c r="E4533" t="s">
        <v>1203</v>
      </c>
      <c r="F4533" t="s">
        <v>316</v>
      </c>
      <c r="G4533" t="s">
        <v>319</v>
      </c>
      <c r="H4533" s="502">
        <v>51000</v>
      </c>
      <c r="I4533" s="415">
        <v>0</v>
      </c>
      <c r="J4533" s="415">
        <v>0</v>
      </c>
      <c r="K4533" s="415">
        <v>0</v>
      </c>
      <c r="L4533" s="415">
        <v>0</v>
      </c>
      <c r="M4533" s="415">
        <v>6722.5</v>
      </c>
      <c r="N4533" s="415">
        <v>13165</v>
      </c>
      <c r="O4533" s="415">
        <v>0</v>
      </c>
      <c r="P4533" s="415">
        <v>0</v>
      </c>
      <c r="Q4533" s="481">
        <f t="shared" si="116"/>
        <v>0</v>
      </c>
    </row>
    <row r="4534" spans="1:17" x14ac:dyDescent="0.3">
      <c r="A4534" s="430" t="str">
        <f>IFERROR(VLOOKUP(RIGHT(E4534,3)+0,[1]SchLocTable!$A$2:$B$47,2,FALSE)," ")</f>
        <v>Bassick HS</v>
      </c>
      <c r="B4534" s="430" t="str">
        <f>VLOOKUP(VALUE(D4534),$D$3:F$106,3,FALSE)</f>
        <v>PT Custodians</v>
      </c>
      <c r="C4534" t="s">
        <v>314</v>
      </c>
      <c r="D4534">
        <v>888</v>
      </c>
      <c r="E4534" t="s">
        <v>1203</v>
      </c>
      <c r="F4534" t="s">
        <v>320</v>
      </c>
      <c r="G4534" t="s">
        <v>319</v>
      </c>
      <c r="H4534" s="502">
        <v>52360</v>
      </c>
      <c r="I4534" s="415">
        <v>0</v>
      </c>
      <c r="J4534" s="415">
        <v>0</v>
      </c>
      <c r="K4534" s="415">
        <v>0</v>
      </c>
      <c r="L4534" s="415">
        <v>0</v>
      </c>
      <c r="M4534" s="415">
        <v>97.47</v>
      </c>
      <c r="N4534" s="415">
        <v>191.26</v>
      </c>
      <c r="O4534" s="415">
        <v>0</v>
      </c>
      <c r="P4534" s="415">
        <v>0</v>
      </c>
      <c r="Q4534" s="481">
        <f t="shared" si="116"/>
        <v>0</v>
      </c>
    </row>
    <row r="4535" spans="1:17" x14ac:dyDescent="0.3">
      <c r="A4535" s="430" t="str">
        <f>IFERROR(VLOOKUP(RIGHT(E4535,3)+0,[1]SchLocTable!$A$2:$B$47,2,FALSE)," ")</f>
        <v xml:space="preserve"> </v>
      </c>
      <c r="B4535" s="430" t="str">
        <f>VLOOKUP(VALUE(D4535),$D$3:F$106,3,FALSE)</f>
        <v>Fringe Janitors &amp; Engineer Ret</v>
      </c>
      <c r="C4535" t="s">
        <v>314</v>
      </c>
      <c r="D4535">
        <v>889</v>
      </c>
      <c r="E4535" t="s">
        <v>1204</v>
      </c>
      <c r="F4535" t="s">
        <v>1205</v>
      </c>
      <c r="G4535" t="s">
        <v>319</v>
      </c>
      <c r="H4535" s="502">
        <v>52516</v>
      </c>
      <c r="I4535" s="415">
        <v>476489.02100000007</v>
      </c>
      <c r="J4535" s="415">
        <v>462610.7</v>
      </c>
      <c r="K4535" s="415">
        <v>345887.5</v>
      </c>
      <c r="L4535" s="415">
        <v>355170.25</v>
      </c>
      <c r="M4535" s="415">
        <v>396193.11</v>
      </c>
      <c r="N4535" s="415">
        <v>402726.13</v>
      </c>
      <c r="O4535" s="415">
        <v>412552.15</v>
      </c>
      <c r="P4535" s="415">
        <v>506115.01</v>
      </c>
      <c r="Q4535" s="481">
        <f t="shared" si="116"/>
        <v>-13878.321000000054</v>
      </c>
    </row>
    <row r="4536" spans="1:17" x14ac:dyDescent="0.3">
      <c r="A4536" s="430" t="str">
        <f>IFERROR(VLOOKUP(RIGHT(E4536,3)+0,[1]SchLocTable!$A$2:$B$47,2,FALSE)," ")</f>
        <v xml:space="preserve"> </v>
      </c>
      <c r="B4536" s="430" t="str">
        <f>VLOOKUP(VALUE(D4536),$D$3:F$106,3,FALSE)</f>
        <v>Custodial Services</v>
      </c>
      <c r="C4536" t="s">
        <v>314</v>
      </c>
      <c r="D4536">
        <v>890</v>
      </c>
      <c r="E4536" t="s">
        <v>1206</v>
      </c>
      <c r="F4536" t="s">
        <v>1209</v>
      </c>
      <c r="G4536" t="s">
        <v>319</v>
      </c>
      <c r="H4536" s="502">
        <v>55050</v>
      </c>
      <c r="I4536" s="415">
        <v>0</v>
      </c>
      <c r="J4536" s="415">
        <v>0</v>
      </c>
      <c r="K4536" s="415">
        <v>0</v>
      </c>
      <c r="L4536" s="415">
        <v>19528.28</v>
      </c>
      <c r="M4536" s="415">
        <v>0</v>
      </c>
      <c r="N4536" s="415">
        <v>0</v>
      </c>
      <c r="O4536" s="415">
        <v>0</v>
      </c>
      <c r="P4536" s="415">
        <v>0</v>
      </c>
      <c r="Q4536" s="481">
        <f t="shared" si="116"/>
        <v>0</v>
      </c>
    </row>
    <row r="4537" spans="1:17" x14ac:dyDescent="0.3">
      <c r="A4537" s="430" t="str">
        <f>IFERROR(VLOOKUP(RIGHT(E4537,3)+0,[1]SchLocTable!$A$2:$B$47,2,FALSE)," ")</f>
        <v xml:space="preserve"> </v>
      </c>
      <c r="B4537" s="430" t="str">
        <f>VLOOKUP(VALUE(D4537),$D$3:F$106,3,FALSE)</f>
        <v>Custodial Services</v>
      </c>
      <c r="C4537" t="s">
        <v>314</v>
      </c>
      <c r="D4537">
        <v>890</v>
      </c>
      <c r="E4537" t="s">
        <v>1206</v>
      </c>
      <c r="F4537" t="s">
        <v>1207</v>
      </c>
      <c r="G4537" t="s">
        <v>319</v>
      </c>
      <c r="H4537" s="502">
        <v>54545</v>
      </c>
      <c r="I4537" s="415">
        <v>154264.87160000001</v>
      </c>
      <c r="J4537" s="415">
        <v>149771.72</v>
      </c>
      <c r="K4537" s="415">
        <v>88750.1</v>
      </c>
      <c r="L4537" s="415">
        <v>0</v>
      </c>
      <c r="M4537" s="415">
        <v>9286</v>
      </c>
      <c r="N4537" s="415">
        <v>103383.01</v>
      </c>
      <c r="O4537" s="415">
        <v>260540.63</v>
      </c>
      <c r="P4537" s="415">
        <v>318529.52</v>
      </c>
      <c r="Q4537" s="481">
        <f t="shared" si="116"/>
        <v>-4493.151600000012</v>
      </c>
    </row>
    <row r="4538" spans="1:17" x14ac:dyDescent="0.3">
      <c r="A4538" s="430" t="str">
        <f>IFERROR(VLOOKUP(RIGHT(E4538,3)+0,[1]SchLocTable!$A$2:$B$47,2,FALSE)," ")</f>
        <v xml:space="preserve"> </v>
      </c>
      <c r="B4538" s="430" t="str">
        <f>VLOOKUP(VALUE(D4538),$D$3:F$106,3,FALSE)</f>
        <v>Custodial Services</v>
      </c>
      <c r="C4538" t="s">
        <v>314</v>
      </c>
      <c r="D4538">
        <v>890</v>
      </c>
      <c r="E4538" t="s">
        <v>1206</v>
      </c>
      <c r="F4538" t="s">
        <v>901</v>
      </c>
      <c r="G4538" t="s">
        <v>319</v>
      </c>
      <c r="H4538" s="502">
        <v>56170</v>
      </c>
      <c r="I4538" s="415">
        <v>31484.422000000002</v>
      </c>
      <c r="J4538" s="415">
        <v>30567.4</v>
      </c>
      <c r="K4538" s="415">
        <v>25845.84</v>
      </c>
      <c r="L4538" s="415">
        <v>1935.63</v>
      </c>
      <c r="M4538" s="415">
        <v>17072.16</v>
      </c>
      <c r="N4538" s="415">
        <v>24546.45</v>
      </c>
      <c r="O4538" s="415">
        <v>1067.4000000000001</v>
      </c>
      <c r="P4538" s="415">
        <v>27373.84</v>
      </c>
      <c r="Q4538" s="481">
        <f t="shared" si="116"/>
        <v>-917.02200000000084</v>
      </c>
    </row>
    <row r="4539" spans="1:17" x14ac:dyDescent="0.3">
      <c r="A4539" s="430" t="str">
        <f>IFERROR(VLOOKUP(RIGHT(E4539,3)+0,[1]SchLocTable!$A$2:$B$47,2,FALSE)," ")</f>
        <v xml:space="preserve"> </v>
      </c>
      <c r="B4539" s="430" t="str">
        <f>VLOOKUP(VALUE(D4539),$D$3:F$106,3,FALSE)</f>
        <v>Custodial Services</v>
      </c>
      <c r="C4539" t="s">
        <v>314</v>
      </c>
      <c r="D4539">
        <v>890</v>
      </c>
      <c r="E4539" t="s">
        <v>1206</v>
      </c>
      <c r="F4539" t="s">
        <v>1208</v>
      </c>
      <c r="G4539" t="s">
        <v>319</v>
      </c>
      <c r="H4539" s="502">
        <v>54720</v>
      </c>
      <c r="I4539" s="415">
        <v>173430.6275</v>
      </c>
      <c r="J4539" s="415">
        <v>168379.25</v>
      </c>
      <c r="K4539" s="415">
        <v>64116.35</v>
      </c>
      <c r="L4539" s="415">
        <v>274.39999999999998</v>
      </c>
      <c r="M4539" s="415">
        <v>956.2</v>
      </c>
      <c r="N4539" s="415">
        <v>101055.13</v>
      </c>
      <c r="O4539" s="415">
        <v>61715.37</v>
      </c>
      <c r="P4539" s="415">
        <v>135866.46</v>
      </c>
      <c r="Q4539" s="481">
        <f t="shared" si="116"/>
        <v>-5051.3775000000023</v>
      </c>
    </row>
    <row r="4540" spans="1:17" x14ac:dyDescent="0.3">
      <c r="A4540" s="430" t="str">
        <f>IFERROR(VLOOKUP(RIGHT(E4540,3)+0,[1]SchLocTable!$A$2:$B$47,2,FALSE)," ")</f>
        <v xml:space="preserve"> </v>
      </c>
      <c r="B4540" s="430" t="str">
        <f>VLOOKUP(VALUE(D4540),$D$3:F$106,3,FALSE)</f>
        <v>Custodial Services</v>
      </c>
      <c r="C4540" t="s">
        <v>314</v>
      </c>
      <c r="D4540">
        <v>890</v>
      </c>
      <c r="E4540" t="s">
        <v>1206</v>
      </c>
      <c r="F4540" t="s">
        <v>1210</v>
      </c>
      <c r="G4540" t="s">
        <v>319</v>
      </c>
      <c r="H4540" s="502">
        <v>55165</v>
      </c>
      <c r="I4540" s="415">
        <v>2491.5803000000001</v>
      </c>
      <c r="J4540" s="415">
        <v>2419.0100000000002</v>
      </c>
      <c r="K4540" s="415">
        <v>0</v>
      </c>
      <c r="L4540" s="415">
        <v>13559.43</v>
      </c>
      <c r="M4540" s="415">
        <v>11183.35</v>
      </c>
      <c r="N4540" s="415">
        <v>3302.02</v>
      </c>
      <c r="O4540" s="415">
        <v>18387.62</v>
      </c>
      <c r="P4540" s="415">
        <v>6746.13</v>
      </c>
      <c r="Q4540" s="481">
        <f t="shared" si="116"/>
        <v>-72.570299999999861</v>
      </c>
    </row>
    <row r="4541" spans="1:17" x14ac:dyDescent="0.3">
      <c r="A4541" s="430" t="str">
        <f>IFERROR(VLOOKUP(RIGHT(E4541,3)+0,[1]SchLocTable!$A$2:$B$47,2,FALSE)," ")</f>
        <v xml:space="preserve"> </v>
      </c>
      <c r="B4541" s="430" t="str">
        <f>VLOOKUP(VALUE(D4541),$D$3:F$106,3,FALSE)</f>
        <v>Custodial Services</v>
      </c>
      <c r="C4541" t="s">
        <v>314</v>
      </c>
      <c r="D4541">
        <v>890</v>
      </c>
      <c r="E4541" t="s">
        <v>1206</v>
      </c>
      <c r="F4541" t="s">
        <v>912</v>
      </c>
      <c r="G4541" t="s">
        <v>319</v>
      </c>
      <c r="H4541" s="502">
        <v>54745</v>
      </c>
      <c r="I4541" s="415">
        <v>50573</v>
      </c>
      <c r="J4541" s="415">
        <v>49100</v>
      </c>
      <c r="K4541" s="415">
        <v>45487.839999999997</v>
      </c>
      <c r="L4541" s="415">
        <v>43775.98</v>
      </c>
      <c r="M4541" s="415">
        <v>52615.5</v>
      </c>
      <c r="N4541" s="415">
        <v>47813.5</v>
      </c>
      <c r="O4541" s="415">
        <v>15732.89</v>
      </c>
      <c r="P4541" s="415">
        <v>7197.5</v>
      </c>
      <c r="Q4541" s="481">
        <f t="shared" si="116"/>
        <v>-1473</v>
      </c>
    </row>
    <row r="4542" spans="1:17" x14ac:dyDescent="0.3">
      <c r="A4542" s="430" t="str">
        <f>IFERROR(VLOOKUP(RIGHT(E4542,3)+0,[1]SchLocTable!$A$2:$B$47,2,FALSE)," ")</f>
        <v xml:space="preserve"> </v>
      </c>
      <c r="B4542" s="430" t="str">
        <f>VLOOKUP(VALUE(D4542),$D$3:F$106,3,FALSE)</f>
        <v>Utilities</v>
      </c>
      <c r="C4542" t="s">
        <v>314</v>
      </c>
      <c r="D4542">
        <v>891</v>
      </c>
      <c r="E4542" t="s">
        <v>1211</v>
      </c>
      <c r="F4542" t="s">
        <v>918</v>
      </c>
      <c r="G4542" t="s">
        <v>319</v>
      </c>
      <c r="H4542" s="502">
        <v>53130</v>
      </c>
      <c r="I4542" s="415">
        <v>7461515.5779999997</v>
      </c>
      <c r="J4542" s="415">
        <v>6005492.4400000004</v>
      </c>
      <c r="K4542" s="415">
        <v>6667962.6200000001</v>
      </c>
      <c r="L4542" s="415">
        <v>3379552.45</v>
      </c>
      <c r="M4542" s="415">
        <v>1580657.69</v>
      </c>
      <c r="N4542" s="415">
        <v>3123839.89</v>
      </c>
      <c r="O4542" s="415">
        <v>2261485.06</v>
      </c>
      <c r="P4542" s="415">
        <v>3122856.41</v>
      </c>
      <c r="Q4542" s="481">
        <f t="shared" si="116"/>
        <v>-1456023.1379999993</v>
      </c>
    </row>
    <row r="4543" spans="1:17" x14ac:dyDescent="0.3">
      <c r="A4543" s="430" t="str">
        <f>IFERROR(VLOOKUP(RIGHT(E4543,3)+0,[1]SchLocTable!$A$2:$B$47,2,FALSE)," ")</f>
        <v xml:space="preserve"> </v>
      </c>
      <c r="B4543" s="430" t="str">
        <f>VLOOKUP(VALUE(D4543),$D$3:F$106,3,FALSE)</f>
        <v>Utilities</v>
      </c>
      <c r="C4543" t="s">
        <v>314</v>
      </c>
      <c r="D4543">
        <v>891</v>
      </c>
      <c r="E4543" t="s">
        <v>1211</v>
      </c>
      <c r="F4543" t="s">
        <v>919</v>
      </c>
      <c r="G4543" t="s">
        <v>319</v>
      </c>
      <c r="H4543" s="502">
        <v>53140</v>
      </c>
      <c r="I4543" s="415">
        <v>1433172.4816050001</v>
      </c>
      <c r="J4543" s="415">
        <v>1414651.37</v>
      </c>
      <c r="K4543" s="415">
        <v>1360241.7</v>
      </c>
      <c r="L4543" s="415">
        <v>215465.43</v>
      </c>
      <c r="M4543" s="415">
        <v>1499616.22</v>
      </c>
      <c r="N4543" s="415">
        <v>886436.26</v>
      </c>
      <c r="O4543" s="415">
        <v>1022387.72</v>
      </c>
      <c r="P4543" s="415">
        <v>484961.67</v>
      </c>
      <c r="Q4543" s="481">
        <f t="shared" ref="Q4543:Q4606" si="117">J4543-I4543</f>
        <v>-18521.111604999984</v>
      </c>
    </row>
    <row r="4544" spans="1:17" x14ac:dyDescent="0.3">
      <c r="A4544" s="430" t="str">
        <f>IFERROR(VLOOKUP(RIGHT(E4544,3)+0,[1]SchLocTable!$A$2:$B$47,2,FALSE)," ")</f>
        <v xml:space="preserve"> </v>
      </c>
      <c r="B4544" s="430" t="str">
        <f>VLOOKUP(VALUE(D4544),$D$3:F$106,3,FALSE)</f>
        <v>Utilities</v>
      </c>
      <c r="C4544" t="s">
        <v>314</v>
      </c>
      <c r="D4544">
        <v>891</v>
      </c>
      <c r="E4544" t="s">
        <v>1211</v>
      </c>
      <c r="F4544" t="s">
        <v>1212</v>
      </c>
      <c r="G4544" t="s">
        <v>319</v>
      </c>
      <c r="H4544" s="502">
        <v>54620</v>
      </c>
      <c r="I4544" s="415">
        <v>16827.518394999999</v>
      </c>
      <c r="J4544" s="415">
        <v>8500</v>
      </c>
      <c r="K4544" s="415">
        <v>15861.55</v>
      </c>
      <c r="L4544" s="415">
        <v>5758.95</v>
      </c>
      <c r="M4544" s="415">
        <v>6431.94</v>
      </c>
      <c r="N4544" s="415">
        <v>0</v>
      </c>
      <c r="O4544" s="415">
        <v>0</v>
      </c>
      <c r="P4544" s="415">
        <v>5035.93</v>
      </c>
      <c r="Q4544" s="481">
        <f t="shared" si="117"/>
        <v>-8327.5183949999991</v>
      </c>
    </row>
    <row r="4545" spans="1:17" x14ac:dyDescent="0.3">
      <c r="A4545" s="430" t="str">
        <f>IFERROR(VLOOKUP(RIGHT(E4545,3)+0,[1]SchLocTable!$A$2:$B$47,2,FALSE)," ")</f>
        <v xml:space="preserve"> </v>
      </c>
      <c r="B4545" s="430" t="str">
        <f>VLOOKUP(VALUE(D4545),$D$3:F$106,3,FALSE)</f>
        <v>Utilities</v>
      </c>
      <c r="C4545" t="s">
        <v>314</v>
      </c>
      <c r="D4545">
        <v>891</v>
      </c>
      <c r="E4545" t="s">
        <v>1211</v>
      </c>
      <c r="F4545" t="s">
        <v>917</v>
      </c>
      <c r="G4545" t="s">
        <v>319</v>
      </c>
      <c r="H4545" s="502">
        <v>53120</v>
      </c>
      <c r="I4545" s="415">
        <v>38484.421999999991</v>
      </c>
      <c r="J4545" s="415">
        <v>232249.45</v>
      </c>
      <c r="K4545" s="415">
        <v>280712.21999999997</v>
      </c>
      <c r="L4545" s="415">
        <v>49892.08</v>
      </c>
      <c r="M4545" s="415">
        <v>264125.92</v>
      </c>
      <c r="N4545" s="415">
        <v>168010.59</v>
      </c>
      <c r="O4545" s="415">
        <v>102469.02</v>
      </c>
      <c r="P4545" s="415">
        <v>97507.38</v>
      </c>
      <c r="Q4545" s="481">
        <f t="shared" si="117"/>
        <v>193765.02800000002</v>
      </c>
    </row>
    <row r="4546" spans="1:17" x14ac:dyDescent="0.3">
      <c r="A4546" s="430" t="str">
        <f>IFERROR(VLOOKUP(RIGHT(E4546,3)+0,[1]SchLocTable!$A$2:$B$47,2,FALSE)," ")</f>
        <v xml:space="preserve"> </v>
      </c>
      <c r="B4546" s="430" t="str">
        <f>VLOOKUP(VALUE(D4546),$D$3:F$106,3,FALSE)</f>
        <v>Utilities</v>
      </c>
      <c r="C4546" t="s">
        <v>314</v>
      </c>
      <c r="D4546">
        <v>891</v>
      </c>
      <c r="E4546" t="s">
        <v>1211</v>
      </c>
      <c r="F4546" t="s">
        <v>916</v>
      </c>
      <c r="G4546" t="s">
        <v>319</v>
      </c>
      <c r="H4546" s="502">
        <v>53110</v>
      </c>
      <c r="I4546" s="415">
        <v>241515.57800000001</v>
      </c>
      <c r="J4546" s="415">
        <v>289244.49</v>
      </c>
      <c r="K4546" s="415">
        <v>259348.08</v>
      </c>
      <c r="L4546" s="415">
        <v>42282.44</v>
      </c>
      <c r="M4546" s="415">
        <v>307877.96999999997</v>
      </c>
      <c r="N4546" s="415">
        <v>195995.78</v>
      </c>
      <c r="O4546" s="415">
        <v>114502.98</v>
      </c>
      <c r="P4546" s="415">
        <v>139859.20000000001</v>
      </c>
      <c r="Q4546" s="481">
        <f t="shared" si="117"/>
        <v>47728.911999999982</v>
      </c>
    </row>
    <row r="4547" spans="1:17" x14ac:dyDescent="0.3">
      <c r="A4547" s="430" t="str">
        <f>IFERROR(VLOOKUP(RIGHT(E4547,3)+0,[1]SchLocTable!$A$2:$B$47,2,FALSE)," ")</f>
        <v xml:space="preserve"> </v>
      </c>
      <c r="B4547" s="430" t="str">
        <f>VLOOKUP(VALUE(D4547),$D$3:F$106,3,FALSE)</f>
        <v>Refuse and Cycling</v>
      </c>
      <c r="C4547" t="s">
        <v>314</v>
      </c>
      <c r="D4547">
        <v>892</v>
      </c>
      <c r="E4547" t="s">
        <v>1213</v>
      </c>
      <c r="F4547" t="s">
        <v>930</v>
      </c>
      <c r="G4547" t="s">
        <v>319</v>
      </c>
      <c r="H4547" s="502">
        <v>56215</v>
      </c>
      <c r="I4547" s="415">
        <v>419587.39200000005</v>
      </c>
      <c r="J4547" s="415">
        <v>407366.40000000002</v>
      </c>
      <c r="K4547" s="415">
        <v>400352.54</v>
      </c>
      <c r="L4547" s="415">
        <v>395216.22</v>
      </c>
      <c r="M4547" s="415">
        <v>407853.65</v>
      </c>
      <c r="N4547" s="415">
        <v>357270.8</v>
      </c>
      <c r="O4547" s="415">
        <v>290983.71000000002</v>
      </c>
      <c r="P4547" s="415">
        <v>310440.78999999998</v>
      </c>
      <c r="Q4547" s="481">
        <f t="shared" si="117"/>
        <v>-12220.992000000027</v>
      </c>
    </row>
    <row r="4548" spans="1:17" x14ac:dyDescent="0.3">
      <c r="A4548" s="430" t="str">
        <f>IFERROR(VLOOKUP(RIGHT(E4548,3)+0,[1]SchLocTable!$A$2:$B$47,2,FALSE)," ")</f>
        <v xml:space="preserve"> </v>
      </c>
      <c r="B4548" s="430" t="str">
        <f>VLOOKUP(VALUE(D4548),$D$3:F$106,3,FALSE)</f>
        <v>Operating Building Services</v>
      </c>
      <c r="C4548" t="s">
        <v>314</v>
      </c>
      <c r="D4548">
        <v>893</v>
      </c>
      <c r="E4548" t="s">
        <v>1214</v>
      </c>
      <c r="F4548" t="s">
        <v>1216</v>
      </c>
      <c r="G4548" t="s">
        <v>319</v>
      </c>
      <c r="H4548" s="502">
        <v>56055</v>
      </c>
      <c r="I4548" s="415">
        <v>55916.743000000002</v>
      </c>
      <c r="J4548" s="415">
        <v>54288.1</v>
      </c>
      <c r="K4548" s="415">
        <v>51544.15</v>
      </c>
      <c r="L4548" s="415">
        <v>50473.1</v>
      </c>
      <c r="M4548" s="415">
        <v>75794.7</v>
      </c>
      <c r="N4548" s="415">
        <v>39797.33</v>
      </c>
      <c r="O4548" s="415">
        <v>38176.17</v>
      </c>
      <c r="P4548" s="415">
        <v>33317.480000000003</v>
      </c>
      <c r="Q4548" s="481">
        <f t="shared" si="117"/>
        <v>-1628.6430000000037</v>
      </c>
    </row>
    <row r="4549" spans="1:17" x14ac:dyDescent="0.3">
      <c r="A4549" s="430" t="str">
        <f>IFERROR(VLOOKUP(RIGHT(E4549,3)+0,[1]SchLocTable!$A$2:$B$47,2,FALSE)," ")</f>
        <v xml:space="preserve"> </v>
      </c>
      <c r="B4549" s="430" t="str">
        <f>VLOOKUP(VALUE(D4549),$D$3:F$106,3,FALSE)</f>
        <v>Operating Building Services</v>
      </c>
      <c r="C4549" t="s">
        <v>314</v>
      </c>
      <c r="D4549">
        <v>893</v>
      </c>
      <c r="E4549" t="s">
        <v>1214</v>
      </c>
      <c r="F4549" t="s">
        <v>473</v>
      </c>
      <c r="G4549" t="s">
        <v>319</v>
      </c>
      <c r="H4549" s="502">
        <v>53605</v>
      </c>
      <c r="I4549" s="415">
        <v>618</v>
      </c>
      <c r="J4549" s="415">
        <v>600</v>
      </c>
      <c r="K4549" s="415">
        <v>600</v>
      </c>
      <c r="L4549" s="415">
        <v>600</v>
      </c>
      <c r="M4549" s="415">
        <v>600</v>
      </c>
      <c r="N4549" s="415">
        <v>300</v>
      </c>
      <c r="O4549" s="415">
        <v>600</v>
      </c>
      <c r="P4549" s="415">
        <v>300</v>
      </c>
      <c r="Q4549" s="481">
        <f t="shared" si="117"/>
        <v>-18</v>
      </c>
    </row>
    <row r="4550" spans="1:17" x14ac:dyDescent="0.3">
      <c r="A4550" s="430" t="str">
        <f>IFERROR(VLOOKUP(RIGHT(E4550,3)+0,[1]SchLocTable!$A$2:$B$47,2,FALSE)," ")</f>
        <v xml:space="preserve"> </v>
      </c>
      <c r="B4550" s="430" t="str">
        <f>VLOOKUP(VALUE(D4550),$D$3:F$106,3,FALSE)</f>
        <v>Operating Building Services</v>
      </c>
      <c r="C4550" t="s">
        <v>314</v>
      </c>
      <c r="D4550">
        <v>893</v>
      </c>
      <c r="E4550" t="s">
        <v>1214</v>
      </c>
      <c r="F4550" t="s">
        <v>1215</v>
      </c>
      <c r="G4550" t="s">
        <v>319</v>
      </c>
      <c r="H4550" s="502">
        <v>55530</v>
      </c>
      <c r="I4550" s="415">
        <v>17407</v>
      </c>
      <c r="J4550" s="415">
        <v>16900</v>
      </c>
      <c r="K4550" s="415">
        <v>0</v>
      </c>
      <c r="L4550" s="415">
        <v>0</v>
      </c>
      <c r="M4550" s="415">
        <v>0</v>
      </c>
      <c r="N4550" s="415">
        <v>0</v>
      </c>
      <c r="O4550" s="415">
        <v>0</v>
      </c>
      <c r="P4550" s="415">
        <v>0</v>
      </c>
      <c r="Q4550" s="481">
        <f t="shared" si="117"/>
        <v>-507</v>
      </c>
    </row>
    <row r="4551" spans="1:17" x14ac:dyDescent="0.3">
      <c r="A4551" s="430" t="str">
        <f>IFERROR(VLOOKUP(RIGHT(E4551,3)+0,[1]SchLocTable!$A$2:$B$47,2,FALSE)," ")</f>
        <v xml:space="preserve"> </v>
      </c>
      <c r="B4551" s="430" t="str">
        <f>VLOOKUP(VALUE(D4551),$D$3:F$106,3,FALSE)</f>
        <v>Operating Building Services</v>
      </c>
      <c r="C4551" t="s">
        <v>314</v>
      </c>
      <c r="D4551">
        <v>893</v>
      </c>
      <c r="E4551" t="s">
        <v>1214</v>
      </c>
      <c r="F4551" t="s">
        <v>458</v>
      </c>
      <c r="G4551" t="s">
        <v>319</v>
      </c>
      <c r="H4551" s="502">
        <v>54675</v>
      </c>
      <c r="I4551" s="415">
        <v>834.30000000000007</v>
      </c>
      <c r="J4551" s="415">
        <v>810</v>
      </c>
      <c r="K4551" s="415">
        <v>548.95000000000005</v>
      </c>
      <c r="L4551" s="415">
        <v>1417.91</v>
      </c>
      <c r="M4551" s="415">
        <v>1235.1199999999999</v>
      </c>
      <c r="N4551" s="415">
        <v>2416.21</v>
      </c>
      <c r="O4551" s="415">
        <v>3753.01</v>
      </c>
      <c r="P4551" s="415">
        <v>1741.25</v>
      </c>
      <c r="Q4551" s="481">
        <f t="shared" si="117"/>
        <v>-24.300000000000068</v>
      </c>
    </row>
    <row r="4552" spans="1:17" x14ac:dyDescent="0.3">
      <c r="A4552" s="430" t="str">
        <f>IFERROR(VLOOKUP(RIGHT(E4552,3)+0,[1]SchLocTable!$A$2:$B$47,2,FALSE)," ")</f>
        <v xml:space="preserve"> </v>
      </c>
      <c r="B4552" s="430" t="str">
        <f>VLOOKUP(VALUE(D4552),$D$3:F$106,3,FALSE)</f>
        <v>Operating Building Services</v>
      </c>
      <c r="C4552" t="s">
        <v>314</v>
      </c>
      <c r="D4552">
        <v>893</v>
      </c>
      <c r="E4552" t="s">
        <v>1214</v>
      </c>
      <c r="F4552" t="s">
        <v>461</v>
      </c>
      <c r="G4552" t="s">
        <v>319</v>
      </c>
      <c r="H4552" s="502">
        <v>53050</v>
      </c>
      <c r="I4552" s="415">
        <v>0</v>
      </c>
      <c r="J4552" s="415">
        <v>342318</v>
      </c>
      <c r="K4552" s="415">
        <v>334517.96999999997</v>
      </c>
      <c r="L4552" s="415">
        <v>314481.96000000002</v>
      </c>
      <c r="M4552" s="415">
        <v>293847.96000000002</v>
      </c>
      <c r="N4552" s="415">
        <v>285447.96000000002</v>
      </c>
      <c r="O4552" s="415">
        <v>277293.96000000002</v>
      </c>
      <c r="P4552" s="415">
        <v>269379.96000000002</v>
      </c>
      <c r="Q4552" s="481">
        <f t="shared" si="117"/>
        <v>342318</v>
      </c>
    </row>
    <row r="4553" spans="1:17" x14ac:dyDescent="0.3">
      <c r="A4553" s="430" t="str">
        <f>IFERROR(VLOOKUP(RIGHT(E4553,3)+0,[1]SchLocTable!$A$2:$B$47,2,FALSE)," ")</f>
        <v>Classical Studies Academy</v>
      </c>
      <c r="B4553" s="430" t="str">
        <f>VLOOKUP(VALUE(D4553),$D$3:F$106,3,FALSE)</f>
        <v>Operating Building Services</v>
      </c>
      <c r="C4553" t="s">
        <v>314</v>
      </c>
      <c r="D4553">
        <v>893</v>
      </c>
      <c r="E4553" t="s">
        <v>1318</v>
      </c>
      <c r="F4553" t="s">
        <v>461</v>
      </c>
      <c r="G4553" t="s">
        <v>319</v>
      </c>
      <c r="H4553" s="502">
        <v>53050</v>
      </c>
      <c r="I4553" s="415">
        <v>0</v>
      </c>
      <c r="J4553" s="415">
        <v>77250</v>
      </c>
      <c r="K4553" s="415">
        <v>0</v>
      </c>
      <c r="L4553" s="415">
        <v>0</v>
      </c>
      <c r="M4553" s="415">
        <v>0</v>
      </c>
      <c r="N4553" s="415">
        <v>0</v>
      </c>
      <c r="O4553" s="415">
        <v>0</v>
      </c>
      <c r="P4553" s="415">
        <v>0</v>
      </c>
      <c r="Q4553" s="481">
        <f t="shared" si="117"/>
        <v>77250</v>
      </c>
    </row>
    <row r="4554" spans="1:17" x14ac:dyDescent="0.3">
      <c r="A4554" s="430" t="str">
        <f>IFERROR(VLOOKUP(RIGHT(E4554,3)+0,[1]SchLocTable!$A$2:$B$47,2,FALSE)," ")</f>
        <v xml:space="preserve"> </v>
      </c>
      <c r="B4554" s="430" t="str">
        <f>VLOOKUP(VALUE(D4554),$D$3:F$106,3,FALSE)</f>
        <v>Vehicle Maintenance (Facilities)</v>
      </c>
      <c r="C4554" t="s">
        <v>314</v>
      </c>
      <c r="D4554">
        <v>895</v>
      </c>
      <c r="E4554" t="s">
        <v>1221</v>
      </c>
      <c r="F4554" t="s">
        <v>1222</v>
      </c>
      <c r="G4554" t="s">
        <v>319</v>
      </c>
      <c r="H4554" s="502">
        <v>54010</v>
      </c>
      <c r="I4554" s="415">
        <v>10603.118699999999</v>
      </c>
      <c r="J4554" s="415">
        <v>10294.290000000001</v>
      </c>
      <c r="K4554" s="415">
        <v>17543.060000000001</v>
      </c>
      <c r="L4554" s="415">
        <v>16186.8</v>
      </c>
      <c r="M4554" s="415">
        <v>31190.12</v>
      </c>
      <c r="N4554" s="415">
        <v>31748.639999999999</v>
      </c>
      <c r="O4554" s="415">
        <v>14261.47</v>
      </c>
      <c r="P4554" s="415">
        <v>4094.52</v>
      </c>
      <c r="Q4554" s="481">
        <f t="shared" si="117"/>
        <v>-308.82869999999821</v>
      </c>
    </row>
    <row r="4555" spans="1:17" x14ac:dyDescent="0.3">
      <c r="A4555" s="430" t="str">
        <f>IFERROR(VLOOKUP(RIGHT(E4555,3)+0,[1]SchLocTable!$A$2:$B$47,2,FALSE)," ")</f>
        <v xml:space="preserve"> </v>
      </c>
      <c r="B4555" s="430" t="str">
        <f>VLOOKUP(VALUE(D4555),$D$3:F$106,3,FALSE)</f>
        <v>Vehicle Maintenance (Facilities)</v>
      </c>
      <c r="C4555" t="s">
        <v>314</v>
      </c>
      <c r="D4555">
        <v>895</v>
      </c>
      <c r="E4555" t="s">
        <v>1221</v>
      </c>
      <c r="F4555" t="s">
        <v>895</v>
      </c>
      <c r="G4555" t="s">
        <v>319</v>
      </c>
      <c r="H4555" s="502">
        <v>54615</v>
      </c>
      <c r="I4555" s="415">
        <v>44290</v>
      </c>
      <c r="J4555" s="415">
        <v>43000</v>
      </c>
      <c r="K4555" s="415">
        <v>51986.01</v>
      </c>
      <c r="L4555" s="415">
        <v>52602.97</v>
      </c>
      <c r="M4555" s="415">
        <v>55313.61</v>
      </c>
      <c r="N4555" s="415">
        <v>59888.69</v>
      </c>
      <c r="O4555" s="415">
        <v>37302.65</v>
      </c>
      <c r="P4555" s="415">
        <v>36625.08</v>
      </c>
      <c r="Q4555" s="481">
        <f t="shared" si="117"/>
        <v>-1290</v>
      </c>
    </row>
    <row r="4556" spans="1:17" x14ac:dyDescent="0.3">
      <c r="A4556" s="430" t="str">
        <f>IFERROR(VLOOKUP(RIGHT(E4556,3)+0,[1]SchLocTable!$A$2:$B$47,2,FALSE)," ")</f>
        <v xml:space="preserve"> </v>
      </c>
      <c r="B4556" s="430" t="str">
        <f>VLOOKUP(VALUE(D4556),$D$3:F$106,3,FALSE)</f>
        <v>Vehicle Maintenance (Facilities)</v>
      </c>
      <c r="C4556" t="s">
        <v>314</v>
      </c>
      <c r="D4556">
        <v>895</v>
      </c>
      <c r="E4556" t="s">
        <v>1221</v>
      </c>
      <c r="F4556" t="s">
        <v>1225</v>
      </c>
      <c r="G4556" t="s">
        <v>319</v>
      </c>
      <c r="H4556" s="502">
        <v>55120</v>
      </c>
      <c r="I4556" s="415">
        <v>2179.0886</v>
      </c>
      <c r="J4556" s="415">
        <v>2115.62</v>
      </c>
      <c r="K4556" s="415">
        <v>2735.89</v>
      </c>
      <c r="L4556" s="415">
        <v>1263.28</v>
      </c>
      <c r="M4556" s="415">
        <v>5760.83</v>
      </c>
      <c r="N4556" s="415">
        <v>540.02</v>
      </c>
      <c r="O4556" s="415">
        <v>1667.66</v>
      </c>
      <c r="P4556" s="415">
        <v>6478</v>
      </c>
      <c r="Q4556" s="481">
        <f t="shared" si="117"/>
        <v>-63.468600000000151</v>
      </c>
    </row>
    <row r="4557" spans="1:17" x14ac:dyDescent="0.3">
      <c r="A4557" s="430" t="str">
        <f>IFERROR(VLOOKUP(RIGHT(E4557,3)+0,[1]SchLocTable!$A$2:$B$47,2,FALSE)," ")</f>
        <v xml:space="preserve"> </v>
      </c>
      <c r="B4557" s="430" t="str">
        <f>VLOOKUP(VALUE(D4557),$D$3:F$106,3,FALSE)</f>
        <v>Vehicle Maintenance (Facilities)</v>
      </c>
      <c r="C4557" t="s">
        <v>314</v>
      </c>
      <c r="D4557">
        <v>895</v>
      </c>
      <c r="E4557" t="s">
        <v>1221</v>
      </c>
      <c r="F4557" t="s">
        <v>1226</v>
      </c>
      <c r="G4557" t="s">
        <v>319</v>
      </c>
      <c r="H4557" s="502">
        <v>55190</v>
      </c>
      <c r="I4557" s="415">
        <v>2142.4</v>
      </c>
      <c r="J4557" s="415">
        <v>2080</v>
      </c>
      <c r="K4557" s="415">
        <v>9419.39</v>
      </c>
      <c r="L4557" s="415">
        <v>528</v>
      </c>
      <c r="M4557" s="415">
        <v>6810.91</v>
      </c>
      <c r="N4557" s="415">
        <v>7595.25</v>
      </c>
      <c r="O4557" s="415">
        <v>4500</v>
      </c>
      <c r="P4557" s="415">
        <v>2679.48</v>
      </c>
      <c r="Q4557" s="481">
        <f t="shared" si="117"/>
        <v>-62.400000000000091</v>
      </c>
    </row>
    <row r="4558" spans="1:17" x14ac:dyDescent="0.3">
      <c r="A4558" s="430" t="str">
        <f>IFERROR(VLOOKUP(RIGHT(E4558,3)+0,[1]SchLocTable!$A$2:$B$47,2,FALSE)," ")</f>
        <v xml:space="preserve"> </v>
      </c>
      <c r="B4558" s="430" t="str">
        <f>VLOOKUP(VALUE(D4558),$D$3:F$106,3,FALSE)</f>
        <v>Vehicle Maintenance (Facilities)</v>
      </c>
      <c r="C4558" t="s">
        <v>314</v>
      </c>
      <c r="D4558">
        <v>895</v>
      </c>
      <c r="E4558" t="s">
        <v>1221</v>
      </c>
      <c r="F4558" t="s">
        <v>1223</v>
      </c>
      <c r="G4558" t="s">
        <v>319</v>
      </c>
      <c r="H4558" s="502">
        <v>54535</v>
      </c>
      <c r="I4558" s="415">
        <v>3634.87</v>
      </c>
      <c r="J4558" s="415">
        <v>3529</v>
      </c>
      <c r="K4558" s="415">
        <v>2611.46</v>
      </c>
      <c r="L4558" s="415">
        <v>10091.379999999999</v>
      </c>
      <c r="M4558" s="415">
        <v>2952.72</v>
      </c>
      <c r="N4558" s="415">
        <v>2737.84</v>
      </c>
      <c r="O4558" s="415">
        <v>7768.7</v>
      </c>
      <c r="P4558" s="415">
        <v>13578.29</v>
      </c>
      <c r="Q4558" s="481">
        <f t="shared" si="117"/>
        <v>-105.86999999999989</v>
      </c>
    </row>
    <row r="4559" spans="1:17" x14ac:dyDescent="0.3">
      <c r="A4559" s="430" t="str">
        <f>IFERROR(VLOOKUP(RIGHT(E4559,3)+0,[1]SchLocTable!$A$2:$B$47,2,FALSE)," ")</f>
        <v xml:space="preserve"> </v>
      </c>
      <c r="B4559" s="430" t="str">
        <f>VLOOKUP(VALUE(D4559),$D$3:F$106,3,FALSE)</f>
        <v>Vehicle Maintenance (Facilities)</v>
      </c>
      <c r="C4559" t="s">
        <v>314</v>
      </c>
      <c r="D4559">
        <v>895</v>
      </c>
      <c r="E4559" t="s">
        <v>1221</v>
      </c>
      <c r="F4559" t="s">
        <v>1095</v>
      </c>
      <c r="G4559" t="s">
        <v>319</v>
      </c>
      <c r="H4559" s="502">
        <v>59005</v>
      </c>
      <c r="I4559" s="415">
        <v>8406.86</v>
      </c>
      <c r="J4559" s="415">
        <v>8162</v>
      </c>
      <c r="K4559" s="415">
        <v>8201.3799999999992</v>
      </c>
      <c r="L4559" s="415">
        <v>18910.28</v>
      </c>
      <c r="M4559" s="415">
        <v>14085.06</v>
      </c>
      <c r="N4559" s="415">
        <v>71000.179999999993</v>
      </c>
      <c r="O4559" s="415">
        <v>109148.36</v>
      </c>
      <c r="P4559" s="415">
        <v>52348.92</v>
      </c>
      <c r="Q4559" s="481">
        <f t="shared" si="117"/>
        <v>-244.86000000000058</v>
      </c>
    </row>
    <row r="4560" spans="1:17" x14ac:dyDescent="0.3">
      <c r="A4560" s="430" t="str">
        <f>IFERROR(VLOOKUP(RIGHT(E4560,3)+0,[1]SchLocTable!$A$2:$B$47,2,FALSE)," ")</f>
        <v xml:space="preserve"> </v>
      </c>
      <c r="B4560" s="430" t="str">
        <f>VLOOKUP(VALUE(D4560),$D$3:F$106,3,FALSE)</f>
        <v>Vehicle Maintenance (Facilities)</v>
      </c>
      <c r="C4560" t="s">
        <v>314</v>
      </c>
      <c r="D4560">
        <v>895</v>
      </c>
      <c r="E4560" t="s">
        <v>1221</v>
      </c>
      <c r="F4560" t="s">
        <v>1224</v>
      </c>
      <c r="G4560" t="s">
        <v>319</v>
      </c>
      <c r="H4560" s="502">
        <v>55045</v>
      </c>
      <c r="I4560" s="415">
        <v>0</v>
      </c>
      <c r="J4560" s="415">
        <v>0</v>
      </c>
      <c r="K4560" s="415">
        <v>0</v>
      </c>
      <c r="L4560" s="415">
        <v>52488</v>
      </c>
      <c r="M4560" s="415">
        <v>141309.9</v>
      </c>
      <c r="N4560" s="415">
        <v>0</v>
      </c>
      <c r="O4560" s="415">
        <v>0</v>
      </c>
      <c r="P4560" s="415">
        <v>0</v>
      </c>
      <c r="Q4560" s="481">
        <f t="shared" si="117"/>
        <v>0</v>
      </c>
    </row>
    <row r="4561" spans="1:17" x14ac:dyDescent="0.3">
      <c r="A4561" s="430" t="str">
        <f>IFERROR(VLOOKUP(RIGHT(E4561,3)+0,[1]SchLocTable!$A$2:$B$47,2,FALSE)," ")</f>
        <v xml:space="preserve"> </v>
      </c>
      <c r="B4561" s="430" t="str">
        <f>VLOOKUP(VALUE(D4561),$D$3:F$106,3,FALSE)</f>
        <v>Facilities Maintenance &amp; Repair</v>
      </c>
      <c r="C4561" t="s">
        <v>314</v>
      </c>
      <c r="D4561">
        <v>896</v>
      </c>
      <c r="E4561" t="s">
        <v>1227</v>
      </c>
      <c r="F4561" t="s">
        <v>926</v>
      </c>
      <c r="G4561" t="s">
        <v>319</v>
      </c>
      <c r="H4561" s="502">
        <v>56045</v>
      </c>
      <c r="I4561" s="415">
        <v>0</v>
      </c>
      <c r="J4561" s="415">
        <v>-47556.5</v>
      </c>
      <c r="K4561" s="415">
        <v>0</v>
      </c>
      <c r="L4561" s="415">
        <v>56801.9</v>
      </c>
      <c r="M4561" s="415">
        <v>7002.95</v>
      </c>
      <c r="N4561" s="415">
        <v>40005.5</v>
      </c>
      <c r="O4561" s="415">
        <v>9592.5</v>
      </c>
      <c r="P4561" s="415">
        <v>7320.38</v>
      </c>
      <c r="Q4561" s="481">
        <f t="shared" si="117"/>
        <v>-47556.5</v>
      </c>
    </row>
    <row r="4562" spans="1:17" x14ac:dyDescent="0.3">
      <c r="A4562" s="430" t="str">
        <f>IFERROR(VLOOKUP(RIGHT(E4562,3)+0,[1]SchLocTable!$A$2:$B$47,2,FALSE)," ")</f>
        <v xml:space="preserve"> </v>
      </c>
      <c r="B4562" s="430" t="str">
        <f>VLOOKUP(VALUE(D4562),$D$3:F$106,3,FALSE)</f>
        <v>Facilities Maintenance &amp; Repair</v>
      </c>
      <c r="C4562" t="s">
        <v>314</v>
      </c>
      <c r="D4562">
        <v>896</v>
      </c>
      <c r="E4562" t="s">
        <v>1227</v>
      </c>
      <c r="F4562" t="s">
        <v>789</v>
      </c>
      <c r="G4562" t="s">
        <v>319</v>
      </c>
      <c r="H4562" s="502">
        <v>54540</v>
      </c>
      <c r="I4562" s="415">
        <v>100849.89559999999</v>
      </c>
      <c r="J4562" s="415">
        <v>97912.52</v>
      </c>
      <c r="K4562" s="415">
        <v>157977.54</v>
      </c>
      <c r="L4562" s="415">
        <v>197848.91</v>
      </c>
      <c r="M4562" s="415">
        <v>269295.84000000003</v>
      </c>
      <c r="N4562" s="415">
        <v>221886.29</v>
      </c>
      <c r="O4562" s="415">
        <v>269285.46999999997</v>
      </c>
      <c r="P4562" s="415">
        <v>117931.21</v>
      </c>
      <c r="Q4562" s="481">
        <f t="shared" si="117"/>
        <v>-2937.3755999999848</v>
      </c>
    </row>
    <row r="4563" spans="1:17" x14ac:dyDescent="0.3">
      <c r="A4563" s="430" t="str">
        <f>IFERROR(VLOOKUP(RIGHT(E4563,3)+0,[1]SchLocTable!$A$2:$B$47,2,FALSE)," ")</f>
        <v xml:space="preserve"> </v>
      </c>
      <c r="B4563" s="430" t="str">
        <f>VLOOKUP(VALUE(D4563),$D$3:F$106,3,FALSE)</f>
        <v>Facilities Maintenance &amp; Repair</v>
      </c>
      <c r="C4563" t="s">
        <v>314</v>
      </c>
      <c r="D4563">
        <v>896</v>
      </c>
      <c r="E4563" t="s">
        <v>1227</v>
      </c>
      <c r="F4563" t="s">
        <v>1092</v>
      </c>
      <c r="G4563" t="s">
        <v>319</v>
      </c>
      <c r="H4563" s="502">
        <v>54560</v>
      </c>
      <c r="I4563" s="415">
        <v>1967.6398999999999</v>
      </c>
      <c r="J4563" s="415">
        <v>1910.33</v>
      </c>
      <c r="K4563" s="415">
        <v>4043.48</v>
      </c>
      <c r="L4563" s="415">
        <v>0</v>
      </c>
      <c r="M4563" s="415">
        <v>3211.86</v>
      </c>
      <c r="N4563" s="415">
        <v>396</v>
      </c>
      <c r="O4563" s="415">
        <v>6828.69</v>
      </c>
      <c r="P4563" s="415">
        <v>2038.9</v>
      </c>
      <c r="Q4563" s="481">
        <f t="shared" si="117"/>
        <v>-57.309899999999971</v>
      </c>
    </row>
    <row r="4564" spans="1:17" x14ac:dyDescent="0.3">
      <c r="A4564" s="430" t="str">
        <f>IFERROR(VLOOKUP(RIGHT(E4564,3)+0,[1]SchLocTable!$A$2:$B$47,2,FALSE)," ")</f>
        <v xml:space="preserve"> </v>
      </c>
      <c r="B4564" s="430" t="str">
        <f>VLOOKUP(VALUE(D4564),$D$3:F$106,3,FALSE)</f>
        <v>Facilities Maintenance &amp; Repair</v>
      </c>
      <c r="C4564" t="s">
        <v>314</v>
      </c>
      <c r="D4564">
        <v>896</v>
      </c>
      <c r="E4564" t="s">
        <v>1227</v>
      </c>
      <c r="F4564" t="s">
        <v>927</v>
      </c>
      <c r="G4564" t="s">
        <v>319</v>
      </c>
      <c r="H4564" s="502">
        <v>56060</v>
      </c>
      <c r="I4564" s="415">
        <v>12586.6</v>
      </c>
      <c r="J4564" s="415">
        <v>12220</v>
      </c>
      <c r="K4564" s="415">
        <v>24661.57</v>
      </c>
      <c r="L4564" s="415">
        <v>88671.43</v>
      </c>
      <c r="M4564" s="415">
        <v>59814.82</v>
      </c>
      <c r="N4564" s="415">
        <v>7180</v>
      </c>
      <c r="O4564" s="415">
        <v>7335</v>
      </c>
      <c r="P4564" s="415">
        <v>2946</v>
      </c>
      <c r="Q4564" s="481">
        <f t="shared" si="117"/>
        <v>-366.60000000000036</v>
      </c>
    </row>
    <row r="4565" spans="1:17" x14ac:dyDescent="0.3">
      <c r="A4565" s="430" t="str">
        <f>IFERROR(VLOOKUP(RIGHT(E4565,3)+0,[1]SchLocTable!$A$2:$B$47,2,FALSE)," ")</f>
        <v xml:space="preserve"> </v>
      </c>
      <c r="B4565" s="430" t="str">
        <f>VLOOKUP(VALUE(D4565),$D$3:F$106,3,FALSE)</f>
        <v>Facilities Maintenance &amp; Repair</v>
      </c>
      <c r="C4565" t="s">
        <v>314</v>
      </c>
      <c r="D4565">
        <v>896</v>
      </c>
      <c r="E4565" t="s">
        <v>1227</v>
      </c>
      <c r="F4565" t="s">
        <v>922</v>
      </c>
      <c r="G4565" t="s">
        <v>319</v>
      </c>
      <c r="H4565" s="502">
        <v>55080</v>
      </c>
      <c r="I4565" s="415">
        <v>31415</v>
      </c>
      <c r="J4565" s="415">
        <v>30500</v>
      </c>
      <c r="K4565" s="415">
        <v>28695.85</v>
      </c>
      <c r="L4565" s="415">
        <v>59600.9</v>
      </c>
      <c r="M4565" s="415">
        <v>53980.01</v>
      </c>
      <c r="N4565" s="415">
        <v>57318.57</v>
      </c>
      <c r="O4565" s="415">
        <v>52552.24</v>
      </c>
      <c r="P4565" s="415">
        <v>99269.34</v>
      </c>
      <c r="Q4565" s="481">
        <f t="shared" si="117"/>
        <v>-915</v>
      </c>
    </row>
    <row r="4566" spans="1:17" x14ac:dyDescent="0.3">
      <c r="A4566" s="430" t="str">
        <f>IFERROR(VLOOKUP(RIGHT(E4566,3)+0,[1]SchLocTable!$A$2:$B$47,2,FALSE)," ")</f>
        <v xml:space="preserve"> </v>
      </c>
      <c r="B4566" s="430" t="str">
        <f>VLOOKUP(VALUE(D4566),$D$3:F$106,3,FALSE)</f>
        <v>Facilities Maintenance &amp; Repair</v>
      </c>
      <c r="C4566" t="s">
        <v>314</v>
      </c>
      <c r="D4566">
        <v>896</v>
      </c>
      <c r="E4566" t="s">
        <v>1227</v>
      </c>
      <c r="F4566" t="s">
        <v>1228</v>
      </c>
      <c r="G4566" t="s">
        <v>319</v>
      </c>
      <c r="H4566" s="502">
        <v>55145</v>
      </c>
      <c r="I4566" s="415">
        <v>741.23950000000002</v>
      </c>
      <c r="J4566" s="415">
        <v>719.65</v>
      </c>
      <c r="K4566" s="415">
        <v>752.79</v>
      </c>
      <c r="L4566" s="415">
        <v>952.74</v>
      </c>
      <c r="M4566" s="415">
        <v>606.66</v>
      </c>
      <c r="N4566" s="415">
        <v>8003.55</v>
      </c>
      <c r="O4566" s="415">
        <v>6845.72</v>
      </c>
      <c r="P4566" s="415">
        <v>9725.92</v>
      </c>
      <c r="Q4566" s="481">
        <f t="shared" si="117"/>
        <v>-21.589500000000044</v>
      </c>
    </row>
    <row r="4567" spans="1:17" x14ac:dyDescent="0.3">
      <c r="A4567" s="430" t="str">
        <f>IFERROR(VLOOKUP(RIGHT(E4567,3)+0,[1]SchLocTable!$A$2:$B$47,2,FALSE)," ")</f>
        <v xml:space="preserve"> </v>
      </c>
      <c r="B4567" s="430" t="str">
        <f>VLOOKUP(VALUE(D4567),$D$3:F$106,3,FALSE)</f>
        <v>Facilities Maintenance &amp; Repair</v>
      </c>
      <c r="C4567" t="s">
        <v>314</v>
      </c>
      <c r="D4567">
        <v>896</v>
      </c>
      <c r="E4567" t="s">
        <v>1227</v>
      </c>
      <c r="F4567" t="s">
        <v>790</v>
      </c>
      <c r="G4567" t="s">
        <v>319</v>
      </c>
      <c r="H4567" s="502">
        <v>54640</v>
      </c>
      <c r="I4567" s="415">
        <v>64066</v>
      </c>
      <c r="J4567" s="415">
        <v>62200</v>
      </c>
      <c r="K4567" s="415">
        <v>67810.69</v>
      </c>
      <c r="L4567" s="415">
        <v>150188.68</v>
      </c>
      <c r="M4567" s="415">
        <v>115505.2</v>
      </c>
      <c r="N4567" s="415">
        <v>88452.26</v>
      </c>
      <c r="O4567" s="415">
        <v>98946.33</v>
      </c>
      <c r="P4567" s="415">
        <v>74879.12</v>
      </c>
      <c r="Q4567" s="481">
        <f t="shared" si="117"/>
        <v>-1866</v>
      </c>
    </row>
    <row r="4568" spans="1:17" x14ac:dyDescent="0.3">
      <c r="A4568" s="430" t="str">
        <f>IFERROR(VLOOKUP(RIGHT(E4568,3)+0,[1]SchLocTable!$A$2:$B$47,2,FALSE)," ")</f>
        <v xml:space="preserve"> </v>
      </c>
      <c r="B4568" s="430" t="str">
        <f>VLOOKUP(VALUE(D4568),$D$3:F$106,3,FALSE)</f>
        <v>Facilities Maintenance &amp; Repair</v>
      </c>
      <c r="C4568" t="s">
        <v>314</v>
      </c>
      <c r="D4568">
        <v>896</v>
      </c>
      <c r="E4568" t="s">
        <v>1227</v>
      </c>
      <c r="F4568" t="s">
        <v>923</v>
      </c>
      <c r="G4568" t="s">
        <v>319</v>
      </c>
      <c r="H4568" s="502">
        <v>55110</v>
      </c>
      <c r="I4568" s="415">
        <v>1463099.55</v>
      </c>
      <c r="J4568" s="415">
        <v>1420485</v>
      </c>
      <c r="K4568" s="415">
        <v>521127.18</v>
      </c>
      <c r="L4568" s="415">
        <v>145877.82</v>
      </c>
      <c r="M4568" s="415">
        <v>9822.91</v>
      </c>
      <c r="N4568" s="415">
        <v>190400.48</v>
      </c>
      <c r="O4568" s="415">
        <v>305623.5</v>
      </c>
      <c r="P4568" s="415">
        <v>301085.8</v>
      </c>
      <c r="Q4568" s="481">
        <f t="shared" si="117"/>
        <v>-42614.550000000047</v>
      </c>
    </row>
    <row r="4569" spans="1:17" x14ac:dyDescent="0.3">
      <c r="A4569" s="430" t="str">
        <f>IFERROR(VLOOKUP(RIGHT(E4569,3)+0,[1]SchLocTable!$A$2:$B$47,2,FALSE)," ")</f>
        <v xml:space="preserve"> </v>
      </c>
      <c r="B4569" s="430" t="str">
        <f>VLOOKUP(VALUE(D4569),$D$3:F$106,3,FALSE)</f>
        <v>Facilities Maintenance &amp; Repair</v>
      </c>
      <c r="C4569" t="s">
        <v>314</v>
      </c>
      <c r="D4569">
        <v>896</v>
      </c>
      <c r="E4569" t="s">
        <v>1227</v>
      </c>
      <c r="F4569" t="s">
        <v>901</v>
      </c>
      <c r="G4569" t="s">
        <v>319</v>
      </c>
      <c r="H4569" s="502">
        <v>56170</v>
      </c>
      <c r="I4569" s="415">
        <v>8789.3608000000004</v>
      </c>
      <c r="J4569" s="415">
        <v>8533.36</v>
      </c>
      <c r="K4569" s="415">
        <v>3532.47</v>
      </c>
      <c r="L4569" s="415">
        <v>13567.24</v>
      </c>
      <c r="M4569" s="415">
        <v>7562</v>
      </c>
      <c r="N4569" s="415">
        <v>0</v>
      </c>
      <c r="O4569" s="415">
        <v>29977.85</v>
      </c>
      <c r="P4569" s="415">
        <v>11696.14</v>
      </c>
      <c r="Q4569" s="481">
        <f t="shared" si="117"/>
        <v>-256.0007999999998</v>
      </c>
    </row>
    <row r="4570" spans="1:17" x14ac:dyDescent="0.3">
      <c r="A4570" s="430" t="str">
        <f>IFERROR(VLOOKUP(RIGHT(E4570,3)+0,[1]SchLocTable!$A$2:$B$47,2,FALSE)," ")</f>
        <v xml:space="preserve"> </v>
      </c>
      <c r="B4570" s="430" t="str">
        <f>VLOOKUP(VALUE(D4570),$D$3:F$106,3,FALSE)</f>
        <v>Facilities Maintenance &amp; Repair</v>
      </c>
      <c r="C4570" t="s">
        <v>314</v>
      </c>
      <c r="D4570">
        <v>896</v>
      </c>
      <c r="E4570" t="s">
        <v>1227</v>
      </c>
      <c r="F4570" t="s">
        <v>464</v>
      </c>
      <c r="G4570" t="s">
        <v>319</v>
      </c>
      <c r="H4570" s="502">
        <v>56180</v>
      </c>
      <c r="I4570" s="415">
        <v>52726.8845</v>
      </c>
      <c r="J4570" s="415">
        <v>51191.15</v>
      </c>
      <c r="K4570" s="415">
        <v>59011.56</v>
      </c>
      <c r="L4570" s="415">
        <v>59591.75</v>
      </c>
      <c r="M4570" s="415">
        <v>30927.84</v>
      </c>
      <c r="N4570" s="415">
        <v>107.3</v>
      </c>
      <c r="O4570" s="415">
        <v>49330</v>
      </c>
      <c r="P4570" s="415">
        <v>16765.580000000002</v>
      </c>
      <c r="Q4570" s="481">
        <f t="shared" si="117"/>
        <v>-1535.7344999999987</v>
      </c>
    </row>
    <row r="4571" spans="1:17" x14ac:dyDescent="0.3">
      <c r="A4571" s="430" t="str">
        <f>IFERROR(VLOOKUP(RIGHT(E4571,3)+0,[1]SchLocTable!$A$2:$B$47,2,FALSE)," ")</f>
        <v xml:space="preserve"> </v>
      </c>
      <c r="B4571" s="430" t="str">
        <f>VLOOKUP(VALUE(D4571),$D$3:F$106,3,FALSE)</f>
        <v>Facilities Maintenance &amp; Repair</v>
      </c>
      <c r="C4571" t="s">
        <v>314</v>
      </c>
      <c r="D4571">
        <v>896</v>
      </c>
      <c r="E4571" t="s">
        <v>1227</v>
      </c>
      <c r="F4571" t="s">
        <v>921</v>
      </c>
      <c r="G4571" t="s">
        <v>319</v>
      </c>
      <c r="H4571" s="502">
        <v>54715</v>
      </c>
      <c r="I4571" s="415">
        <v>34505</v>
      </c>
      <c r="J4571" s="415">
        <v>33500</v>
      </c>
      <c r="K4571" s="415">
        <v>34934.36</v>
      </c>
      <c r="L4571" s="415">
        <v>43415.47</v>
      </c>
      <c r="M4571" s="415">
        <v>51891.44</v>
      </c>
      <c r="N4571" s="415">
        <v>62248.480000000003</v>
      </c>
      <c r="O4571" s="415">
        <v>52340.88</v>
      </c>
      <c r="P4571" s="415">
        <v>75332.009999999995</v>
      </c>
      <c r="Q4571" s="481">
        <f t="shared" si="117"/>
        <v>-1005</v>
      </c>
    </row>
    <row r="4572" spans="1:17" x14ac:dyDescent="0.3">
      <c r="A4572" s="430" t="str">
        <f>IFERROR(VLOOKUP(RIGHT(E4572,3)+0,[1]SchLocTable!$A$2:$B$47,2,FALSE)," ")</f>
        <v xml:space="preserve"> </v>
      </c>
      <c r="B4572" s="430" t="str">
        <f>VLOOKUP(VALUE(D4572),$D$3:F$106,3,FALSE)</f>
        <v>Facilities Maintenance &amp; Repair</v>
      </c>
      <c r="C4572" t="s">
        <v>314</v>
      </c>
      <c r="D4572">
        <v>896</v>
      </c>
      <c r="E4572" t="s">
        <v>1227</v>
      </c>
      <c r="F4572" t="s">
        <v>931</v>
      </c>
      <c r="G4572" t="s">
        <v>319</v>
      </c>
      <c r="H4572" s="502">
        <v>56225</v>
      </c>
      <c r="I4572" s="415">
        <v>5387.7446</v>
      </c>
      <c r="J4572" s="415">
        <v>5230.82</v>
      </c>
      <c r="K4572" s="415">
        <v>0</v>
      </c>
      <c r="L4572" s="415">
        <v>3827.22</v>
      </c>
      <c r="M4572" s="415">
        <v>293267.82</v>
      </c>
      <c r="N4572" s="415">
        <v>277219.74</v>
      </c>
      <c r="O4572" s="415">
        <v>326577.89</v>
      </c>
      <c r="P4572" s="415">
        <v>286886.96999999997</v>
      </c>
      <c r="Q4572" s="481">
        <f t="shared" si="117"/>
        <v>-156.92460000000028</v>
      </c>
    </row>
    <row r="4573" spans="1:17" x14ac:dyDescent="0.3">
      <c r="A4573" s="430" t="str">
        <f>IFERROR(VLOOKUP(RIGHT(E4573,3)+0,[1]SchLocTable!$A$2:$B$47,2,FALSE)," ")</f>
        <v xml:space="preserve"> </v>
      </c>
      <c r="B4573" s="430" t="str">
        <f>VLOOKUP(VALUE(D4573),$D$3:F$106,3,FALSE)</f>
        <v>Facilities Maintenance &amp; Repair</v>
      </c>
      <c r="C4573" t="s">
        <v>314</v>
      </c>
      <c r="D4573">
        <v>896</v>
      </c>
      <c r="E4573" t="s">
        <v>1227</v>
      </c>
      <c r="F4573" t="s">
        <v>925</v>
      </c>
      <c r="G4573" t="s">
        <v>319</v>
      </c>
      <c r="H4573" s="502">
        <v>55220</v>
      </c>
      <c r="I4573" s="415">
        <v>10875.955400000001</v>
      </c>
      <c r="J4573" s="415">
        <v>10559.18</v>
      </c>
      <c r="K4573" s="415">
        <v>33266.82</v>
      </c>
      <c r="L4573" s="415">
        <v>37610</v>
      </c>
      <c r="M4573" s="415">
        <v>7306.79</v>
      </c>
      <c r="N4573" s="415">
        <v>58062</v>
      </c>
      <c r="O4573" s="415">
        <v>91038.5</v>
      </c>
      <c r="P4573" s="415">
        <v>89220</v>
      </c>
      <c r="Q4573" s="481">
        <f t="shared" si="117"/>
        <v>-316.77540000000045</v>
      </c>
    </row>
    <row r="4574" spans="1:17" x14ac:dyDescent="0.3">
      <c r="A4574" s="430" t="str">
        <f>IFERROR(VLOOKUP(RIGHT(E4574,3)+0,[1]SchLocTable!$A$2:$B$47,2,FALSE)," ")</f>
        <v xml:space="preserve"> </v>
      </c>
      <c r="B4574" s="430" t="str">
        <f>VLOOKUP(VALUE(D4574),$D$3:F$106,3,FALSE)</f>
        <v>Accreditation - NEASC</v>
      </c>
      <c r="C4574" t="s">
        <v>314</v>
      </c>
      <c r="D4574">
        <v>898</v>
      </c>
      <c r="E4574" t="s">
        <v>1229</v>
      </c>
      <c r="F4574" t="s">
        <v>1230</v>
      </c>
      <c r="G4574" t="s">
        <v>319</v>
      </c>
      <c r="H4574" s="502">
        <v>54001</v>
      </c>
      <c r="I4574" s="415">
        <v>5150</v>
      </c>
      <c r="J4574" s="415">
        <v>5000</v>
      </c>
      <c r="K4574" s="415">
        <v>1346.04</v>
      </c>
      <c r="L4574" s="415">
        <v>0</v>
      </c>
      <c r="M4574" s="415">
        <v>2157.6999999999998</v>
      </c>
      <c r="N4574" s="415">
        <v>4140.38</v>
      </c>
      <c r="O4574" s="415">
        <v>0</v>
      </c>
      <c r="P4574" s="415">
        <v>0</v>
      </c>
      <c r="Q4574" s="481">
        <f t="shared" si="117"/>
        <v>-150</v>
      </c>
    </row>
    <row r="4575" spans="1:17" x14ac:dyDescent="0.3">
      <c r="A4575" s="430" t="str">
        <f>IFERROR(VLOOKUP(RIGHT(E4575,3)+0,[1]SchLocTable!$A$2:$B$47,2,FALSE)," ")</f>
        <v xml:space="preserve"> </v>
      </c>
      <c r="B4575" s="430" t="str">
        <f>VLOOKUP(VALUE(D4575),$D$3:F$106,3,FALSE)</f>
        <v>Accreditation - NEASC</v>
      </c>
      <c r="C4575" t="s">
        <v>314</v>
      </c>
      <c r="D4575">
        <v>898</v>
      </c>
      <c r="E4575" t="s">
        <v>1229</v>
      </c>
      <c r="F4575" t="s">
        <v>1231</v>
      </c>
      <c r="G4575" t="s">
        <v>319</v>
      </c>
      <c r="H4575" s="502">
        <v>57010</v>
      </c>
      <c r="I4575" s="415">
        <v>0</v>
      </c>
      <c r="J4575" s="415">
        <v>-10376481.689999999</v>
      </c>
      <c r="K4575" s="415">
        <v>-21643458.41</v>
      </c>
      <c r="L4575" s="415">
        <v>0</v>
      </c>
      <c r="M4575" s="415">
        <v>0</v>
      </c>
      <c r="N4575" s="415">
        <v>0</v>
      </c>
      <c r="O4575" s="415">
        <v>0</v>
      </c>
      <c r="P4575" s="415">
        <v>0</v>
      </c>
      <c r="Q4575" s="481">
        <f t="shared" si="117"/>
        <v>-10376481.689999999</v>
      </c>
    </row>
    <row r="4576" spans="1:17" x14ac:dyDescent="0.3">
      <c r="A4576" s="430" t="str">
        <f>IFERROR(VLOOKUP(RIGHT(E4576,3)+0,[1]SchLocTable!$A$2:$B$47,2,FALSE)," ")</f>
        <v>Barnum</v>
      </c>
      <c r="B4576" s="430" t="str">
        <f>VLOOKUP(VALUE(D4576),$D$3:F$106,3,FALSE)</f>
        <v>Principals</v>
      </c>
      <c r="C4576" t="s">
        <v>314</v>
      </c>
      <c r="D4576" t="s">
        <v>1328</v>
      </c>
      <c r="E4576" t="s">
        <v>322</v>
      </c>
      <c r="F4576" t="s">
        <v>317</v>
      </c>
      <c r="G4576" t="s">
        <v>319</v>
      </c>
      <c r="H4576" s="502" t="s">
        <v>1233</v>
      </c>
      <c r="I4576" s="415">
        <v>0</v>
      </c>
      <c r="J4576" s="415">
        <v>0</v>
      </c>
      <c r="K4576" s="415">
        <v>0</v>
      </c>
      <c r="L4576" s="415">
        <v>0</v>
      </c>
      <c r="M4576" s="415">
        <v>0</v>
      </c>
      <c r="N4576" s="415">
        <v>0</v>
      </c>
      <c r="O4576" s="415">
        <v>0</v>
      </c>
      <c r="P4576" s="415">
        <v>32900</v>
      </c>
      <c r="Q4576" s="481">
        <f t="shared" si="117"/>
        <v>0</v>
      </c>
    </row>
    <row r="4577" spans="1:17" x14ac:dyDescent="0.3">
      <c r="A4577" s="430" t="str">
        <f>IFERROR(VLOOKUP(RIGHT(E4577,3)+0,[1]SchLocTable!$A$2:$B$47,2,FALSE)," ")</f>
        <v>Beardsley</v>
      </c>
      <c r="B4577" s="430" t="str">
        <f>VLOOKUP(VALUE(D4577),$D$3:F$106,3,FALSE)</f>
        <v>Principals</v>
      </c>
      <c r="C4577" t="s">
        <v>314</v>
      </c>
      <c r="D4577" t="s">
        <v>1328</v>
      </c>
      <c r="E4577" t="s">
        <v>323</v>
      </c>
      <c r="F4577" t="s">
        <v>329</v>
      </c>
      <c r="G4577" t="s">
        <v>319</v>
      </c>
      <c r="H4577" s="502">
        <v>51154</v>
      </c>
      <c r="I4577" s="415"/>
      <c r="J4577" s="415"/>
      <c r="K4577" s="415"/>
      <c r="L4577" s="415">
        <v>0</v>
      </c>
      <c r="M4577" s="415">
        <v>0</v>
      </c>
      <c r="N4577" s="415">
        <v>49788.68</v>
      </c>
      <c r="O4577" s="415">
        <v>0</v>
      </c>
      <c r="P4577" s="415">
        <v>0</v>
      </c>
      <c r="Q4577" s="481">
        <f t="shared" si="117"/>
        <v>0</v>
      </c>
    </row>
    <row r="4578" spans="1:17" x14ac:dyDescent="0.3">
      <c r="A4578" s="430" t="str">
        <f>IFERROR(VLOOKUP(RIGHT(E4578,3)+0,[1]SchLocTable!$A$2:$B$47,2,FALSE)," ")</f>
        <v>Marin</v>
      </c>
      <c r="B4578" s="430" t="str">
        <f>VLOOKUP(VALUE(D4578),$D$3:F$106,3,FALSE)</f>
        <v>Principals</v>
      </c>
      <c r="C4578" t="s">
        <v>314</v>
      </c>
      <c r="D4578" t="s">
        <v>1328</v>
      </c>
      <c r="E4578" t="s">
        <v>330</v>
      </c>
      <c r="F4578" t="s">
        <v>334</v>
      </c>
      <c r="G4578" t="s">
        <v>319</v>
      </c>
      <c r="H4578" s="502" t="s">
        <v>1387</v>
      </c>
      <c r="I4578" s="415">
        <v>0</v>
      </c>
      <c r="J4578" s="415">
        <v>0</v>
      </c>
      <c r="K4578" s="415">
        <v>0</v>
      </c>
      <c r="L4578" s="415">
        <v>0</v>
      </c>
      <c r="M4578" s="415">
        <v>0</v>
      </c>
      <c r="N4578" s="415">
        <v>0</v>
      </c>
      <c r="O4578" s="415">
        <v>6650</v>
      </c>
      <c r="P4578" s="415">
        <v>0</v>
      </c>
      <c r="Q4578" s="481">
        <f t="shared" si="117"/>
        <v>0</v>
      </c>
    </row>
    <row r="4579" spans="1:17" x14ac:dyDescent="0.3">
      <c r="A4579" s="430" t="str">
        <f>IFERROR(VLOOKUP(RIGHT(E4579,3)+0,[1]SchLocTable!$A$2:$B$47,2,FALSE)," ")</f>
        <v>Hall</v>
      </c>
      <c r="B4579" s="430" t="str">
        <f>VLOOKUP(VALUE(D4579),$D$3:F$106,3,FALSE)</f>
        <v>Principals</v>
      </c>
      <c r="C4579" t="s">
        <v>314</v>
      </c>
      <c r="D4579" t="s">
        <v>1328</v>
      </c>
      <c r="E4579" t="s">
        <v>331</v>
      </c>
      <c r="F4579" t="s">
        <v>329</v>
      </c>
      <c r="G4579" t="s">
        <v>319</v>
      </c>
      <c r="H4579" s="502" t="s">
        <v>1240</v>
      </c>
      <c r="I4579" s="415">
        <v>0</v>
      </c>
      <c r="J4579" s="415">
        <v>0</v>
      </c>
      <c r="K4579" s="415">
        <v>0</v>
      </c>
      <c r="L4579" s="415">
        <v>0</v>
      </c>
      <c r="M4579" s="415">
        <v>0</v>
      </c>
      <c r="N4579" s="415">
        <v>0</v>
      </c>
      <c r="O4579" s="415">
        <v>22629.95</v>
      </c>
      <c r="P4579" s="415">
        <v>51772.53</v>
      </c>
      <c r="Q4579" s="481">
        <f t="shared" si="117"/>
        <v>0</v>
      </c>
    </row>
    <row r="4580" spans="1:17" x14ac:dyDescent="0.3">
      <c r="A4580" s="430" t="str">
        <f>IFERROR(VLOOKUP(RIGHT(E4580,3)+0,[1]SchLocTable!$A$2:$B$47,2,FALSE)," ")</f>
        <v>Batalla</v>
      </c>
      <c r="B4580" s="430" t="str">
        <f>VLOOKUP(VALUE(D4580),$D$3:F$106,3,FALSE)</f>
        <v>Principals</v>
      </c>
      <c r="C4580" t="s">
        <v>314</v>
      </c>
      <c r="D4580" t="s">
        <v>1328</v>
      </c>
      <c r="E4580" t="s">
        <v>335</v>
      </c>
      <c r="F4580" t="s">
        <v>317</v>
      </c>
      <c r="G4580" t="s">
        <v>319</v>
      </c>
      <c r="H4580" s="502" t="s">
        <v>1233</v>
      </c>
      <c r="I4580" s="415">
        <v>0</v>
      </c>
      <c r="J4580" s="415">
        <v>0</v>
      </c>
      <c r="K4580" s="415">
        <v>0</v>
      </c>
      <c r="L4580" s="415">
        <v>0</v>
      </c>
      <c r="M4580" s="415">
        <v>0</v>
      </c>
      <c r="N4580" s="415">
        <v>0</v>
      </c>
      <c r="O4580" s="415">
        <v>14430</v>
      </c>
      <c r="P4580" s="415">
        <v>47520</v>
      </c>
      <c r="Q4580" s="481">
        <f t="shared" si="117"/>
        <v>0</v>
      </c>
    </row>
    <row r="4581" spans="1:17" x14ac:dyDescent="0.3">
      <c r="A4581" s="430" t="str">
        <f>IFERROR(VLOOKUP(RIGHT(E4581,3)+0,[1]SchLocTable!$A$2:$B$47,2,FALSE)," ")</f>
        <v>Madison</v>
      </c>
      <c r="B4581" s="430" t="str">
        <f>VLOOKUP(VALUE(D4581),$D$3:F$106,3,FALSE)</f>
        <v>Principals</v>
      </c>
      <c r="C4581" t="s">
        <v>314</v>
      </c>
      <c r="D4581" t="s">
        <v>1328</v>
      </c>
      <c r="E4581" t="s">
        <v>339</v>
      </c>
      <c r="F4581" t="s">
        <v>321</v>
      </c>
      <c r="G4581" t="s">
        <v>319</v>
      </c>
      <c r="H4581" s="502" t="s">
        <v>1248</v>
      </c>
      <c r="I4581" s="415">
        <v>0</v>
      </c>
      <c r="J4581" s="415">
        <v>0</v>
      </c>
      <c r="K4581" s="415">
        <v>0</v>
      </c>
      <c r="L4581" s="415">
        <v>0</v>
      </c>
      <c r="M4581" s="415">
        <v>0</v>
      </c>
      <c r="N4581" s="415">
        <v>0</v>
      </c>
      <c r="O4581" s="415">
        <v>0</v>
      </c>
      <c r="P4581" s="415">
        <v>4808.25</v>
      </c>
      <c r="Q4581" s="481">
        <f t="shared" si="117"/>
        <v>0</v>
      </c>
    </row>
    <row r="4582" spans="1:17" x14ac:dyDescent="0.3">
      <c r="A4582" s="430" t="str">
        <f>IFERROR(VLOOKUP(RIGHT(E4582,3)+0,[1]SchLocTable!$A$2:$B$47,2,FALSE)," ")</f>
        <v>Classical Studies Academy</v>
      </c>
      <c r="B4582" s="430" t="str">
        <f>VLOOKUP(VALUE(D4582),$D$3:F$106,3,FALSE)</f>
        <v>Principals</v>
      </c>
      <c r="C4582" t="s">
        <v>314</v>
      </c>
      <c r="D4582" t="s">
        <v>1328</v>
      </c>
      <c r="E4582" t="s">
        <v>340</v>
      </c>
      <c r="F4582" t="s">
        <v>317</v>
      </c>
      <c r="G4582" t="s">
        <v>319</v>
      </c>
      <c r="H4582" s="502" t="s">
        <v>1233</v>
      </c>
      <c r="I4582" s="415">
        <v>0</v>
      </c>
      <c r="J4582" s="415">
        <v>0</v>
      </c>
      <c r="K4582" s="415">
        <v>0</v>
      </c>
      <c r="L4582" s="415">
        <v>0</v>
      </c>
      <c r="M4582" s="415">
        <v>0</v>
      </c>
      <c r="N4582" s="415">
        <v>0</v>
      </c>
      <c r="O4582" s="415">
        <v>0</v>
      </c>
      <c r="P4582" s="415">
        <v>3150</v>
      </c>
      <c r="Q4582" s="481">
        <f t="shared" si="117"/>
        <v>0</v>
      </c>
    </row>
    <row r="4583" spans="1:17" x14ac:dyDescent="0.3">
      <c r="A4583" s="430" t="str">
        <f>IFERROR(VLOOKUP(RIGHT(E4583,3)+0,[1]SchLocTable!$A$2:$B$47,2,FALSE)," ")</f>
        <v>Claytor</v>
      </c>
      <c r="B4583" s="430" t="str">
        <f>VLOOKUP(VALUE(D4583),$D$3:F$106,3,FALSE)</f>
        <v>Principals</v>
      </c>
      <c r="C4583" t="s">
        <v>314</v>
      </c>
      <c r="D4583" t="s">
        <v>1328</v>
      </c>
      <c r="E4583" t="s">
        <v>345</v>
      </c>
      <c r="F4583" t="s">
        <v>329</v>
      </c>
      <c r="G4583" t="s">
        <v>319</v>
      </c>
      <c r="H4583" s="502">
        <v>51154</v>
      </c>
      <c r="I4583" s="415"/>
      <c r="J4583" s="415"/>
      <c r="K4583" s="415"/>
      <c r="L4583" s="415">
        <v>0</v>
      </c>
      <c r="M4583" s="415">
        <v>0</v>
      </c>
      <c r="N4583" s="415">
        <v>40153.25</v>
      </c>
      <c r="O4583" s="415">
        <v>0</v>
      </c>
      <c r="P4583" s="415">
        <v>0</v>
      </c>
      <c r="Q4583" s="481">
        <f t="shared" si="117"/>
        <v>0</v>
      </c>
    </row>
    <row r="4584" spans="1:17" x14ac:dyDescent="0.3">
      <c r="A4584" s="430" t="str">
        <f>IFERROR(VLOOKUP(RIGHT(E4584,3)+0,[1]SchLocTable!$A$2:$B$47,2,FALSE)," ")</f>
        <v>Cross</v>
      </c>
      <c r="B4584" s="430" t="str">
        <f>VLOOKUP(VALUE(D4584),$D$3:F$106,3,FALSE)</f>
        <v>Principals</v>
      </c>
      <c r="C4584" t="s">
        <v>314</v>
      </c>
      <c r="D4584" t="s">
        <v>1328</v>
      </c>
      <c r="E4584" t="s">
        <v>349</v>
      </c>
      <c r="F4584" t="s">
        <v>317</v>
      </c>
      <c r="G4584" t="s">
        <v>319</v>
      </c>
      <c r="H4584" s="502" t="s">
        <v>1233</v>
      </c>
      <c r="I4584" s="415">
        <v>0</v>
      </c>
      <c r="J4584" s="415">
        <v>0</v>
      </c>
      <c r="K4584" s="415">
        <v>0</v>
      </c>
      <c r="L4584" s="415">
        <v>0</v>
      </c>
      <c r="M4584" s="415">
        <v>0</v>
      </c>
      <c r="N4584" s="415">
        <v>0</v>
      </c>
      <c r="O4584" s="415">
        <v>0</v>
      </c>
      <c r="P4584" s="415">
        <v>7000</v>
      </c>
      <c r="Q4584" s="481">
        <f t="shared" si="117"/>
        <v>0</v>
      </c>
    </row>
    <row r="4585" spans="1:17" x14ac:dyDescent="0.3">
      <c r="A4585" s="430" t="str">
        <f>IFERROR(VLOOKUP(RIGHT(E4585,3)+0,[1]SchLocTable!$A$2:$B$47,2,FALSE)," ")</f>
        <v>Blackham</v>
      </c>
      <c r="B4585" s="430" t="str">
        <f>VLOOKUP(VALUE(D4585),$D$3:F$106,3,FALSE)</f>
        <v>Principals</v>
      </c>
      <c r="C4585" t="s">
        <v>314</v>
      </c>
      <c r="D4585" t="s">
        <v>1328</v>
      </c>
      <c r="E4585" t="s">
        <v>350</v>
      </c>
      <c r="F4585" t="s">
        <v>317</v>
      </c>
      <c r="G4585" t="s">
        <v>319</v>
      </c>
      <c r="H4585" s="502">
        <v>51100</v>
      </c>
      <c r="I4585" s="415"/>
      <c r="J4585" s="415"/>
      <c r="K4585" s="415"/>
      <c r="L4585" s="415">
        <v>0</v>
      </c>
      <c r="M4585" s="415">
        <v>0</v>
      </c>
      <c r="N4585" s="415">
        <v>420</v>
      </c>
      <c r="O4585" s="415">
        <v>52780</v>
      </c>
      <c r="P4585" s="415">
        <v>0</v>
      </c>
      <c r="Q4585" s="481">
        <f t="shared" si="117"/>
        <v>0</v>
      </c>
    </row>
    <row r="4586" spans="1:17" x14ac:dyDescent="0.3">
      <c r="A4586" s="430" t="str">
        <f>IFERROR(VLOOKUP(RIGHT(E4586,3)+0,[1]SchLocTable!$A$2:$B$47,2,FALSE)," ")</f>
        <v>Curiale</v>
      </c>
      <c r="B4586" s="430" t="str">
        <f>VLOOKUP(VALUE(D4586),$D$3:F$106,3,FALSE)</f>
        <v>Principals</v>
      </c>
      <c r="C4586" t="s">
        <v>314</v>
      </c>
      <c r="D4586" t="s">
        <v>1328</v>
      </c>
      <c r="E4586" t="s">
        <v>352</v>
      </c>
      <c r="F4586" t="s">
        <v>317</v>
      </c>
      <c r="G4586" t="s">
        <v>319</v>
      </c>
      <c r="H4586" s="502" t="s">
        <v>1233</v>
      </c>
      <c r="I4586" s="415">
        <v>0</v>
      </c>
      <c r="J4586" s="415">
        <v>0</v>
      </c>
      <c r="K4586" s="415">
        <v>0</v>
      </c>
      <c r="L4586" s="415">
        <v>0</v>
      </c>
      <c r="M4586" s="415">
        <v>0</v>
      </c>
      <c r="N4586" s="415">
        <v>0</v>
      </c>
      <c r="O4586" s="415">
        <v>0</v>
      </c>
      <c r="P4586" s="415">
        <v>1750</v>
      </c>
      <c r="Q4586" s="481">
        <f t="shared" si="117"/>
        <v>0</v>
      </c>
    </row>
    <row r="4587" spans="1:17" x14ac:dyDescent="0.3">
      <c r="A4587" s="430" t="str">
        <f>IFERROR(VLOOKUP(RIGHT(E4587,3)+0,[1]SchLocTable!$A$2:$B$47,2,FALSE)," ")</f>
        <v>Bassick HS</v>
      </c>
      <c r="B4587" s="430" t="str">
        <f>VLOOKUP(VALUE(D4587),$D$3:F$106,3,FALSE)</f>
        <v>Principals</v>
      </c>
      <c r="C4587" t="s">
        <v>314</v>
      </c>
      <c r="D4587" t="s">
        <v>1328</v>
      </c>
      <c r="E4587" t="s">
        <v>355</v>
      </c>
      <c r="F4587" t="s">
        <v>334</v>
      </c>
      <c r="G4587" t="s">
        <v>319</v>
      </c>
      <c r="H4587" s="502" t="s">
        <v>1387</v>
      </c>
      <c r="I4587" s="415">
        <v>0</v>
      </c>
      <c r="J4587" s="415">
        <v>0</v>
      </c>
      <c r="K4587" s="415">
        <v>0</v>
      </c>
      <c r="L4587" s="415">
        <v>0</v>
      </c>
      <c r="M4587" s="415">
        <v>0</v>
      </c>
      <c r="N4587" s="415">
        <v>0</v>
      </c>
      <c r="O4587" s="415">
        <v>1500</v>
      </c>
      <c r="P4587" s="415">
        <v>0</v>
      </c>
      <c r="Q4587" s="481">
        <f t="shared" si="117"/>
        <v>0</v>
      </c>
    </row>
    <row r="4588" spans="1:17" x14ac:dyDescent="0.3">
      <c r="A4588" s="430" t="str">
        <f>IFERROR(VLOOKUP(RIGHT(E4588,3)+0,[1]SchLocTable!$A$2:$B$47,2,FALSE)," ")</f>
        <v>Black Rock</v>
      </c>
      <c r="B4588" s="430" t="str">
        <f>VLOOKUP(VALUE(D4588),$D$3:F$106,3,FALSE)</f>
        <v>Elementary Classroom</v>
      </c>
      <c r="C4588" t="s">
        <v>314</v>
      </c>
      <c r="D4588" t="s">
        <v>1329</v>
      </c>
      <c r="E4588" t="s">
        <v>363</v>
      </c>
      <c r="F4588" t="s">
        <v>329</v>
      </c>
      <c r="G4588" t="s">
        <v>319</v>
      </c>
      <c r="H4588" s="502" t="s">
        <v>1240</v>
      </c>
      <c r="I4588" s="415">
        <v>0</v>
      </c>
      <c r="J4588" s="415">
        <v>0</v>
      </c>
      <c r="K4588" s="415">
        <v>0</v>
      </c>
      <c r="L4588" s="415">
        <v>0</v>
      </c>
      <c r="M4588" s="415">
        <v>0</v>
      </c>
      <c r="N4588" s="415">
        <v>0</v>
      </c>
      <c r="O4588" s="415">
        <v>11375</v>
      </c>
      <c r="P4588" s="415">
        <v>0</v>
      </c>
      <c r="Q4588" s="481">
        <f t="shared" si="117"/>
        <v>0</v>
      </c>
    </row>
    <row r="4589" spans="1:17" x14ac:dyDescent="0.3">
      <c r="A4589" s="430" t="str">
        <f>IFERROR(VLOOKUP(RIGHT(E4589,3)+0,[1]SchLocTable!$A$2:$B$47,2,FALSE)," ")</f>
        <v>Bryant</v>
      </c>
      <c r="B4589" s="430" t="str">
        <f>VLOOKUP(VALUE(D4589),$D$3:F$106,3,FALSE)</f>
        <v>Elementary Classroom</v>
      </c>
      <c r="C4589" t="s">
        <v>314</v>
      </c>
      <c r="D4589" t="s">
        <v>1329</v>
      </c>
      <c r="E4589" t="s">
        <v>364</v>
      </c>
      <c r="F4589" t="s">
        <v>329</v>
      </c>
      <c r="G4589" t="s">
        <v>319</v>
      </c>
      <c r="H4589" s="502">
        <v>51154</v>
      </c>
      <c r="I4589" s="415"/>
      <c r="J4589" s="415"/>
      <c r="K4589" s="415"/>
      <c r="L4589" s="415">
        <v>0</v>
      </c>
      <c r="M4589" s="415">
        <v>0</v>
      </c>
      <c r="N4589" s="415">
        <v>10400</v>
      </c>
      <c r="O4589" s="415">
        <v>0</v>
      </c>
      <c r="P4589" s="415">
        <v>11375</v>
      </c>
      <c r="Q4589" s="481">
        <f t="shared" si="117"/>
        <v>0</v>
      </c>
    </row>
    <row r="4590" spans="1:17" x14ac:dyDescent="0.3">
      <c r="A4590" s="430" t="str">
        <f>IFERROR(VLOOKUP(RIGHT(E4590,3)+0,[1]SchLocTable!$A$2:$B$47,2,FALSE)," ")</f>
        <v>Madison</v>
      </c>
      <c r="B4590" s="430" t="str">
        <f>VLOOKUP(VALUE(D4590),$D$3:F$106,3,FALSE)</f>
        <v>Elementary Classroom</v>
      </c>
      <c r="C4590" t="s">
        <v>314</v>
      </c>
      <c r="D4590" t="s">
        <v>1329</v>
      </c>
      <c r="E4590" t="s">
        <v>373</v>
      </c>
      <c r="F4590" t="s">
        <v>324</v>
      </c>
      <c r="G4590" t="s">
        <v>319</v>
      </c>
      <c r="H4590" s="502">
        <v>52385</v>
      </c>
      <c r="I4590" s="415"/>
      <c r="J4590" s="415"/>
      <c r="K4590" s="415"/>
      <c r="L4590" s="415">
        <v>0</v>
      </c>
      <c r="M4590" s="415">
        <v>0</v>
      </c>
      <c r="N4590" s="415">
        <v>1035.52</v>
      </c>
      <c r="O4590" s="415">
        <v>0</v>
      </c>
      <c r="P4590" s="415">
        <v>0</v>
      </c>
      <c r="Q4590" s="481">
        <f t="shared" si="117"/>
        <v>0</v>
      </c>
    </row>
    <row r="4591" spans="1:17" x14ac:dyDescent="0.3">
      <c r="A4591" s="430" t="str">
        <f>IFERROR(VLOOKUP(RIGHT(E4591,3)+0,[1]SchLocTable!$A$2:$B$47,2,FALSE)," ")</f>
        <v>Tisdale</v>
      </c>
      <c r="B4591" s="430" t="str">
        <f>VLOOKUP(VALUE(D4591),$D$3:F$106,3,FALSE)</f>
        <v>Elementary Classroom</v>
      </c>
      <c r="C4591" t="s">
        <v>314</v>
      </c>
      <c r="D4591" t="s">
        <v>1329</v>
      </c>
      <c r="E4591" t="s">
        <v>375</v>
      </c>
      <c r="F4591" t="s">
        <v>324</v>
      </c>
      <c r="G4591" t="s">
        <v>319</v>
      </c>
      <c r="H4591" s="502">
        <v>52385</v>
      </c>
      <c r="I4591" s="415"/>
      <c r="J4591" s="415"/>
      <c r="K4591" s="415"/>
      <c r="L4591" s="415">
        <v>0</v>
      </c>
      <c r="M4591" s="415">
        <v>0</v>
      </c>
      <c r="N4591" s="415">
        <v>0.71</v>
      </c>
      <c r="O4591" s="415">
        <v>0</v>
      </c>
      <c r="P4591" s="415">
        <v>0</v>
      </c>
      <c r="Q4591" s="481">
        <f t="shared" si="117"/>
        <v>0</v>
      </c>
    </row>
    <row r="4592" spans="1:17" x14ac:dyDescent="0.3">
      <c r="A4592" s="430" t="str">
        <f>IFERROR(VLOOKUP(RIGHT(E4592,3)+0,[1]SchLocTable!$A$2:$B$47,2,FALSE)," ")</f>
        <v>Read</v>
      </c>
      <c r="B4592" s="430" t="str">
        <f>VLOOKUP(VALUE(D4592),$D$3:F$106,3,FALSE)</f>
        <v>Elementary Classroom</v>
      </c>
      <c r="C4592" t="s">
        <v>314</v>
      </c>
      <c r="D4592" t="s">
        <v>1329</v>
      </c>
      <c r="E4592" t="s">
        <v>376</v>
      </c>
      <c r="F4592" t="s">
        <v>533</v>
      </c>
      <c r="G4592" t="s">
        <v>319</v>
      </c>
      <c r="H4592" s="502">
        <v>52397</v>
      </c>
      <c r="I4592" s="415"/>
      <c r="J4592" s="415"/>
      <c r="K4592" s="415"/>
      <c r="L4592" s="415">
        <v>0</v>
      </c>
      <c r="M4592" s="415">
        <v>0</v>
      </c>
      <c r="N4592" s="415">
        <v>1640</v>
      </c>
      <c r="O4592" s="415">
        <v>0</v>
      </c>
      <c r="P4592" s="415">
        <v>0</v>
      </c>
      <c r="Q4592" s="481">
        <f t="shared" si="117"/>
        <v>0</v>
      </c>
    </row>
    <row r="4593" spans="1:17" x14ac:dyDescent="0.3">
      <c r="A4593" s="430" t="str">
        <f>IFERROR(VLOOKUP(RIGHT(E4593,3)+0,[1]SchLocTable!$A$2:$B$47,2,FALSE)," ")</f>
        <v>Roosevelt</v>
      </c>
      <c r="B4593" s="430" t="str">
        <f>VLOOKUP(VALUE(D4593),$D$3:F$106,3,FALSE)</f>
        <v>Elementary Classroom</v>
      </c>
      <c r="C4593" t="s">
        <v>314</v>
      </c>
      <c r="D4593" t="s">
        <v>1329</v>
      </c>
      <c r="E4593" t="s">
        <v>377</v>
      </c>
      <c r="F4593" t="s">
        <v>324</v>
      </c>
      <c r="G4593" t="s">
        <v>319</v>
      </c>
      <c r="H4593" s="502">
        <v>52385</v>
      </c>
      <c r="I4593" s="415"/>
      <c r="J4593" s="415"/>
      <c r="K4593" s="415"/>
      <c r="L4593" s="415">
        <v>0</v>
      </c>
      <c r="M4593" s="415">
        <v>0</v>
      </c>
      <c r="N4593" s="415">
        <v>691.3</v>
      </c>
      <c r="O4593" s="415">
        <v>1272.24</v>
      </c>
      <c r="P4593" s="415">
        <v>0</v>
      </c>
      <c r="Q4593" s="481">
        <f t="shared" si="117"/>
        <v>0</v>
      </c>
    </row>
    <row r="4594" spans="1:17" x14ac:dyDescent="0.3">
      <c r="A4594" s="430" t="str">
        <f>IFERROR(VLOOKUP(RIGHT(E4594,3)+0,[1]SchLocTable!$A$2:$B$47,2,FALSE)," ")</f>
        <v>Johnson</v>
      </c>
      <c r="B4594" s="430" t="str">
        <f>VLOOKUP(VALUE(D4594),$D$3:F$106,3,FALSE)</f>
        <v>Elementary Classroom</v>
      </c>
      <c r="C4594" t="s">
        <v>314</v>
      </c>
      <c r="D4594" t="s">
        <v>1329</v>
      </c>
      <c r="E4594" t="s">
        <v>380</v>
      </c>
      <c r="F4594" t="s">
        <v>329</v>
      </c>
      <c r="G4594" t="s">
        <v>319</v>
      </c>
      <c r="H4594" s="502" t="s">
        <v>1240</v>
      </c>
      <c r="I4594" s="415">
        <v>0</v>
      </c>
      <c r="J4594" s="415">
        <v>0</v>
      </c>
      <c r="K4594" s="415">
        <v>0</v>
      </c>
      <c r="L4594" s="415">
        <v>0</v>
      </c>
      <c r="M4594" s="415">
        <v>0</v>
      </c>
      <c r="N4594" s="415">
        <v>0</v>
      </c>
      <c r="O4594" s="415">
        <v>8125</v>
      </c>
      <c r="P4594" s="415">
        <v>0</v>
      </c>
      <c r="Q4594" s="481">
        <f t="shared" si="117"/>
        <v>0</v>
      </c>
    </row>
    <row r="4595" spans="1:17" x14ac:dyDescent="0.3">
      <c r="A4595" s="430" t="str">
        <f>IFERROR(VLOOKUP(RIGHT(E4595,3)+0,[1]SchLocTable!$A$2:$B$47,2,FALSE)," ")</f>
        <v>Bridgeport Learning Center</v>
      </c>
      <c r="B4595" s="430" t="str">
        <f>VLOOKUP(VALUE(D4595),$D$3:F$106,3,FALSE)</f>
        <v>Elementary Classroom</v>
      </c>
      <c r="C4595" t="s">
        <v>314</v>
      </c>
      <c r="D4595" t="s">
        <v>1329</v>
      </c>
      <c r="E4595" t="s">
        <v>1377</v>
      </c>
      <c r="F4595" t="s">
        <v>316</v>
      </c>
      <c r="G4595" t="s">
        <v>319</v>
      </c>
      <c r="H4595" s="502" t="s">
        <v>1232</v>
      </c>
      <c r="I4595" s="415">
        <v>0</v>
      </c>
      <c r="J4595" s="415">
        <v>0</v>
      </c>
      <c r="K4595" s="415">
        <v>0</v>
      </c>
      <c r="L4595" s="415">
        <v>0</v>
      </c>
      <c r="M4595" s="415">
        <v>0</v>
      </c>
      <c r="N4595" s="415">
        <v>0</v>
      </c>
      <c r="O4595" s="415">
        <v>0</v>
      </c>
      <c r="P4595" s="415">
        <v>59392.06</v>
      </c>
      <c r="Q4595" s="481">
        <f t="shared" si="117"/>
        <v>0</v>
      </c>
    </row>
    <row r="4596" spans="1:17" x14ac:dyDescent="0.3">
      <c r="A4596" s="430" t="str">
        <f>IFERROR(VLOOKUP(RIGHT(E4596,3)+0,[1]SchLocTable!$A$2:$B$47,2,FALSE)," ")</f>
        <v>Bridgeport Learning Center</v>
      </c>
      <c r="B4596" s="430" t="str">
        <f>VLOOKUP(VALUE(D4596),$D$3:F$106,3,FALSE)</f>
        <v>Elementary Classroom</v>
      </c>
      <c r="C4596" t="s">
        <v>314</v>
      </c>
      <c r="D4596" t="s">
        <v>1329</v>
      </c>
      <c r="E4596" t="s">
        <v>1377</v>
      </c>
      <c r="F4596" t="s">
        <v>321</v>
      </c>
      <c r="G4596" t="s">
        <v>319</v>
      </c>
      <c r="H4596" s="502" t="s">
        <v>1248</v>
      </c>
      <c r="I4596" s="415">
        <v>0</v>
      </c>
      <c r="J4596" s="415">
        <v>0</v>
      </c>
      <c r="K4596" s="415">
        <v>0</v>
      </c>
      <c r="L4596" s="415">
        <v>0</v>
      </c>
      <c r="M4596" s="415">
        <v>0</v>
      </c>
      <c r="N4596" s="415">
        <v>0</v>
      </c>
      <c r="O4596" s="415">
        <v>0</v>
      </c>
      <c r="P4596" s="415">
        <v>9245.67</v>
      </c>
      <c r="Q4596" s="481">
        <f t="shared" si="117"/>
        <v>0</v>
      </c>
    </row>
    <row r="4597" spans="1:17" x14ac:dyDescent="0.3">
      <c r="A4597" s="430" t="str">
        <f>IFERROR(VLOOKUP(RIGHT(E4597,3)+0,[1]SchLocTable!$A$2:$B$47,2,FALSE)," ")</f>
        <v>Bridgeport Learning Center</v>
      </c>
      <c r="B4597" s="430" t="str">
        <f>VLOOKUP(VALUE(D4597),$D$3:F$106,3,FALSE)</f>
        <v>Elementary Classroom</v>
      </c>
      <c r="C4597" t="s">
        <v>314</v>
      </c>
      <c r="D4597" t="s">
        <v>1329</v>
      </c>
      <c r="E4597" t="s">
        <v>1377</v>
      </c>
      <c r="F4597" t="s">
        <v>318</v>
      </c>
      <c r="G4597" t="s">
        <v>319</v>
      </c>
      <c r="H4597" s="502" t="s">
        <v>1239</v>
      </c>
      <c r="I4597" s="415">
        <v>0</v>
      </c>
      <c r="J4597" s="415">
        <v>0</v>
      </c>
      <c r="K4597" s="415">
        <v>0</v>
      </c>
      <c r="L4597" s="415">
        <v>0</v>
      </c>
      <c r="M4597" s="415">
        <v>0</v>
      </c>
      <c r="N4597" s="415">
        <v>0</v>
      </c>
      <c r="O4597" s="415">
        <v>0</v>
      </c>
      <c r="P4597" s="415">
        <v>900</v>
      </c>
      <c r="Q4597" s="481">
        <f t="shared" si="117"/>
        <v>0</v>
      </c>
    </row>
    <row r="4598" spans="1:17" x14ac:dyDescent="0.3">
      <c r="A4598" s="430" t="str">
        <f>IFERROR(VLOOKUP(RIGHT(E4598,3)+0,[1]SchLocTable!$A$2:$B$47,2,FALSE)," ")</f>
        <v>Bridgeport Learning Center</v>
      </c>
      <c r="B4598" s="430" t="str">
        <f>VLOOKUP(VALUE(D4598),$D$3:F$106,3,FALSE)</f>
        <v>Elementary Classroom</v>
      </c>
      <c r="C4598" t="s">
        <v>314</v>
      </c>
      <c r="D4598" t="s">
        <v>1329</v>
      </c>
      <c r="E4598" t="s">
        <v>1377</v>
      </c>
      <c r="F4598" t="s">
        <v>320</v>
      </c>
      <c r="G4598" t="s">
        <v>319</v>
      </c>
      <c r="H4598" s="502" t="s">
        <v>1245</v>
      </c>
      <c r="I4598" s="415">
        <v>0</v>
      </c>
      <c r="J4598" s="415">
        <v>0</v>
      </c>
      <c r="K4598" s="415">
        <v>0</v>
      </c>
      <c r="L4598" s="415">
        <v>0</v>
      </c>
      <c r="M4598" s="415">
        <v>0</v>
      </c>
      <c r="N4598" s="415">
        <v>0</v>
      </c>
      <c r="O4598" s="415">
        <v>0</v>
      </c>
      <c r="P4598" s="415">
        <v>839.61</v>
      </c>
      <c r="Q4598" s="481">
        <f t="shared" si="117"/>
        <v>0</v>
      </c>
    </row>
    <row r="4599" spans="1:17" x14ac:dyDescent="0.3">
      <c r="A4599" s="430" t="str">
        <f>IFERROR(VLOOKUP(RIGHT(E4599,3)+0,[1]SchLocTable!$A$2:$B$47,2,FALSE)," ")</f>
        <v>Barnum</v>
      </c>
      <c r="B4599" s="430" t="str">
        <f>VLOOKUP(VALUE(D4599),$D$3:F$106,3,FALSE)</f>
        <v>School Clericals</v>
      </c>
      <c r="C4599" t="s">
        <v>314</v>
      </c>
      <c r="D4599" t="s">
        <v>1330</v>
      </c>
      <c r="E4599" t="s">
        <v>415</v>
      </c>
      <c r="F4599" t="s">
        <v>419</v>
      </c>
      <c r="G4599" t="s">
        <v>319</v>
      </c>
      <c r="H4599" s="502">
        <v>51318</v>
      </c>
      <c r="I4599" s="415"/>
      <c r="J4599" s="415"/>
      <c r="K4599" s="415"/>
      <c r="L4599" s="415">
        <v>0</v>
      </c>
      <c r="M4599" s="415">
        <v>0</v>
      </c>
      <c r="N4599" s="415">
        <v>182.27</v>
      </c>
      <c r="O4599" s="415">
        <v>0</v>
      </c>
      <c r="P4599" s="415">
        <v>0</v>
      </c>
      <c r="Q4599" s="481">
        <f t="shared" si="117"/>
        <v>0</v>
      </c>
    </row>
    <row r="4600" spans="1:17" x14ac:dyDescent="0.3">
      <c r="A4600" s="430" t="str">
        <f>IFERROR(VLOOKUP(RIGHT(E4600,3)+0,[1]SchLocTable!$A$2:$B$47,2,FALSE)," ")</f>
        <v>Barnum</v>
      </c>
      <c r="B4600" s="430" t="str">
        <f>VLOOKUP(VALUE(D4600),$D$3:F$106,3,FALSE)</f>
        <v>School Clericals</v>
      </c>
      <c r="C4600" t="s">
        <v>314</v>
      </c>
      <c r="D4600" t="s">
        <v>1330</v>
      </c>
      <c r="E4600" t="s">
        <v>415</v>
      </c>
      <c r="F4600" t="s">
        <v>329</v>
      </c>
      <c r="G4600" t="s">
        <v>319</v>
      </c>
      <c r="H4600" s="502">
        <v>51154</v>
      </c>
      <c r="I4600" s="415"/>
      <c r="J4600" s="415"/>
      <c r="K4600" s="415"/>
      <c r="L4600" s="415">
        <v>0</v>
      </c>
      <c r="M4600" s="415">
        <v>0</v>
      </c>
      <c r="N4600" s="415">
        <v>29469.37</v>
      </c>
      <c r="O4600" s="415">
        <v>0</v>
      </c>
      <c r="P4600" s="415">
        <v>0</v>
      </c>
      <c r="Q4600" s="481">
        <f t="shared" si="117"/>
        <v>0</v>
      </c>
    </row>
    <row r="4601" spans="1:17" x14ac:dyDescent="0.3">
      <c r="A4601" s="430" t="str">
        <f>IFERROR(VLOOKUP(RIGHT(E4601,3)+0,[1]SchLocTable!$A$2:$B$47,2,FALSE)," ")</f>
        <v>Barnum</v>
      </c>
      <c r="B4601" s="430" t="str">
        <f>VLOOKUP(VALUE(D4601),$D$3:F$106,3,FALSE)</f>
        <v>School Clericals</v>
      </c>
      <c r="C4601" t="s">
        <v>314</v>
      </c>
      <c r="D4601" t="s">
        <v>1330</v>
      </c>
      <c r="E4601" t="s">
        <v>415</v>
      </c>
      <c r="F4601" t="s">
        <v>418</v>
      </c>
      <c r="G4601" t="s">
        <v>319</v>
      </c>
      <c r="H4601" s="502">
        <v>51314</v>
      </c>
      <c r="I4601" s="415"/>
      <c r="J4601" s="415"/>
      <c r="K4601" s="415"/>
      <c r="L4601" s="415">
        <v>0</v>
      </c>
      <c r="M4601" s="415">
        <v>0</v>
      </c>
      <c r="N4601" s="415">
        <v>4556.74</v>
      </c>
      <c r="O4601" s="415">
        <v>0</v>
      </c>
      <c r="P4601" s="415">
        <v>0</v>
      </c>
      <c r="Q4601" s="481">
        <f t="shared" si="117"/>
        <v>0</v>
      </c>
    </row>
    <row r="4602" spans="1:17" x14ac:dyDescent="0.3">
      <c r="A4602" s="430" t="str">
        <f>IFERROR(VLOOKUP(RIGHT(E4602,3)+0,[1]SchLocTable!$A$2:$B$47,2,FALSE)," ")</f>
        <v>Columbus</v>
      </c>
      <c r="B4602" s="430" t="str">
        <f>VLOOKUP(VALUE(D4602),$D$3:F$106,3,FALSE)</f>
        <v>School Clericals</v>
      </c>
      <c r="C4602" t="s">
        <v>314</v>
      </c>
      <c r="D4602" t="s">
        <v>1330</v>
      </c>
      <c r="E4602" t="s">
        <v>421</v>
      </c>
      <c r="F4602" t="s">
        <v>360</v>
      </c>
      <c r="G4602" t="s">
        <v>319</v>
      </c>
      <c r="H4602" s="502" t="s">
        <v>1249</v>
      </c>
      <c r="I4602" s="415">
        <v>0</v>
      </c>
      <c r="J4602" s="415">
        <v>0</v>
      </c>
      <c r="K4602" s="415">
        <v>0</v>
      </c>
      <c r="L4602" s="415">
        <v>0</v>
      </c>
      <c r="M4602" s="415">
        <v>0</v>
      </c>
      <c r="N4602" s="415">
        <v>0</v>
      </c>
      <c r="O4602" s="415">
        <v>0</v>
      </c>
      <c r="P4602" s="415">
        <v>500</v>
      </c>
      <c r="Q4602" s="481">
        <f t="shared" si="117"/>
        <v>0</v>
      </c>
    </row>
    <row r="4603" spans="1:17" x14ac:dyDescent="0.3">
      <c r="A4603" s="430" t="str">
        <f>IFERROR(VLOOKUP(RIGHT(E4603,3)+0,[1]SchLocTable!$A$2:$B$47,2,FALSE)," ")</f>
        <v>Columbus</v>
      </c>
      <c r="B4603" s="430" t="str">
        <f>VLOOKUP(VALUE(D4603),$D$3:F$106,3,FALSE)</f>
        <v>School Clericals</v>
      </c>
      <c r="C4603" t="s">
        <v>314</v>
      </c>
      <c r="D4603" t="s">
        <v>1330</v>
      </c>
      <c r="E4603" t="s">
        <v>421</v>
      </c>
      <c r="F4603" t="s">
        <v>419</v>
      </c>
      <c r="G4603" t="s">
        <v>319</v>
      </c>
      <c r="H4603" s="502" t="s">
        <v>1243</v>
      </c>
      <c r="I4603" s="415">
        <v>0</v>
      </c>
      <c r="J4603" s="415">
        <v>0</v>
      </c>
      <c r="K4603" s="415">
        <v>0</v>
      </c>
      <c r="L4603" s="415">
        <v>0</v>
      </c>
      <c r="M4603" s="415">
        <v>0</v>
      </c>
      <c r="N4603" s="415">
        <v>0</v>
      </c>
      <c r="O4603" s="415">
        <v>683.54</v>
      </c>
      <c r="P4603" s="415">
        <v>717.08</v>
      </c>
      <c r="Q4603" s="481">
        <f t="shared" si="117"/>
        <v>0</v>
      </c>
    </row>
    <row r="4604" spans="1:17" x14ac:dyDescent="0.3">
      <c r="A4604" s="430" t="str">
        <f>IFERROR(VLOOKUP(RIGHT(E4604,3)+0,[1]SchLocTable!$A$2:$B$47,2,FALSE)," ")</f>
        <v>Columbus</v>
      </c>
      <c r="B4604" s="430" t="str">
        <f>VLOOKUP(VALUE(D4604),$D$3:F$106,3,FALSE)</f>
        <v>School Clericals</v>
      </c>
      <c r="C4604" t="s">
        <v>314</v>
      </c>
      <c r="D4604" t="s">
        <v>1330</v>
      </c>
      <c r="E4604" t="s">
        <v>421</v>
      </c>
      <c r="F4604" t="s">
        <v>329</v>
      </c>
      <c r="G4604" t="s">
        <v>319</v>
      </c>
      <c r="H4604" s="502" t="s">
        <v>1240</v>
      </c>
      <c r="I4604" s="415">
        <v>0</v>
      </c>
      <c r="J4604" s="415">
        <v>0</v>
      </c>
      <c r="K4604" s="415">
        <v>0</v>
      </c>
      <c r="L4604" s="415">
        <v>0</v>
      </c>
      <c r="M4604" s="415">
        <v>0</v>
      </c>
      <c r="N4604" s="415">
        <v>0</v>
      </c>
      <c r="O4604" s="415">
        <v>5468.32</v>
      </c>
      <c r="P4604" s="415">
        <v>3630.22</v>
      </c>
      <c r="Q4604" s="481">
        <f t="shared" si="117"/>
        <v>0</v>
      </c>
    </row>
    <row r="4605" spans="1:17" x14ac:dyDescent="0.3">
      <c r="A4605" s="430" t="str">
        <f>IFERROR(VLOOKUP(RIGHT(E4605,3)+0,[1]SchLocTable!$A$2:$B$47,2,FALSE)," ")</f>
        <v>Columbus</v>
      </c>
      <c r="B4605" s="430" t="str">
        <f>VLOOKUP(VALUE(D4605),$D$3:F$106,3,FALSE)</f>
        <v>School Clericals</v>
      </c>
      <c r="C4605" t="s">
        <v>314</v>
      </c>
      <c r="D4605" t="s">
        <v>1330</v>
      </c>
      <c r="E4605" t="s">
        <v>421</v>
      </c>
      <c r="F4605" t="s">
        <v>418</v>
      </c>
      <c r="G4605" t="s">
        <v>319</v>
      </c>
      <c r="H4605" s="502" t="s">
        <v>1242</v>
      </c>
      <c r="I4605" s="415">
        <v>0</v>
      </c>
      <c r="J4605" s="415">
        <v>0</v>
      </c>
      <c r="K4605" s="415">
        <v>0</v>
      </c>
      <c r="L4605" s="415">
        <v>0</v>
      </c>
      <c r="M4605" s="415">
        <v>0</v>
      </c>
      <c r="N4605" s="415">
        <v>0</v>
      </c>
      <c r="O4605" s="415">
        <v>4272.13</v>
      </c>
      <c r="P4605" s="415">
        <v>4123.21</v>
      </c>
      <c r="Q4605" s="481">
        <f t="shared" si="117"/>
        <v>0</v>
      </c>
    </row>
    <row r="4606" spans="1:17" x14ac:dyDescent="0.3">
      <c r="A4606" s="430" t="str">
        <f>IFERROR(VLOOKUP(RIGHT(E4606,3)+0,[1]SchLocTable!$A$2:$B$47,2,FALSE)," ")</f>
        <v>Hooker</v>
      </c>
      <c r="B4606" s="430" t="str">
        <f>VLOOKUP(VALUE(D4606),$D$3:F$106,3,FALSE)</f>
        <v>School Clericals</v>
      </c>
      <c r="C4606" t="s">
        <v>314</v>
      </c>
      <c r="D4606" t="s">
        <v>1330</v>
      </c>
      <c r="E4606" t="s">
        <v>428</v>
      </c>
      <c r="F4606" t="s">
        <v>356</v>
      </c>
      <c r="G4606" t="s">
        <v>319</v>
      </c>
      <c r="H4606" s="502" t="s">
        <v>1241</v>
      </c>
      <c r="I4606" s="415">
        <v>0</v>
      </c>
      <c r="J4606" s="415">
        <v>0</v>
      </c>
      <c r="K4606" s="415">
        <v>0</v>
      </c>
      <c r="L4606" s="415">
        <v>0</v>
      </c>
      <c r="M4606" s="415">
        <v>0</v>
      </c>
      <c r="N4606" s="415">
        <v>0</v>
      </c>
      <c r="O4606" s="415">
        <v>1828.34</v>
      </c>
      <c r="P4606" s="415">
        <v>0</v>
      </c>
      <c r="Q4606" s="481">
        <f t="shared" si="117"/>
        <v>0</v>
      </c>
    </row>
    <row r="4607" spans="1:17" x14ac:dyDescent="0.3">
      <c r="A4607" s="430" t="str">
        <f>IFERROR(VLOOKUP(RIGHT(E4607,3)+0,[1]SchLocTable!$A$2:$B$47,2,FALSE)," ")</f>
        <v>Batalla</v>
      </c>
      <c r="B4607" s="430" t="str">
        <f>VLOOKUP(VALUE(D4607),$D$3:F$106,3,FALSE)</f>
        <v>School Clericals</v>
      </c>
      <c r="C4607" t="s">
        <v>314</v>
      </c>
      <c r="D4607" t="s">
        <v>1330</v>
      </c>
      <c r="E4607" t="s">
        <v>429</v>
      </c>
      <c r="F4607" t="s">
        <v>356</v>
      </c>
      <c r="G4607" t="s">
        <v>319</v>
      </c>
      <c r="H4607" s="502">
        <v>51156</v>
      </c>
      <c r="I4607" s="415"/>
      <c r="J4607" s="415"/>
      <c r="K4607" s="415"/>
      <c r="L4607" s="415">
        <v>0</v>
      </c>
      <c r="M4607" s="415">
        <v>0</v>
      </c>
      <c r="N4607" s="415">
        <v>928.07</v>
      </c>
      <c r="O4607" s="415">
        <v>1797.52</v>
      </c>
      <c r="P4607" s="415">
        <v>1776.55</v>
      </c>
      <c r="Q4607" s="481">
        <f t="shared" ref="Q4607:Q4670" si="118">J4607-I4607</f>
        <v>0</v>
      </c>
    </row>
    <row r="4608" spans="1:17" x14ac:dyDescent="0.3">
      <c r="A4608" s="430" t="str">
        <f>IFERROR(VLOOKUP(RIGHT(E4608,3)+0,[1]SchLocTable!$A$2:$B$47,2,FALSE)," ")</f>
        <v>BMA HS</v>
      </c>
      <c r="B4608" s="430" t="str">
        <f>VLOOKUP(VALUE(D4608),$D$3:F$106,3,FALSE)</f>
        <v>School Clericals</v>
      </c>
      <c r="C4608" t="s">
        <v>314</v>
      </c>
      <c r="D4608" t="s">
        <v>1330</v>
      </c>
      <c r="E4608" t="s">
        <v>431</v>
      </c>
      <c r="F4608" t="s">
        <v>356</v>
      </c>
      <c r="G4608" t="s">
        <v>319</v>
      </c>
      <c r="H4608" s="502">
        <v>51156</v>
      </c>
      <c r="I4608" s="415"/>
      <c r="J4608" s="415"/>
      <c r="K4608" s="415"/>
      <c r="L4608" s="415">
        <v>0</v>
      </c>
      <c r="M4608" s="415">
        <v>0</v>
      </c>
      <c r="N4608" s="415">
        <v>914.23</v>
      </c>
      <c r="O4608" s="415">
        <v>0</v>
      </c>
      <c r="P4608" s="415">
        <v>0</v>
      </c>
      <c r="Q4608" s="481">
        <f t="shared" si="118"/>
        <v>0</v>
      </c>
    </row>
    <row r="4609" spans="1:17" x14ac:dyDescent="0.3">
      <c r="A4609" s="430" t="str">
        <f>IFERROR(VLOOKUP(RIGHT(E4609,3)+0,[1]SchLocTable!$A$2:$B$47,2,FALSE)," ")</f>
        <v>Park City Magnet</v>
      </c>
      <c r="B4609" s="430" t="str">
        <f>VLOOKUP(VALUE(D4609),$D$3:F$106,3,FALSE)</f>
        <v>School Clericals</v>
      </c>
      <c r="C4609" t="s">
        <v>314</v>
      </c>
      <c r="D4609" t="s">
        <v>1330</v>
      </c>
      <c r="E4609" t="s">
        <v>432</v>
      </c>
      <c r="F4609" t="s">
        <v>324</v>
      </c>
      <c r="G4609" t="s">
        <v>319</v>
      </c>
      <c r="H4609" s="502">
        <v>52385</v>
      </c>
      <c r="I4609" s="415"/>
      <c r="J4609" s="415"/>
      <c r="K4609" s="415"/>
      <c r="L4609" s="415">
        <v>0</v>
      </c>
      <c r="M4609" s="415">
        <v>0</v>
      </c>
      <c r="N4609" s="415">
        <v>1129.3900000000001</v>
      </c>
      <c r="O4609" s="415">
        <v>0</v>
      </c>
      <c r="P4609" s="415">
        <v>0</v>
      </c>
      <c r="Q4609" s="481">
        <f t="shared" si="118"/>
        <v>0</v>
      </c>
    </row>
    <row r="4610" spans="1:17" x14ac:dyDescent="0.3">
      <c r="A4610" s="430" t="str">
        <f>IFERROR(VLOOKUP(RIGHT(E4610,3)+0,[1]SchLocTable!$A$2:$B$47,2,FALSE)," ")</f>
        <v>Read</v>
      </c>
      <c r="B4610" s="430" t="str">
        <f>VLOOKUP(VALUE(D4610),$D$3:F$106,3,FALSE)</f>
        <v>School Clericals</v>
      </c>
      <c r="C4610" t="s">
        <v>314</v>
      </c>
      <c r="D4610" t="s">
        <v>1330</v>
      </c>
      <c r="E4610" t="s">
        <v>437</v>
      </c>
      <c r="F4610" t="s">
        <v>419</v>
      </c>
      <c r="G4610" t="s">
        <v>319</v>
      </c>
      <c r="H4610" s="502">
        <v>51318</v>
      </c>
      <c r="I4610" s="415"/>
      <c r="J4610" s="415"/>
      <c r="K4610" s="415"/>
      <c r="L4610" s="415">
        <v>0</v>
      </c>
      <c r="M4610" s="415">
        <v>0</v>
      </c>
      <c r="N4610" s="415">
        <v>704.24</v>
      </c>
      <c r="O4610" s="415">
        <v>0</v>
      </c>
      <c r="P4610" s="415">
        <v>0</v>
      </c>
      <c r="Q4610" s="481">
        <f t="shared" si="118"/>
        <v>0</v>
      </c>
    </row>
    <row r="4611" spans="1:17" x14ac:dyDescent="0.3">
      <c r="A4611" s="430" t="str">
        <f>IFERROR(VLOOKUP(RIGHT(E4611,3)+0,[1]SchLocTable!$A$2:$B$47,2,FALSE)," ")</f>
        <v>Read</v>
      </c>
      <c r="B4611" s="430" t="str">
        <f>VLOOKUP(VALUE(D4611),$D$3:F$106,3,FALSE)</f>
        <v>School Clericals</v>
      </c>
      <c r="C4611" t="s">
        <v>314</v>
      </c>
      <c r="D4611" t="s">
        <v>1330</v>
      </c>
      <c r="E4611" t="s">
        <v>437</v>
      </c>
      <c r="F4611" t="s">
        <v>324</v>
      </c>
      <c r="G4611" t="s">
        <v>319</v>
      </c>
      <c r="H4611" s="502">
        <v>52385</v>
      </c>
      <c r="I4611" s="415"/>
      <c r="J4611" s="415"/>
      <c r="K4611" s="415"/>
      <c r="L4611" s="415">
        <v>0</v>
      </c>
      <c r="M4611" s="415">
        <v>0</v>
      </c>
      <c r="N4611" s="415">
        <v>1191.04</v>
      </c>
      <c r="O4611" s="415">
        <v>0</v>
      </c>
      <c r="P4611" s="415">
        <v>0</v>
      </c>
      <c r="Q4611" s="481">
        <f t="shared" si="118"/>
        <v>0</v>
      </c>
    </row>
    <row r="4612" spans="1:17" x14ac:dyDescent="0.3">
      <c r="A4612" s="430" t="str">
        <f>IFERROR(VLOOKUP(RIGHT(E4612,3)+0,[1]SchLocTable!$A$2:$B$47,2,FALSE)," ")</f>
        <v>Read</v>
      </c>
      <c r="B4612" s="430" t="str">
        <f>VLOOKUP(VALUE(D4612),$D$3:F$106,3,FALSE)</f>
        <v>School Clericals</v>
      </c>
      <c r="C4612" t="s">
        <v>314</v>
      </c>
      <c r="D4612" t="s">
        <v>1330</v>
      </c>
      <c r="E4612" t="s">
        <v>437</v>
      </c>
      <c r="F4612" t="s">
        <v>418</v>
      </c>
      <c r="G4612" t="s">
        <v>319</v>
      </c>
      <c r="H4612" s="502">
        <v>51314</v>
      </c>
      <c r="I4612" s="415"/>
      <c r="J4612" s="415"/>
      <c r="K4612" s="415"/>
      <c r="L4612" s="415">
        <v>0</v>
      </c>
      <c r="M4612" s="415">
        <v>0</v>
      </c>
      <c r="N4612" s="415">
        <v>1787.7</v>
      </c>
      <c r="O4612" s="415">
        <v>0</v>
      </c>
      <c r="P4612" s="415">
        <v>0</v>
      </c>
      <c r="Q4612" s="481">
        <f t="shared" si="118"/>
        <v>0</v>
      </c>
    </row>
    <row r="4613" spans="1:17" x14ac:dyDescent="0.3">
      <c r="A4613" s="430" t="str">
        <f>IFERROR(VLOOKUP(RIGHT(E4613,3)+0,[1]SchLocTable!$A$2:$B$47,2,FALSE)," ")</f>
        <v>Johnson</v>
      </c>
      <c r="B4613" s="430" t="str">
        <f>VLOOKUP(VALUE(D4613),$D$3:F$106,3,FALSE)</f>
        <v>School Clericals</v>
      </c>
      <c r="C4613" t="s">
        <v>314</v>
      </c>
      <c r="D4613" t="s">
        <v>1330</v>
      </c>
      <c r="E4613" t="s">
        <v>442</v>
      </c>
      <c r="F4613" t="s">
        <v>356</v>
      </c>
      <c r="G4613" t="s">
        <v>319</v>
      </c>
      <c r="H4613" s="502" t="s">
        <v>1241</v>
      </c>
      <c r="I4613" s="415">
        <v>0</v>
      </c>
      <c r="J4613" s="415">
        <v>0</v>
      </c>
      <c r="K4613" s="415">
        <v>0</v>
      </c>
      <c r="L4613" s="415">
        <v>0</v>
      </c>
      <c r="M4613" s="415">
        <v>0</v>
      </c>
      <c r="N4613" s="415">
        <v>0</v>
      </c>
      <c r="O4613" s="415">
        <v>867.87</v>
      </c>
      <c r="P4613" s="415">
        <v>0</v>
      </c>
      <c r="Q4613" s="481">
        <f t="shared" si="118"/>
        <v>0</v>
      </c>
    </row>
    <row r="4614" spans="1:17" x14ac:dyDescent="0.3">
      <c r="A4614" s="430" t="str">
        <f>IFERROR(VLOOKUP(RIGHT(E4614,3)+0,[1]SchLocTable!$A$2:$B$47,2,FALSE)," ")</f>
        <v>High Horizons Magnet</v>
      </c>
      <c r="B4614" s="430" t="str">
        <f>VLOOKUP(VALUE(D4614),$D$3:F$106,3,FALSE)</f>
        <v>School Clericals</v>
      </c>
      <c r="C4614" t="s">
        <v>314</v>
      </c>
      <c r="D4614" t="s">
        <v>1330</v>
      </c>
      <c r="E4614" t="s">
        <v>449</v>
      </c>
      <c r="F4614" t="s">
        <v>419</v>
      </c>
      <c r="G4614" t="s">
        <v>319</v>
      </c>
      <c r="H4614" s="502" t="s">
        <v>1243</v>
      </c>
      <c r="I4614" s="415">
        <v>0</v>
      </c>
      <c r="J4614" s="415">
        <v>0</v>
      </c>
      <c r="K4614" s="415">
        <v>0</v>
      </c>
      <c r="L4614" s="415">
        <v>0</v>
      </c>
      <c r="M4614" s="415">
        <v>0</v>
      </c>
      <c r="N4614" s="415">
        <v>0</v>
      </c>
      <c r="O4614" s="415">
        <v>731.38</v>
      </c>
      <c r="P4614" s="415">
        <v>0</v>
      </c>
      <c r="Q4614" s="481">
        <f t="shared" si="118"/>
        <v>0</v>
      </c>
    </row>
    <row r="4615" spans="1:17" x14ac:dyDescent="0.3">
      <c r="A4615" s="430" t="str">
        <f>IFERROR(VLOOKUP(RIGHT(E4615,3)+0,[1]SchLocTable!$A$2:$B$47,2,FALSE)," ")</f>
        <v>High Horizons Magnet</v>
      </c>
      <c r="B4615" s="430" t="str">
        <f>VLOOKUP(VALUE(D4615),$D$3:F$106,3,FALSE)</f>
        <v>School Clericals</v>
      </c>
      <c r="C4615" t="s">
        <v>314</v>
      </c>
      <c r="D4615" t="s">
        <v>1330</v>
      </c>
      <c r="E4615" t="s">
        <v>449</v>
      </c>
      <c r="F4615" t="s">
        <v>329</v>
      </c>
      <c r="G4615" t="s">
        <v>319</v>
      </c>
      <c r="H4615" s="502" t="s">
        <v>1240</v>
      </c>
      <c r="I4615" s="415">
        <v>0</v>
      </c>
      <c r="J4615" s="415">
        <v>0</v>
      </c>
      <c r="K4615" s="415">
        <v>0</v>
      </c>
      <c r="L4615" s="415">
        <v>0</v>
      </c>
      <c r="M4615" s="415">
        <v>0</v>
      </c>
      <c r="N4615" s="415">
        <v>0</v>
      </c>
      <c r="O4615" s="415">
        <v>21770.39</v>
      </c>
      <c r="P4615" s="415">
        <v>0</v>
      </c>
      <c r="Q4615" s="481">
        <f t="shared" si="118"/>
        <v>0</v>
      </c>
    </row>
    <row r="4616" spans="1:17" x14ac:dyDescent="0.3">
      <c r="A4616" s="430" t="str">
        <f>IFERROR(VLOOKUP(RIGHT(E4616,3)+0,[1]SchLocTable!$A$2:$B$47,2,FALSE)," ")</f>
        <v>High Horizons Magnet</v>
      </c>
      <c r="B4616" s="430" t="str">
        <f>VLOOKUP(VALUE(D4616),$D$3:F$106,3,FALSE)</f>
        <v>School Clericals</v>
      </c>
      <c r="C4616" t="s">
        <v>314</v>
      </c>
      <c r="D4616" t="s">
        <v>1330</v>
      </c>
      <c r="E4616" t="s">
        <v>449</v>
      </c>
      <c r="F4616" t="s">
        <v>418</v>
      </c>
      <c r="G4616" t="s">
        <v>319</v>
      </c>
      <c r="H4616" s="502" t="s">
        <v>1242</v>
      </c>
      <c r="I4616" s="415">
        <v>0</v>
      </c>
      <c r="J4616" s="415">
        <v>0</v>
      </c>
      <c r="K4616" s="415">
        <v>0</v>
      </c>
      <c r="L4616" s="415">
        <v>0</v>
      </c>
      <c r="M4616" s="415">
        <v>0</v>
      </c>
      <c r="N4616" s="415">
        <v>0</v>
      </c>
      <c r="O4616" s="415">
        <v>3108.37</v>
      </c>
      <c r="P4616" s="415">
        <v>0</v>
      </c>
      <c r="Q4616" s="481">
        <f t="shared" si="118"/>
        <v>0</v>
      </c>
    </row>
    <row r="4617" spans="1:17" x14ac:dyDescent="0.3">
      <c r="A4617" s="431" t="str">
        <f>IFERROR(VLOOKUP(RIGHT(E4617,3)+0,[1]SchLocTable!$A$2:$B$47,2,FALSE)," ")</f>
        <v>Multicultural Magnet</v>
      </c>
      <c r="B4617" s="431" t="str">
        <f>VLOOKUP(VALUE(D4617),$D$3:F$106,3,FALSE)</f>
        <v>School Clericals</v>
      </c>
      <c r="C4617" t="s">
        <v>314</v>
      </c>
      <c r="D4617" t="s">
        <v>1330</v>
      </c>
      <c r="E4617" t="s">
        <v>450</v>
      </c>
      <c r="F4617" t="s">
        <v>360</v>
      </c>
      <c r="G4617" t="s">
        <v>319</v>
      </c>
      <c r="H4617" s="502" t="s">
        <v>1249</v>
      </c>
      <c r="I4617" s="415">
        <v>0</v>
      </c>
      <c r="J4617" s="415">
        <v>0</v>
      </c>
      <c r="K4617" s="415">
        <v>0</v>
      </c>
      <c r="L4617" s="415">
        <v>0</v>
      </c>
      <c r="M4617" s="415">
        <v>0</v>
      </c>
      <c r="N4617" s="415">
        <v>0</v>
      </c>
      <c r="O4617" s="415">
        <v>0</v>
      </c>
      <c r="P4617" s="415">
        <v>500</v>
      </c>
      <c r="Q4617" s="481">
        <f t="shared" si="118"/>
        <v>0</v>
      </c>
    </row>
    <row r="4618" spans="1:17" x14ac:dyDescent="0.3">
      <c r="A4618" s="431" t="str">
        <f>IFERROR(VLOOKUP(RIGHT(E4618,3)+0,[1]SchLocTable!$A$2:$B$47,2,FALSE)," ")</f>
        <v>Multicultural Magnet</v>
      </c>
      <c r="B4618" s="431" t="str">
        <f>VLOOKUP(VALUE(D4618),$D$3:F$106,3,FALSE)</f>
        <v>School Clericals</v>
      </c>
      <c r="C4618" t="s">
        <v>314</v>
      </c>
      <c r="D4618" t="s">
        <v>1330</v>
      </c>
      <c r="E4618" t="s">
        <v>450</v>
      </c>
      <c r="F4618" t="s">
        <v>356</v>
      </c>
      <c r="G4618" t="s">
        <v>319</v>
      </c>
      <c r="H4618" s="502" t="s">
        <v>1241</v>
      </c>
      <c r="I4618" s="415">
        <v>0</v>
      </c>
      <c r="J4618" s="415">
        <v>0</v>
      </c>
      <c r="K4618" s="415">
        <v>0</v>
      </c>
      <c r="L4618" s="415">
        <v>0</v>
      </c>
      <c r="M4618" s="415">
        <v>0</v>
      </c>
      <c r="N4618" s="415">
        <v>0</v>
      </c>
      <c r="O4618" s="415">
        <v>0</v>
      </c>
      <c r="P4618" s="415">
        <v>1674.71</v>
      </c>
      <c r="Q4618" s="481">
        <f t="shared" si="118"/>
        <v>0</v>
      </c>
    </row>
    <row r="4619" spans="1:17" x14ac:dyDescent="0.3">
      <c r="A4619" s="431" t="str">
        <f>IFERROR(VLOOKUP(RIGHT(E4619,3)+0,[1]SchLocTable!$A$2:$B$47,2,FALSE)," ")</f>
        <v>Central HS</v>
      </c>
      <c r="B4619" s="431" t="str">
        <f>VLOOKUP(VALUE(D4619),$D$3:F$106,3,FALSE)</f>
        <v>School Clericals</v>
      </c>
      <c r="C4619" t="s">
        <v>314</v>
      </c>
      <c r="D4619" t="s">
        <v>1330</v>
      </c>
      <c r="E4619" t="s">
        <v>453</v>
      </c>
      <c r="F4619" t="s">
        <v>419</v>
      </c>
      <c r="G4619" t="s">
        <v>319</v>
      </c>
      <c r="H4619" s="502" t="s">
        <v>1243</v>
      </c>
      <c r="I4619" s="415">
        <v>0</v>
      </c>
      <c r="J4619" s="415">
        <v>0</v>
      </c>
      <c r="K4619" s="415">
        <v>0</v>
      </c>
      <c r="L4619" s="415">
        <v>0</v>
      </c>
      <c r="M4619" s="415">
        <v>0</v>
      </c>
      <c r="N4619" s="415">
        <v>0</v>
      </c>
      <c r="O4619" s="415">
        <v>188.36</v>
      </c>
      <c r="P4619" s="415">
        <v>0</v>
      </c>
      <c r="Q4619" s="481">
        <f t="shared" si="118"/>
        <v>0</v>
      </c>
    </row>
    <row r="4620" spans="1:17" x14ac:dyDescent="0.3">
      <c r="A4620" s="431" t="str">
        <f>IFERROR(VLOOKUP(RIGHT(E4620,3)+0,[1]SchLocTable!$A$2:$B$47,2,FALSE)," ")</f>
        <v>Central HS</v>
      </c>
      <c r="B4620" s="431" t="str">
        <f>VLOOKUP(VALUE(D4620),$D$3:F$106,3,FALSE)</f>
        <v>School Clericals</v>
      </c>
      <c r="C4620" t="s">
        <v>314</v>
      </c>
      <c r="D4620" t="s">
        <v>1330</v>
      </c>
      <c r="E4620" t="s">
        <v>453</v>
      </c>
      <c r="F4620" t="s">
        <v>324</v>
      </c>
      <c r="G4620" t="s">
        <v>319</v>
      </c>
      <c r="H4620" s="502">
        <v>52385</v>
      </c>
      <c r="I4620" s="415"/>
      <c r="J4620" s="415"/>
      <c r="K4620" s="415"/>
      <c r="L4620" s="415">
        <v>0</v>
      </c>
      <c r="M4620" s="415">
        <v>0</v>
      </c>
      <c r="N4620" s="415">
        <v>1142.18</v>
      </c>
      <c r="O4620" s="415">
        <v>0</v>
      </c>
      <c r="P4620" s="415">
        <v>0</v>
      </c>
      <c r="Q4620" s="481">
        <f t="shared" si="118"/>
        <v>0</v>
      </c>
    </row>
    <row r="4621" spans="1:17" x14ac:dyDescent="0.3">
      <c r="A4621" s="431" t="str">
        <f>IFERROR(VLOOKUP(RIGHT(E4621,3)+0,[1]SchLocTable!$A$2:$B$47,2,FALSE)," ")</f>
        <v>Harding HS</v>
      </c>
      <c r="B4621" s="431" t="str">
        <f>VLOOKUP(VALUE(D4621),$D$3:F$106,3,FALSE)</f>
        <v>School Clericals</v>
      </c>
      <c r="C4621" t="s">
        <v>314</v>
      </c>
      <c r="D4621" t="s">
        <v>1330</v>
      </c>
      <c r="E4621" t="s">
        <v>454</v>
      </c>
      <c r="F4621" t="s">
        <v>324</v>
      </c>
      <c r="G4621" t="s">
        <v>319</v>
      </c>
      <c r="H4621" s="502">
        <v>52385</v>
      </c>
      <c r="I4621" s="415"/>
      <c r="J4621" s="415"/>
      <c r="K4621" s="415"/>
      <c r="L4621" s="415">
        <v>0</v>
      </c>
      <c r="M4621" s="415">
        <v>0</v>
      </c>
      <c r="N4621" s="415">
        <v>1133.48</v>
      </c>
      <c r="O4621" s="415">
        <v>1061.79</v>
      </c>
      <c r="P4621" s="415">
        <v>0</v>
      </c>
      <c r="Q4621" s="481">
        <f t="shared" si="118"/>
        <v>0</v>
      </c>
    </row>
    <row r="4622" spans="1:17" x14ac:dyDescent="0.3">
      <c r="A4622" s="431" t="str">
        <f>IFERROR(VLOOKUP(RIGHT(E4622,3)+0,[1]SchLocTable!$A$2:$B$47,2,FALSE)," ")</f>
        <v>FCW campus</v>
      </c>
      <c r="B4622" s="431" t="str">
        <f>VLOOKUP(VALUE(D4622),$D$3:F$106,3,FALSE)</f>
        <v>School Clericals</v>
      </c>
      <c r="C4622" t="s">
        <v>314</v>
      </c>
      <c r="D4622" t="s">
        <v>1330</v>
      </c>
      <c r="E4622" t="s">
        <v>455</v>
      </c>
      <c r="F4622" t="s">
        <v>316</v>
      </c>
      <c r="G4622" t="s">
        <v>319</v>
      </c>
      <c r="H4622" s="502" t="s">
        <v>1232</v>
      </c>
      <c r="I4622" s="415">
        <v>0</v>
      </c>
      <c r="J4622" s="415">
        <v>0</v>
      </c>
      <c r="K4622" s="415">
        <v>0</v>
      </c>
      <c r="L4622" s="415">
        <v>0</v>
      </c>
      <c r="M4622" s="415">
        <v>0</v>
      </c>
      <c r="N4622" s="415">
        <v>0</v>
      </c>
      <c r="O4622" s="415">
        <v>0</v>
      </c>
      <c r="P4622" s="415">
        <v>7719.64</v>
      </c>
      <c r="Q4622" s="481">
        <f t="shared" si="118"/>
        <v>0</v>
      </c>
    </row>
    <row r="4623" spans="1:17" x14ac:dyDescent="0.3">
      <c r="A4623" s="431" t="str">
        <f>IFERROR(VLOOKUP(RIGHT(E4623,3)+0,[1]SchLocTable!$A$2:$B$47,2,FALSE)," ")</f>
        <v>FCW campus</v>
      </c>
      <c r="B4623" s="431" t="str">
        <f>VLOOKUP(VALUE(D4623),$D$3:F$106,3,FALSE)</f>
        <v>School Clericals</v>
      </c>
      <c r="C4623" t="s">
        <v>314</v>
      </c>
      <c r="D4623" t="s">
        <v>1330</v>
      </c>
      <c r="E4623" t="s">
        <v>455</v>
      </c>
      <c r="F4623" t="s">
        <v>321</v>
      </c>
      <c r="G4623" t="s">
        <v>319</v>
      </c>
      <c r="H4623" s="502" t="s">
        <v>1248</v>
      </c>
      <c r="I4623" s="415">
        <v>0</v>
      </c>
      <c r="J4623" s="415">
        <v>0</v>
      </c>
      <c r="K4623" s="415">
        <v>0</v>
      </c>
      <c r="L4623" s="415">
        <v>0</v>
      </c>
      <c r="M4623" s="415">
        <v>0</v>
      </c>
      <c r="N4623" s="415">
        <v>0</v>
      </c>
      <c r="O4623" s="415">
        <v>0</v>
      </c>
      <c r="P4623" s="415">
        <v>1233.1199999999999</v>
      </c>
      <c r="Q4623" s="481">
        <f t="shared" si="118"/>
        <v>0</v>
      </c>
    </row>
    <row r="4624" spans="1:17" x14ac:dyDescent="0.3">
      <c r="A4624" s="431" t="str">
        <f>IFERROR(VLOOKUP(RIGHT(E4624,3)+0,[1]SchLocTable!$A$2:$B$47,2,FALSE)," ")</f>
        <v>Barnum</v>
      </c>
      <c r="B4624" s="431" t="str">
        <f>VLOOKUP(VALUE(D4624),$D$3:F$106,3,FALSE)</f>
        <v>Supplementary Supplies</v>
      </c>
      <c r="C4624" t="s">
        <v>314</v>
      </c>
      <c r="D4624" t="s">
        <v>1331</v>
      </c>
      <c r="E4624" t="s">
        <v>462</v>
      </c>
      <c r="F4624" t="s">
        <v>324</v>
      </c>
      <c r="G4624" t="s">
        <v>319</v>
      </c>
      <c r="H4624" s="502" t="s">
        <v>1246</v>
      </c>
      <c r="I4624" s="415">
        <v>0</v>
      </c>
      <c r="J4624" s="415">
        <v>0</v>
      </c>
      <c r="K4624" s="415">
        <v>0</v>
      </c>
      <c r="L4624" s="415">
        <v>0</v>
      </c>
      <c r="M4624" s="415">
        <v>0</v>
      </c>
      <c r="N4624" s="415">
        <v>0</v>
      </c>
      <c r="O4624" s="415">
        <v>0</v>
      </c>
      <c r="P4624" s="415">
        <v>76.38</v>
      </c>
      <c r="Q4624" s="481">
        <f t="shared" si="118"/>
        <v>0</v>
      </c>
    </row>
    <row r="4625" spans="1:17" x14ac:dyDescent="0.3">
      <c r="A4625" s="431" t="str">
        <f>IFERROR(VLOOKUP(RIGHT(E4625,3)+0,[1]SchLocTable!$A$2:$B$47,2,FALSE)," ")</f>
        <v>Black Rock</v>
      </c>
      <c r="B4625" s="431" t="str">
        <f>VLOOKUP(VALUE(D4625),$D$3:F$106,3,FALSE)</f>
        <v>Supplementary Supplies</v>
      </c>
      <c r="C4625" t="s">
        <v>314</v>
      </c>
      <c r="D4625" t="s">
        <v>1331</v>
      </c>
      <c r="E4625" t="s">
        <v>467</v>
      </c>
      <c r="F4625" t="s">
        <v>334</v>
      </c>
      <c r="G4625" t="s">
        <v>319</v>
      </c>
      <c r="H4625" s="502" t="s">
        <v>1387</v>
      </c>
      <c r="I4625" s="415">
        <v>0</v>
      </c>
      <c r="J4625" s="415">
        <v>0</v>
      </c>
      <c r="K4625" s="415">
        <v>0</v>
      </c>
      <c r="L4625" s="415">
        <v>0</v>
      </c>
      <c r="M4625" s="415">
        <v>0</v>
      </c>
      <c r="N4625" s="415">
        <v>0</v>
      </c>
      <c r="O4625" s="415">
        <v>750</v>
      </c>
      <c r="P4625" s="415">
        <v>0</v>
      </c>
      <c r="Q4625" s="481">
        <f t="shared" si="118"/>
        <v>0</v>
      </c>
    </row>
    <row r="4626" spans="1:17" x14ac:dyDescent="0.3">
      <c r="A4626" s="431" t="str">
        <f>IFERROR(VLOOKUP(RIGHT(E4626,3)+0,[1]SchLocTable!$A$2:$B$47,2,FALSE)," ")</f>
        <v>Black Rock</v>
      </c>
      <c r="B4626" s="431" t="str">
        <f>VLOOKUP(VALUE(D4626),$D$3:F$106,3,FALSE)</f>
        <v>Supplementary Supplies</v>
      </c>
      <c r="C4626" t="s">
        <v>314</v>
      </c>
      <c r="D4626" t="s">
        <v>1331</v>
      </c>
      <c r="E4626" t="s">
        <v>467</v>
      </c>
      <c r="F4626" t="s">
        <v>320</v>
      </c>
      <c r="G4626" t="s">
        <v>319</v>
      </c>
      <c r="H4626" s="502">
        <v>52360</v>
      </c>
      <c r="I4626" s="415"/>
      <c r="J4626" s="415"/>
      <c r="K4626" s="415"/>
      <c r="L4626" s="415">
        <v>0</v>
      </c>
      <c r="M4626" s="415">
        <v>0</v>
      </c>
      <c r="N4626" s="415">
        <v>3.09</v>
      </c>
      <c r="O4626" s="415">
        <v>10.87</v>
      </c>
      <c r="P4626" s="415">
        <v>3.84</v>
      </c>
      <c r="Q4626" s="481">
        <f t="shared" si="118"/>
        <v>0</v>
      </c>
    </row>
    <row r="4627" spans="1:17" x14ac:dyDescent="0.3">
      <c r="A4627" s="431" t="str">
        <f>IFERROR(VLOOKUP(RIGHT(E4627,3)+0,[1]SchLocTable!$A$2:$B$47,2,FALSE)," ")</f>
        <v>Black Rock</v>
      </c>
      <c r="B4627" s="431" t="str">
        <f>VLOOKUP(VALUE(D4627),$D$3:F$106,3,FALSE)</f>
        <v>Supplementary Supplies</v>
      </c>
      <c r="C4627" t="s">
        <v>314</v>
      </c>
      <c r="D4627" t="s">
        <v>1331</v>
      </c>
      <c r="E4627" t="s">
        <v>467</v>
      </c>
      <c r="F4627" t="s">
        <v>392</v>
      </c>
      <c r="G4627" t="s">
        <v>319</v>
      </c>
      <c r="H4627" s="502">
        <v>52504</v>
      </c>
      <c r="I4627" s="415"/>
      <c r="J4627" s="415"/>
      <c r="K4627" s="415"/>
      <c r="L4627" s="415">
        <v>0</v>
      </c>
      <c r="M4627" s="415">
        <v>0</v>
      </c>
      <c r="N4627" s="415">
        <v>40.58</v>
      </c>
      <c r="O4627" s="415">
        <v>0</v>
      </c>
      <c r="P4627" s="415">
        <v>37.659999999999997</v>
      </c>
      <c r="Q4627" s="481">
        <f t="shared" si="118"/>
        <v>0</v>
      </c>
    </row>
    <row r="4628" spans="1:17" x14ac:dyDescent="0.3">
      <c r="A4628" s="431" t="str">
        <f>IFERROR(VLOOKUP(RIGHT(E4628,3)+0,[1]SchLocTable!$A$2:$B$47,2,FALSE)," ")</f>
        <v>Black Rock</v>
      </c>
      <c r="B4628" s="431" t="str">
        <f>VLOOKUP(VALUE(D4628),$D$3:F$106,3,FALSE)</f>
        <v>Supplementary Supplies</v>
      </c>
      <c r="C4628" t="s">
        <v>314</v>
      </c>
      <c r="D4628" t="s">
        <v>1331</v>
      </c>
      <c r="E4628" t="s">
        <v>467</v>
      </c>
      <c r="F4628" t="s">
        <v>452</v>
      </c>
      <c r="G4628" t="s">
        <v>319</v>
      </c>
      <c r="H4628" s="502">
        <v>51108</v>
      </c>
      <c r="I4628" s="415"/>
      <c r="J4628" s="415"/>
      <c r="K4628" s="415"/>
      <c r="L4628" s="415">
        <v>0</v>
      </c>
      <c r="M4628" s="415">
        <v>0</v>
      </c>
      <c r="N4628" s="415">
        <v>132.66</v>
      </c>
      <c r="O4628" s="415">
        <v>0</v>
      </c>
      <c r="P4628" s="415">
        <v>0</v>
      </c>
      <c r="Q4628" s="481">
        <f t="shared" si="118"/>
        <v>0</v>
      </c>
    </row>
    <row r="4629" spans="1:17" x14ac:dyDescent="0.3">
      <c r="A4629" s="431" t="str">
        <f>IFERROR(VLOOKUP(RIGHT(E4629,3)+0,[1]SchLocTable!$A$2:$B$47,2,FALSE)," ")</f>
        <v>Black Rock</v>
      </c>
      <c r="B4629" s="431" t="str">
        <f>VLOOKUP(VALUE(D4629),$D$3:F$106,3,FALSE)</f>
        <v>Supplementary Supplies</v>
      </c>
      <c r="C4629" t="s">
        <v>314</v>
      </c>
      <c r="D4629" t="s">
        <v>1331</v>
      </c>
      <c r="E4629" t="s">
        <v>467</v>
      </c>
      <c r="F4629" t="s">
        <v>483</v>
      </c>
      <c r="G4629" t="s">
        <v>319</v>
      </c>
      <c r="H4629" s="502">
        <v>51122</v>
      </c>
      <c r="I4629" s="415"/>
      <c r="J4629" s="415"/>
      <c r="K4629" s="415"/>
      <c r="L4629" s="415">
        <v>0</v>
      </c>
      <c r="M4629" s="415">
        <v>0</v>
      </c>
      <c r="N4629" s="415">
        <v>80.7</v>
      </c>
      <c r="O4629" s="415">
        <v>0</v>
      </c>
      <c r="P4629" s="415">
        <v>264.68</v>
      </c>
      <c r="Q4629" s="481">
        <f t="shared" si="118"/>
        <v>0</v>
      </c>
    </row>
    <row r="4630" spans="1:17" x14ac:dyDescent="0.3">
      <c r="A4630" s="431" t="str">
        <f>IFERROR(VLOOKUP(RIGHT(E4630,3)+0,[1]SchLocTable!$A$2:$B$47,2,FALSE)," ")</f>
        <v>Columbus</v>
      </c>
      <c r="B4630" s="431" t="str">
        <f>VLOOKUP(VALUE(D4630),$D$3:F$106,3,FALSE)</f>
        <v>Supplementary Supplies</v>
      </c>
      <c r="C4630" t="s">
        <v>314</v>
      </c>
      <c r="D4630" t="s">
        <v>1331</v>
      </c>
      <c r="E4630" t="s">
        <v>470</v>
      </c>
      <c r="F4630" t="s">
        <v>320</v>
      </c>
      <c r="G4630" t="s">
        <v>319</v>
      </c>
      <c r="H4630" s="502" t="s">
        <v>1245</v>
      </c>
      <c r="I4630" s="415">
        <v>0</v>
      </c>
      <c r="J4630" s="415">
        <v>0</v>
      </c>
      <c r="K4630" s="415">
        <v>0</v>
      </c>
      <c r="L4630" s="415">
        <v>0</v>
      </c>
      <c r="M4630" s="415">
        <v>0</v>
      </c>
      <c r="N4630" s="415">
        <v>0</v>
      </c>
      <c r="O4630" s="415">
        <v>0</v>
      </c>
      <c r="P4630" s="415">
        <v>7.7</v>
      </c>
      <c r="Q4630" s="481">
        <f t="shared" si="118"/>
        <v>0</v>
      </c>
    </row>
    <row r="4631" spans="1:17" x14ac:dyDescent="0.3">
      <c r="A4631" s="431" t="str">
        <f>IFERROR(VLOOKUP(RIGHT(E4631,3)+0,[1]SchLocTable!$A$2:$B$47,2,FALSE)," ")</f>
        <v>Columbus</v>
      </c>
      <c r="B4631" s="431" t="str">
        <f>VLOOKUP(VALUE(D4631),$D$3:F$106,3,FALSE)</f>
        <v>Supplementary Supplies</v>
      </c>
      <c r="C4631" t="s">
        <v>314</v>
      </c>
      <c r="D4631" t="s">
        <v>1331</v>
      </c>
      <c r="E4631" t="s">
        <v>470</v>
      </c>
      <c r="F4631" t="s">
        <v>392</v>
      </c>
      <c r="G4631" t="s">
        <v>319</v>
      </c>
      <c r="H4631" s="502" t="s">
        <v>1247</v>
      </c>
      <c r="I4631" s="415">
        <v>0</v>
      </c>
      <c r="J4631" s="415">
        <v>0</v>
      </c>
      <c r="K4631" s="415">
        <v>0</v>
      </c>
      <c r="L4631" s="415">
        <v>0</v>
      </c>
      <c r="M4631" s="415">
        <v>0</v>
      </c>
      <c r="N4631" s="415">
        <v>0</v>
      </c>
      <c r="O4631" s="415">
        <v>0</v>
      </c>
      <c r="P4631" s="415">
        <v>75.66</v>
      </c>
      <c r="Q4631" s="481">
        <f t="shared" si="118"/>
        <v>0</v>
      </c>
    </row>
    <row r="4632" spans="1:17" x14ac:dyDescent="0.3">
      <c r="A4632" s="431" t="str">
        <f>IFERROR(VLOOKUP(RIGHT(E4632,3)+0,[1]SchLocTable!$A$2:$B$47,2,FALSE)," ")</f>
        <v>Columbus</v>
      </c>
      <c r="B4632" s="431" t="str">
        <f>VLOOKUP(VALUE(D4632),$D$3:F$106,3,FALSE)</f>
        <v>Supplementary Supplies</v>
      </c>
      <c r="C4632" t="s">
        <v>314</v>
      </c>
      <c r="D4632" t="s">
        <v>1331</v>
      </c>
      <c r="E4632" t="s">
        <v>470</v>
      </c>
      <c r="F4632" t="s">
        <v>452</v>
      </c>
      <c r="G4632" t="s">
        <v>319</v>
      </c>
      <c r="H4632" s="502" t="s">
        <v>1235</v>
      </c>
      <c r="I4632" s="415">
        <v>0</v>
      </c>
      <c r="J4632" s="415">
        <v>0</v>
      </c>
      <c r="K4632" s="415">
        <v>0</v>
      </c>
      <c r="L4632" s="415">
        <v>0</v>
      </c>
      <c r="M4632" s="415">
        <v>0</v>
      </c>
      <c r="N4632" s="415">
        <v>0</v>
      </c>
      <c r="O4632" s="415">
        <v>0</v>
      </c>
      <c r="P4632" s="415">
        <v>42.39</v>
      </c>
      <c r="Q4632" s="481">
        <f t="shared" si="118"/>
        <v>0</v>
      </c>
    </row>
    <row r="4633" spans="1:17" x14ac:dyDescent="0.3">
      <c r="A4633" s="431" t="str">
        <f>IFERROR(VLOOKUP(RIGHT(E4633,3)+0,[1]SchLocTable!$A$2:$B$47,2,FALSE)," ")</f>
        <v>Columbus</v>
      </c>
      <c r="B4633" s="431" t="str">
        <f>VLOOKUP(VALUE(D4633),$D$3:F$106,3,FALSE)</f>
        <v>Supplementary Supplies</v>
      </c>
      <c r="C4633" t="s">
        <v>314</v>
      </c>
      <c r="D4633" t="s">
        <v>1331</v>
      </c>
      <c r="E4633" t="s">
        <v>470</v>
      </c>
      <c r="F4633" t="s">
        <v>483</v>
      </c>
      <c r="G4633" t="s">
        <v>319</v>
      </c>
      <c r="H4633" s="502" t="s">
        <v>1237</v>
      </c>
      <c r="I4633" s="415">
        <v>0</v>
      </c>
      <c r="J4633" s="415">
        <v>0</v>
      </c>
      <c r="K4633" s="415">
        <v>0</v>
      </c>
      <c r="L4633" s="415">
        <v>0</v>
      </c>
      <c r="M4633" s="415">
        <v>0</v>
      </c>
      <c r="N4633" s="415">
        <v>0</v>
      </c>
      <c r="O4633" s="415">
        <v>0</v>
      </c>
      <c r="P4633" s="415">
        <v>489.28</v>
      </c>
      <c r="Q4633" s="481">
        <f t="shared" si="118"/>
        <v>0</v>
      </c>
    </row>
    <row r="4634" spans="1:17" x14ac:dyDescent="0.3">
      <c r="A4634" s="431" t="str">
        <f>IFERROR(VLOOKUP(RIGHT(E4634,3)+0,[1]SchLocTable!$A$2:$B$47,2,FALSE)," ")</f>
        <v>Physical Science HS</v>
      </c>
      <c r="B4634" s="431" t="str">
        <f>VLOOKUP(VALUE(D4634),$D$3:F$106,3,FALSE)</f>
        <v>Supplementary Supplies</v>
      </c>
      <c r="C4634" t="s">
        <v>314</v>
      </c>
      <c r="D4634" t="s">
        <v>1331</v>
      </c>
      <c r="E4634" t="s">
        <v>472</v>
      </c>
      <c r="F4634" t="s">
        <v>320</v>
      </c>
      <c r="G4634" t="s">
        <v>319</v>
      </c>
      <c r="H4634" s="502" t="s">
        <v>1245</v>
      </c>
      <c r="I4634" s="415">
        <v>0</v>
      </c>
      <c r="J4634" s="415">
        <v>0</v>
      </c>
      <c r="K4634" s="415">
        <v>0</v>
      </c>
      <c r="L4634" s="415">
        <v>0</v>
      </c>
      <c r="M4634" s="415">
        <v>0</v>
      </c>
      <c r="N4634" s="415">
        <v>0</v>
      </c>
      <c r="O4634" s="415">
        <v>0</v>
      </c>
      <c r="P4634" s="415">
        <v>1.1499999999999999</v>
      </c>
      <c r="Q4634" s="481">
        <f t="shared" si="118"/>
        <v>0</v>
      </c>
    </row>
    <row r="4635" spans="1:17" x14ac:dyDescent="0.3">
      <c r="A4635" s="431" t="str">
        <f>IFERROR(VLOOKUP(RIGHT(E4635,3)+0,[1]SchLocTable!$A$2:$B$47,2,FALSE)," ")</f>
        <v>Physical Science HS</v>
      </c>
      <c r="B4635" s="431" t="str">
        <f>VLOOKUP(VALUE(D4635),$D$3:F$106,3,FALSE)</f>
        <v>Supplementary Supplies</v>
      </c>
      <c r="C4635" t="s">
        <v>314</v>
      </c>
      <c r="D4635" t="s">
        <v>1331</v>
      </c>
      <c r="E4635" t="s">
        <v>472</v>
      </c>
      <c r="F4635" t="s">
        <v>392</v>
      </c>
      <c r="G4635" t="s">
        <v>319</v>
      </c>
      <c r="H4635" s="502" t="s">
        <v>1247</v>
      </c>
      <c r="I4635" s="415">
        <v>0</v>
      </c>
      <c r="J4635" s="415">
        <v>0</v>
      </c>
      <c r="K4635" s="415">
        <v>0</v>
      </c>
      <c r="L4635" s="415">
        <v>0</v>
      </c>
      <c r="M4635" s="415">
        <v>0</v>
      </c>
      <c r="N4635" s="415">
        <v>0</v>
      </c>
      <c r="O4635" s="415">
        <v>0</v>
      </c>
      <c r="P4635" s="415">
        <v>11.33</v>
      </c>
      <c r="Q4635" s="481">
        <f t="shared" si="118"/>
        <v>0</v>
      </c>
    </row>
    <row r="4636" spans="1:17" x14ac:dyDescent="0.3">
      <c r="A4636" s="431" t="str">
        <f>IFERROR(VLOOKUP(RIGHT(E4636,3)+0,[1]SchLocTable!$A$2:$B$47,2,FALSE)," ")</f>
        <v>Physical Science HS</v>
      </c>
      <c r="B4636" s="431" t="str">
        <f>VLOOKUP(VALUE(D4636),$D$3:F$106,3,FALSE)</f>
        <v>Supplementary Supplies</v>
      </c>
      <c r="C4636" t="s">
        <v>314</v>
      </c>
      <c r="D4636" t="s">
        <v>1331</v>
      </c>
      <c r="E4636" t="s">
        <v>472</v>
      </c>
      <c r="F4636" t="s">
        <v>483</v>
      </c>
      <c r="G4636" t="s">
        <v>319</v>
      </c>
      <c r="H4636" s="502" t="s">
        <v>1237</v>
      </c>
      <c r="I4636" s="415">
        <v>0</v>
      </c>
      <c r="J4636" s="415">
        <v>0</v>
      </c>
      <c r="K4636" s="415">
        <v>0</v>
      </c>
      <c r="L4636" s="415">
        <v>0</v>
      </c>
      <c r="M4636" s="415">
        <v>0</v>
      </c>
      <c r="N4636" s="415">
        <v>0</v>
      </c>
      <c r="O4636" s="415">
        <v>0</v>
      </c>
      <c r="P4636" s="415">
        <v>79.63</v>
      </c>
      <c r="Q4636" s="481">
        <f t="shared" si="118"/>
        <v>0</v>
      </c>
    </row>
    <row r="4637" spans="1:17" x14ac:dyDescent="0.3">
      <c r="A4637" s="431" t="str">
        <f>IFERROR(VLOOKUP(RIGHT(E4637,3)+0,[1]SchLocTable!$A$2:$B$47,2,FALSE)," ")</f>
        <v>Marin</v>
      </c>
      <c r="B4637" s="431" t="str">
        <f>VLOOKUP(VALUE(D4637),$D$3:F$106,3,FALSE)</f>
        <v>Supplementary Supplies</v>
      </c>
      <c r="C4637" t="s">
        <v>314</v>
      </c>
      <c r="D4637" t="s">
        <v>1331</v>
      </c>
      <c r="E4637" t="s">
        <v>475</v>
      </c>
      <c r="F4637" t="s">
        <v>1094</v>
      </c>
      <c r="G4637" t="s">
        <v>319</v>
      </c>
      <c r="H4637" s="502" t="s">
        <v>1388</v>
      </c>
      <c r="I4637" s="415">
        <v>0</v>
      </c>
      <c r="J4637" s="415">
        <v>0</v>
      </c>
      <c r="K4637" s="415">
        <v>0</v>
      </c>
      <c r="L4637" s="415">
        <v>0</v>
      </c>
      <c r="M4637" s="415">
        <v>0</v>
      </c>
      <c r="N4637" s="415">
        <v>0</v>
      </c>
      <c r="O4637" s="415">
        <v>210</v>
      </c>
      <c r="P4637" s="415">
        <v>0</v>
      </c>
      <c r="Q4637" s="481">
        <f t="shared" si="118"/>
        <v>0</v>
      </c>
    </row>
    <row r="4638" spans="1:17" x14ac:dyDescent="0.3">
      <c r="A4638" s="431" t="str">
        <f>IFERROR(VLOOKUP(RIGHT(E4638,3)+0,[1]SchLocTable!$A$2:$B$47,2,FALSE)," ")</f>
        <v>Marin</v>
      </c>
      <c r="B4638" s="431" t="str">
        <f>VLOOKUP(VALUE(D4638),$D$3:F$106,3,FALSE)</f>
        <v>Supplementary Supplies</v>
      </c>
      <c r="C4638" t="s">
        <v>314</v>
      </c>
      <c r="D4638" t="s">
        <v>1331</v>
      </c>
      <c r="E4638" t="s">
        <v>475</v>
      </c>
      <c r="F4638" t="s">
        <v>320</v>
      </c>
      <c r="G4638" t="s">
        <v>319</v>
      </c>
      <c r="H4638" s="502" t="s">
        <v>1245</v>
      </c>
      <c r="I4638" s="415">
        <v>0</v>
      </c>
      <c r="J4638" s="415">
        <v>0</v>
      </c>
      <c r="K4638" s="415">
        <v>0</v>
      </c>
      <c r="L4638" s="415">
        <v>0</v>
      </c>
      <c r="M4638" s="415">
        <v>0</v>
      </c>
      <c r="N4638" s="415">
        <v>0</v>
      </c>
      <c r="O4638" s="415">
        <v>0</v>
      </c>
      <c r="P4638" s="415">
        <v>21.98</v>
      </c>
      <c r="Q4638" s="481">
        <f t="shared" si="118"/>
        <v>0</v>
      </c>
    </row>
    <row r="4639" spans="1:17" x14ac:dyDescent="0.3">
      <c r="A4639" s="431" t="str">
        <f>IFERROR(VLOOKUP(RIGHT(E4639,3)+0,[1]SchLocTable!$A$2:$B$47,2,FALSE)," ")</f>
        <v>Marin</v>
      </c>
      <c r="B4639" s="431" t="str">
        <f>VLOOKUP(VALUE(D4639),$D$3:F$106,3,FALSE)</f>
        <v>Supplementary Supplies</v>
      </c>
      <c r="C4639" t="s">
        <v>314</v>
      </c>
      <c r="D4639" t="s">
        <v>1331</v>
      </c>
      <c r="E4639" t="s">
        <v>475</v>
      </c>
      <c r="F4639" t="s">
        <v>392</v>
      </c>
      <c r="G4639" t="s">
        <v>319</v>
      </c>
      <c r="H4639" s="502" t="s">
        <v>1247</v>
      </c>
      <c r="I4639" s="415">
        <v>0</v>
      </c>
      <c r="J4639" s="415">
        <v>0</v>
      </c>
      <c r="K4639" s="415">
        <v>0</v>
      </c>
      <c r="L4639" s="415">
        <v>0</v>
      </c>
      <c r="M4639" s="415">
        <v>0</v>
      </c>
      <c r="N4639" s="415">
        <v>0</v>
      </c>
      <c r="O4639" s="415">
        <v>0</v>
      </c>
      <c r="P4639" s="415">
        <v>215.67</v>
      </c>
      <c r="Q4639" s="481">
        <f t="shared" si="118"/>
        <v>0</v>
      </c>
    </row>
    <row r="4640" spans="1:17" x14ac:dyDescent="0.3">
      <c r="A4640" s="431" t="str">
        <f>IFERROR(VLOOKUP(RIGHT(E4640,3)+0,[1]SchLocTable!$A$2:$B$47,2,FALSE)," ")</f>
        <v>Marin</v>
      </c>
      <c r="B4640" s="431" t="str">
        <f>VLOOKUP(VALUE(D4640),$D$3:F$106,3,FALSE)</f>
        <v>Supplementary Supplies</v>
      </c>
      <c r="C4640" t="s">
        <v>314</v>
      </c>
      <c r="D4640" t="s">
        <v>1331</v>
      </c>
      <c r="E4640" t="s">
        <v>475</v>
      </c>
      <c r="F4640" t="s">
        <v>452</v>
      </c>
      <c r="G4640" t="s">
        <v>319</v>
      </c>
      <c r="H4640" s="502" t="s">
        <v>1235</v>
      </c>
      <c r="I4640" s="415">
        <v>0</v>
      </c>
      <c r="J4640" s="415">
        <v>0</v>
      </c>
      <c r="K4640" s="415">
        <v>0</v>
      </c>
      <c r="L4640" s="415">
        <v>0</v>
      </c>
      <c r="M4640" s="415">
        <v>0</v>
      </c>
      <c r="N4640" s="415">
        <v>0</v>
      </c>
      <c r="O4640" s="415">
        <v>0</v>
      </c>
      <c r="P4640" s="415">
        <v>63.9</v>
      </c>
      <c r="Q4640" s="481">
        <f t="shared" si="118"/>
        <v>0</v>
      </c>
    </row>
    <row r="4641" spans="1:17" x14ac:dyDescent="0.3">
      <c r="A4641" s="431" t="str">
        <f>IFERROR(VLOOKUP(RIGHT(E4641,3)+0,[1]SchLocTable!$A$2:$B$47,2,FALSE)," ")</f>
        <v>Marin</v>
      </c>
      <c r="B4641" s="431" t="str">
        <f>VLOOKUP(VALUE(D4641),$D$3:F$106,3,FALSE)</f>
        <v>Supplementary Supplies</v>
      </c>
      <c r="C4641" t="s">
        <v>314</v>
      </c>
      <c r="D4641" t="s">
        <v>1331</v>
      </c>
      <c r="E4641" t="s">
        <v>475</v>
      </c>
      <c r="F4641" t="s">
        <v>483</v>
      </c>
      <c r="G4641" t="s">
        <v>319</v>
      </c>
      <c r="H4641" s="502" t="s">
        <v>1237</v>
      </c>
      <c r="I4641" s="415">
        <v>0</v>
      </c>
      <c r="J4641" s="415">
        <v>0</v>
      </c>
      <c r="K4641" s="415">
        <v>0</v>
      </c>
      <c r="L4641" s="415">
        <v>0</v>
      </c>
      <c r="M4641" s="415">
        <v>0</v>
      </c>
      <c r="N4641" s="415">
        <v>0</v>
      </c>
      <c r="O4641" s="415">
        <v>0</v>
      </c>
      <c r="P4641" s="415">
        <v>1451.6</v>
      </c>
      <c r="Q4641" s="481">
        <f t="shared" si="118"/>
        <v>0</v>
      </c>
    </row>
    <row r="4642" spans="1:17" x14ac:dyDescent="0.3">
      <c r="A4642" s="431" t="str">
        <f>IFERROR(VLOOKUP(RIGHT(E4642,3)+0,[1]SchLocTable!$A$2:$B$47,2,FALSE)," ")</f>
        <v>Hall</v>
      </c>
      <c r="B4642" s="431" t="str">
        <f>VLOOKUP(VALUE(D4642),$D$3:F$106,3,FALSE)</f>
        <v>Supplementary Supplies</v>
      </c>
      <c r="C4642" t="s">
        <v>314</v>
      </c>
      <c r="D4642" t="s">
        <v>1331</v>
      </c>
      <c r="E4642" t="s">
        <v>476</v>
      </c>
      <c r="F4642" t="s">
        <v>320</v>
      </c>
      <c r="G4642" t="s">
        <v>319</v>
      </c>
      <c r="H4642" s="502">
        <v>52360</v>
      </c>
      <c r="I4642" s="415"/>
      <c r="J4642" s="415"/>
      <c r="K4642" s="415"/>
      <c r="L4642" s="415">
        <v>0</v>
      </c>
      <c r="M4642" s="415">
        <v>0</v>
      </c>
      <c r="N4642" s="415">
        <v>1.49</v>
      </c>
      <c r="O4642" s="415">
        <v>0</v>
      </c>
      <c r="P4642" s="415">
        <v>1.4</v>
      </c>
      <c r="Q4642" s="481">
        <f t="shared" si="118"/>
        <v>0</v>
      </c>
    </row>
    <row r="4643" spans="1:17" x14ac:dyDescent="0.3">
      <c r="A4643" s="431" t="str">
        <f>IFERROR(VLOOKUP(RIGHT(E4643,3)+0,[1]SchLocTable!$A$2:$B$47,2,FALSE)," ")</f>
        <v>Hall</v>
      </c>
      <c r="B4643" s="431" t="str">
        <f>VLOOKUP(VALUE(D4643),$D$3:F$106,3,FALSE)</f>
        <v>Supplementary Supplies</v>
      </c>
      <c r="C4643" t="s">
        <v>314</v>
      </c>
      <c r="D4643" t="s">
        <v>1331</v>
      </c>
      <c r="E4643" t="s">
        <v>476</v>
      </c>
      <c r="F4643" t="s">
        <v>392</v>
      </c>
      <c r="G4643" t="s">
        <v>319</v>
      </c>
      <c r="H4643" s="502">
        <v>52504</v>
      </c>
      <c r="I4643" s="415"/>
      <c r="J4643" s="415"/>
      <c r="K4643" s="415"/>
      <c r="L4643" s="415">
        <v>0</v>
      </c>
      <c r="M4643" s="415">
        <v>0</v>
      </c>
      <c r="N4643" s="415">
        <v>19.489999999999998</v>
      </c>
      <c r="O4643" s="415">
        <v>0</v>
      </c>
      <c r="P4643" s="415">
        <v>13.78</v>
      </c>
      <c r="Q4643" s="481">
        <f t="shared" si="118"/>
        <v>0</v>
      </c>
    </row>
    <row r="4644" spans="1:17" x14ac:dyDescent="0.3">
      <c r="A4644" s="431" t="str">
        <f>IFERROR(VLOOKUP(RIGHT(E4644,3)+0,[1]SchLocTable!$A$2:$B$47,2,FALSE)," ")</f>
        <v>Hall</v>
      </c>
      <c r="B4644" s="431" t="str">
        <f>VLOOKUP(VALUE(D4644),$D$3:F$106,3,FALSE)</f>
        <v>Supplementary Supplies</v>
      </c>
      <c r="C4644" t="s">
        <v>314</v>
      </c>
      <c r="D4644" t="s">
        <v>1331</v>
      </c>
      <c r="E4644" t="s">
        <v>476</v>
      </c>
      <c r="F4644" t="s">
        <v>483</v>
      </c>
      <c r="G4644" t="s">
        <v>319</v>
      </c>
      <c r="H4644" s="502">
        <v>51122</v>
      </c>
      <c r="I4644" s="415"/>
      <c r="J4644" s="415"/>
      <c r="K4644" s="415"/>
      <c r="L4644" s="415">
        <v>0</v>
      </c>
      <c r="M4644" s="415">
        <v>0</v>
      </c>
      <c r="N4644" s="415">
        <v>102.49</v>
      </c>
      <c r="O4644" s="415">
        <v>0</v>
      </c>
      <c r="P4644" s="415">
        <v>96.86</v>
      </c>
      <c r="Q4644" s="481">
        <f t="shared" si="118"/>
        <v>0</v>
      </c>
    </row>
    <row r="4645" spans="1:17" x14ac:dyDescent="0.3">
      <c r="A4645" s="431" t="str">
        <f>IFERROR(VLOOKUP(RIGHT(E4645,3)+0,[1]SchLocTable!$A$2:$B$47,2,FALSE)," ")</f>
        <v>Batalla</v>
      </c>
      <c r="B4645" s="431" t="str">
        <f>VLOOKUP(VALUE(D4645),$D$3:F$106,3,FALSE)</f>
        <v>Supplementary Supplies</v>
      </c>
      <c r="C4645" t="s">
        <v>314</v>
      </c>
      <c r="D4645" t="s">
        <v>1331</v>
      </c>
      <c r="E4645" t="s">
        <v>479</v>
      </c>
      <c r="F4645" t="s">
        <v>320</v>
      </c>
      <c r="G4645" t="s">
        <v>319</v>
      </c>
      <c r="H4645" s="502">
        <v>52360</v>
      </c>
      <c r="I4645" s="415"/>
      <c r="J4645" s="415"/>
      <c r="K4645" s="415"/>
      <c r="L4645" s="415">
        <v>0</v>
      </c>
      <c r="M4645" s="415">
        <v>0</v>
      </c>
      <c r="N4645" s="415">
        <v>8.6999999999999993</v>
      </c>
      <c r="O4645" s="415">
        <v>0</v>
      </c>
      <c r="P4645" s="415">
        <v>7.09</v>
      </c>
      <c r="Q4645" s="481">
        <f t="shared" si="118"/>
        <v>0</v>
      </c>
    </row>
    <row r="4646" spans="1:17" x14ac:dyDescent="0.3">
      <c r="A4646" s="431" t="str">
        <f>IFERROR(VLOOKUP(RIGHT(E4646,3)+0,[1]SchLocTable!$A$2:$B$47,2,FALSE)," ")</f>
        <v>Batalla</v>
      </c>
      <c r="B4646" s="431" t="str">
        <f>VLOOKUP(VALUE(D4646),$D$3:F$106,3,FALSE)</f>
        <v>Supplementary Supplies</v>
      </c>
      <c r="C4646" t="s">
        <v>314</v>
      </c>
      <c r="D4646" t="s">
        <v>1331</v>
      </c>
      <c r="E4646" t="s">
        <v>479</v>
      </c>
      <c r="F4646" t="s">
        <v>392</v>
      </c>
      <c r="G4646" t="s">
        <v>319</v>
      </c>
      <c r="H4646" s="502" t="s">
        <v>1247</v>
      </c>
      <c r="I4646" s="415">
        <v>0</v>
      </c>
      <c r="J4646" s="415">
        <v>0</v>
      </c>
      <c r="K4646" s="415">
        <v>0</v>
      </c>
      <c r="L4646" s="415">
        <v>0</v>
      </c>
      <c r="M4646" s="415">
        <v>0</v>
      </c>
      <c r="N4646" s="415">
        <v>0</v>
      </c>
      <c r="O4646" s="415">
        <v>0</v>
      </c>
      <c r="P4646" s="415">
        <v>69.63</v>
      </c>
      <c r="Q4646" s="481">
        <f t="shared" si="118"/>
        <v>0</v>
      </c>
    </row>
    <row r="4647" spans="1:17" x14ac:dyDescent="0.3">
      <c r="A4647" s="431" t="str">
        <f>IFERROR(VLOOKUP(RIGHT(E4647,3)+0,[1]SchLocTable!$A$2:$B$47,2,FALSE)," ")</f>
        <v>Batalla</v>
      </c>
      <c r="B4647" s="431" t="str">
        <f>VLOOKUP(VALUE(D4647),$D$3:F$106,3,FALSE)</f>
        <v>Supplementary Supplies</v>
      </c>
      <c r="C4647" t="s">
        <v>314</v>
      </c>
      <c r="D4647" t="s">
        <v>1331</v>
      </c>
      <c r="E4647" t="s">
        <v>479</v>
      </c>
      <c r="F4647" t="s">
        <v>452</v>
      </c>
      <c r="G4647" t="s">
        <v>319</v>
      </c>
      <c r="H4647" s="502" t="s">
        <v>1235</v>
      </c>
      <c r="I4647" s="415">
        <v>0</v>
      </c>
      <c r="J4647" s="415">
        <v>0</v>
      </c>
      <c r="K4647" s="415">
        <v>0</v>
      </c>
      <c r="L4647" s="415">
        <v>0</v>
      </c>
      <c r="M4647" s="415">
        <v>0</v>
      </c>
      <c r="N4647" s="415">
        <v>0</v>
      </c>
      <c r="O4647" s="415">
        <v>0</v>
      </c>
      <c r="P4647" s="415">
        <v>42.6</v>
      </c>
      <c r="Q4647" s="481">
        <f t="shared" si="118"/>
        <v>0</v>
      </c>
    </row>
    <row r="4648" spans="1:17" x14ac:dyDescent="0.3">
      <c r="A4648" s="431" t="str">
        <f>IFERROR(VLOOKUP(RIGHT(E4648,3)+0,[1]SchLocTable!$A$2:$B$47,2,FALSE)," ")</f>
        <v>Batalla</v>
      </c>
      <c r="B4648" s="431" t="str">
        <f>VLOOKUP(VALUE(D4648),$D$3:F$106,3,FALSE)</f>
        <v>Supplementary Supplies</v>
      </c>
      <c r="C4648" t="s">
        <v>314</v>
      </c>
      <c r="D4648" t="s">
        <v>1331</v>
      </c>
      <c r="E4648" t="s">
        <v>479</v>
      </c>
      <c r="F4648" t="s">
        <v>483</v>
      </c>
      <c r="G4648" t="s">
        <v>319</v>
      </c>
      <c r="H4648" s="502" t="s">
        <v>1237</v>
      </c>
      <c r="I4648" s="415">
        <v>0</v>
      </c>
      <c r="J4648" s="415">
        <v>0</v>
      </c>
      <c r="K4648" s="415">
        <v>0</v>
      </c>
      <c r="L4648" s="415">
        <v>0</v>
      </c>
      <c r="M4648" s="415">
        <v>0</v>
      </c>
      <c r="N4648" s="415">
        <v>0</v>
      </c>
      <c r="O4648" s="415">
        <v>0</v>
      </c>
      <c r="P4648" s="415">
        <v>446.74</v>
      </c>
      <c r="Q4648" s="481">
        <f t="shared" si="118"/>
        <v>0</v>
      </c>
    </row>
    <row r="4649" spans="1:17" x14ac:dyDescent="0.3">
      <c r="A4649" s="431" t="str">
        <f>IFERROR(VLOOKUP(RIGHT(E4649,3)+0,[1]SchLocTable!$A$2:$B$47,2,FALSE)," ")</f>
        <v>Info Tech HS</v>
      </c>
      <c r="B4649" s="431" t="str">
        <f>VLOOKUP(VALUE(D4649),$D$3:F$106,3,FALSE)</f>
        <v>Supplementary Supplies</v>
      </c>
      <c r="C4649" t="s">
        <v>314</v>
      </c>
      <c r="D4649" t="s">
        <v>1331</v>
      </c>
      <c r="E4649" t="s">
        <v>481</v>
      </c>
      <c r="F4649" t="s">
        <v>392</v>
      </c>
      <c r="G4649" t="s">
        <v>319</v>
      </c>
      <c r="H4649" s="502" t="s">
        <v>1247</v>
      </c>
      <c r="I4649" s="415">
        <v>0</v>
      </c>
      <c r="J4649" s="415">
        <v>0</v>
      </c>
      <c r="K4649" s="415">
        <v>0</v>
      </c>
      <c r="L4649" s="415">
        <v>0</v>
      </c>
      <c r="M4649" s="415">
        <v>0</v>
      </c>
      <c r="N4649" s="415">
        <v>0</v>
      </c>
      <c r="O4649" s="415">
        <v>0</v>
      </c>
      <c r="P4649" s="415">
        <v>11.33</v>
      </c>
      <c r="Q4649" s="481">
        <f t="shared" si="118"/>
        <v>0</v>
      </c>
    </row>
    <row r="4650" spans="1:17" x14ac:dyDescent="0.3">
      <c r="A4650" s="431" t="str">
        <f>IFERROR(VLOOKUP(RIGHT(E4650,3)+0,[1]SchLocTable!$A$2:$B$47,2,FALSE)," ")</f>
        <v>Info Tech HS</v>
      </c>
      <c r="B4650" s="431" t="str">
        <f>VLOOKUP(VALUE(D4650),$D$3:F$106,3,FALSE)</f>
        <v>Supplementary Supplies</v>
      </c>
      <c r="C4650" t="s">
        <v>314</v>
      </c>
      <c r="D4650" t="s">
        <v>1331</v>
      </c>
      <c r="E4650" t="s">
        <v>481</v>
      </c>
      <c r="F4650" t="s">
        <v>483</v>
      </c>
      <c r="G4650" t="s">
        <v>319</v>
      </c>
      <c r="H4650" s="502" t="s">
        <v>1237</v>
      </c>
      <c r="I4650" s="415">
        <v>0</v>
      </c>
      <c r="J4650" s="415">
        <v>0</v>
      </c>
      <c r="K4650" s="415">
        <v>0</v>
      </c>
      <c r="L4650" s="415">
        <v>0</v>
      </c>
      <c r="M4650" s="415">
        <v>0</v>
      </c>
      <c r="N4650" s="415">
        <v>0</v>
      </c>
      <c r="O4650" s="415">
        <v>0</v>
      </c>
      <c r="P4650" s="415">
        <v>79.63</v>
      </c>
      <c r="Q4650" s="481">
        <f t="shared" si="118"/>
        <v>0</v>
      </c>
    </row>
    <row r="4651" spans="1:17" x14ac:dyDescent="0.3">
      <c r="A4651" s="431" t="str">
        <f>IFERROR(VLOOKUP(RIGHT(E4651,3)+0,[1]SchLocTable!$A$2:$B$47,2,FALSE)," ")</f>
        <v>BMA HS</v>
      </c>
      <c r="B4651" s="431" t="str">
        <f>VLOOKUP(VALUE(D4651),$D$3:F$106,3,FALSE)</f>
        <v>Supplementary Supplies</v>
      </c>
      <c r="C4651" t="s">
        <v>314</v>
      </c>
      <c r="D4651" t="s">
        <v>1331</v>
      </c>
      <c r="E4651" t="s">
        <v>482</v>
      </c>
      <c r="F4651" t="s">
        <v>452</v>
      </c>
      <c r="G4651" t="s">
        <v>319</v>
      </c>
      <c r="H4651" s="502" t="s">
        <v>1235</v>
      </c>
      <c r="I4651" s="415">
        <v>0</v>
      </c>
      <c r="J4651" s="415">
        <v>0</v>
      </c>
      <c r="K4651" s="415">
        <v>0</v>
      </c>
      <c r="L4651" s="415">
        <v>0</v>
      </c>
      <c r="M4651" s="415">
        <v>0</v>
      </c>
      <c r="N4651" s="415">
        <v>0</v>
      </c>
      <c r="O4651" s="415">
        <v>0</v>
      </c>
      <c r="P4651" s="415">
        <v>525.42999999999995</v>
      </c>
      <c r="Q4651" s="481">
        <f t="shared" si="118"/>
        <v>0</v>
      </c>
    </row>
    <row r="4652" spans="1:17" x14ac:dyDescent="0.3">
      <c r="A4652" s="431" t="str">
        <f>IFERROR(VLOOKUP(RIGHT(E4652,3)+0,[1]SchLocTable!$A$2:$B$47,2,FALSE)," ")</f>
        <v>Zoo Science HS</v>
      </c>
      <c r="B4652" s="431" t="str">
        <f>VLOOKUP(VALUE(D4652),$D$3:F$106,3,FALSE)</f>
        <v>Supplementary Supplies</v>
      </c>
      <c r="C4652" t="s">
        <v>314</v>
      </c>
      <c r="D4652" t="s">
        <v>1331</v>
      </c>
      <c r="E4652" t="s">
        <v>485</v>
      </c>
      <c r="F4652" t="s">
        <v>1094</v>
      </c>
      <c r="G4652" t="s">
        <v>319</v>
      </c>
      <c r="H4652" s="502" t="s">
        <v>1388</v>
      </c>
      <c r="I4652" s="415">
        <v>0</v>
      </c>
      <c r="J4652" s="415">
        <v>0</v>
      </c>
      <c r="K4652" s="415">
        <v>0</v>
      </c>
      <c r="L4652" s="415">
        <v>0</v>
      </c>
      <c r="M4652" s="415">
        <v>0</v>
      </c>
      <c r="N4652" s="415">
        <v>0</v>
      </c>
      <c r="O4652" s="415">
        <v>477.95</v>
      </c>
      <c r="P4652" s="415">
        <v>0</v>
      </c>
      <c r="Q4652" s="481">
        <f t="shared" si="118"/>
        <v>0</v>
      </c>
    </row>
    <row r="4653" spans="1:17" x14ac:dyDescent="0.3">
      <c r="A4653" s="431" t="str">
        <f>IFERROR(VLOOKUP(RIGHT(E4653,3)+0,[1]SchLocTable!$A$2:$B$47,2,FALSE)," ")</f>
        <v>Zoo Science HS</v>
      </c>
      <c r="B4653" s="431" t="str">
        <f>VLOOKUP(VALUE(D4653),$D$3:F$106,3,FALSE)</f>
        <v>Supplementary Supplies</v>
      </c>
      <c r="C4653" t="s">
        <v>314</v>
      </c>
      <c r="D4653" t="s">
        <v>1331</v>
      </c>
      <c r="E4653" t="s">
        <v>485</v>
      </c>
      <c r="F4653" t="s">
        <v>334</v>
      </c>
      <c r="G4653" t="s">
        <v>319</v>
      </c>
      <c r="H4653" s="502" t="s">
        <v>1387</v>
      </c>
      <c r="I4653" s="415">
        <v>0</v>
      </c>
      <c r="J4653" s="415">
        <v>0</v>
      </c>
      <c r="K4653" s="415">
        <v>0</v>
      </c>
      <c r="L4653" s="415">
        <v>0</v>
      </c>
      <c r="M4653" s="415">
        <v>0</v>
      </c>
      <c r="N4653" s="415">
        <v>0</v>
      </c>
      <c r="O4653" s="415">
        <v>240</v>
      </c>
      <c r="P4653" s="415">
        <v>480</v>
      </c>
      <c r="Q4653" s="481">
        <f t="shared" si="118"/>
        <v>0</v>
      </c>
    </row>
    <row r="4654" spans="1:17" x14ac:dyDescent="0.3">
      <c r="A4654" s="431" t="str">
        <f>IFERROR(VLOOKUP(RIGHT(E4654,3)+0,[1]SchLocTable!$A$2:$B$47,2,FALSE)," ")</f>
        <v>Zoo Science HS</v>
      </c>
      <c r="B4654" s="431" t="str">
        <f>VLOOKUP(VALUE(D4654),$D$3:F$106,3,FALSE)</f>
        <v>Supplementary Supplies</v>
      </c>
      <c r="C4654" t="s">
        <v>314</v>
      </c>
      <c r="D4654" t="s">
        <v>1331</v>
      </c>
      <c r="E4654" t="s">
        <v>485</v>
      </c>
      <c r="F4654" t="s">
        <v>320</v>
      </c>
      <c r="G4654" t="s">
        <v>319</v>
      </c>
      <c r="H4654" s="502" t="s">
        <v>1245</v>
      </c>
      <c r="I4654" s="415">
        <v>0</v>
      </c>
      <c r="J4654" s="415">
        <v>0</v>
      </c>
      <c r="K4654" s="415">
        <v>0</v>
      </c>
      <c r="L4654" s="415">
        <v>0</v>
      </c>
      <c r="M4654" s="415">
        <v>0</v>
      </c>
      <c r="N4654" s="415">
        <v>0</v>
      </c>
      <c r="O4654" s="415">
        <v>3.48</v>
      </c>
      <c r="P4654" s="415">
        <v>8.11</v>
      </c>
      <c r="Q4654" s="481">
        <f t="shared" si="118"/>
        <v>0</v>
      </c>
    </row>
    <row r="4655" spans="1:17" x14ac:dyDescent="0.3">
      <c r="A4655" s="431" t="str">
        <f>IFERROR(VLOOKUP(RIGHT(E4655,3)+0,[1]SchLocTable!$A$2:$B$47,2,FALSE)," ")</f>
        <v>Zoo Science HS</v>
      </c>
      <c r="B4655" s="431" t="str">
        <f>VLOOKUP(VALUE(D4655),$D$3:F$106,3,FALSE)</f>
        <v>Supplementary Supplies</v>
      </c>
      <c r="C4655" t="s">
        <v>314</v>
      </c>
      <c r="D4655" t="s">
        <v>1331</v>
      </c>
      <c r="E4655" t="s">
        <v>485</v>
      </c>
      <c r="F4655" t="s">
        <v>392</v>
      </c>
      <c r="G4655" t="s">
        <v>319</v>
      </c>
      <c r="H4655" s="502" t="s">
        <v>1247</v>
      </c>
      <c r="I4655" s="415">
        <v>0</v>
      </c>
      <c r="J4655" s="415">
        <v>0</v>
      </c>
      <c r="K4655" s="415">
        <v>0</v>
      </c>
      <c r="L4655" s="415">
        <v>0</v>
      </c>
      <c r="M4655" s="415">
        <v>0</v>
      </c>
      <c r="N4655" s="415">
        <v>0</v>
      </c>
      <c r="O4655" s="415">
        <v>0</v>
      </c>
      <c r="P4655" s="415">
        <v>11.33</v>
      </c>
      <c r="Q4655" s="481">
        <f t="shared" si="118"/>
        <v>0</v>
      </c>
    </row>
    <row r="4656" spans="1:17" x14ac:dyDescent="0.3">
      <c r="A4656" s="431" t="str">
        <f>IFERROR(VLOOKUP(RIGHT(E4656,3)+0,[1]SchLocTable!$A$2:$B$47,2,FALSE)," ")</f>
        <v>Zoo Science HS</v>
      </c>
      <c r="B4656" s="431" t="str">
        <f>VLOOKUP(VALUE(D4656),$D$3:F$106,3,FALSE)</f>
        <v>Supplementary Supplies</v>
      </c>
      <c r="C4656" t="s">
        <v>314</v>
      </c>
      <c r="D4656" t="s">
        <v>1331</v>
      </c>
      <c r="E4656" t="s">
        <v>485</v>
      </c>
      <c r="F4656" t="s">
        <v>483</v>
      </c>
      <c r="G4656" t="s">
        <v>319</v>
      </c>
      <c r="H4656" s="502" t="s">
        <v>1237</v>
      </c>
      <c r="I4656" s="415">
        <v>0</v>
      </c>
      <c r="J4656" s="415">
        <v>0</v>
      </c>
      <c r="K4656" s="415">
        <v>0</v>
      </c>
      <c r="L4656" s="415">
        <v>0</v>
      </c>
      <c r="M4656" s="415">
        <v>0</v>
      </c>
      <c r="N4656" s="415">
        <v>0</v>
      </c>
      <c r="O4656" s="415">
        <v>0</v>
      </c>
      <c r="P4656" s="415">
        <v>79.63</v>
      </c>
      <c r="Q4656" s="481">
        <f t="shared" si="118"/>
        <v>0</v>
      </c>
    </row>
    <row r="4657" spans="1:17" x14ac:dyDescent="0.3">
      <c r="A4657" s="431" t="str">
        <f>IFERROR(VLOOKUP(RIGHT(E4657,3)+0,[1]SchLocTable!$A$2:$B$47,2,FALSE)," ")</f>
        <v>Tisdale</v>
      </c>
      <c r="B4657" s="431" t="str">
        <f>VLOOKUP(VALUE(D4657),$D$3:F$106,3,FALSE)</f>
        <v>Supplementary Supplies</v>
      </c>
      <c r="C4657" t="s">
        <v>314</v>
      </c>
      <c r="D4657" t="s">
        <v>1331</v>
      </c>
      <c r="E4657" t="s">
        <v>488</v>
      </c>
      <c r="F4657" t="s">
        <v>320</v>
      </c>
      <c r="G4657" t="s">
        <v>319</v>
      </c>
      <c r="H4657" s="502" t="s">
        <v>1245</v>
      </c>
      <c r="I4657" s="415">
        <v>0</v>
      </c>
      <c r="J4657" s="415">
        <v>0</v>
      </c>
      <c r="K4657" s="415">
        <v>0</v>
      </c>
      <c r="L4657" s="415">
        <v>0</v>
      </c>
      <c r="M4657" s="415">
        <v>0</v>
      </c>
      <c r="N4657" s="415">
        <v>0</v>
      </c>
      <c r="O4657" s="415">
        <v>0</v>
      </c>
      <c r="P4657" s="415">
        <v>4.6900000000000004</v>
      </c>
      <c r="Q4657" s="481">
        <f t="shared" si="118"/>
        <v>0</v>
      </c>
    </row>
    <row r="4658" spans="1:17" x14ac:dyDescent="0.3">
      <c r="A4658" s="431" t="str">
        <f>IFERROR(VLOOKUP(RIGHT(E4658,3)+0,[1]SchLocTable!$A$2:$B$47,2,FALSE)," ")</f>
        <v>Tisdale</v>
      </c>
      <c r="B4658" s="431" t="str">
        <f>VLOOKUP(VALUE(D4658),$D$3:F$106,3,FALSE)</f>
        <v>Supplementary Supplies</v>
      </c>
      <c r="C4658" t="s">
        <v>314</v>
      </c>
      <c r="D4658" t="s">
        <v>1331</v>
      </c>
      <c r="E4658" t="s">
        <v>488</v>
      </c>
      <c r="F4658" t="s">
        <v>392</v>
      </c>
      <c r="G4658" t="s">
        <v>319</v>
      </c>
      <c r="H4658" s="502" t="s">
        <v>1247</v>
      </c>
      <c r="I4658" s="415">
        <v>0</v>
      </c>
      <c r="J4658" s="415">
        <v>0</v>
      </c>
      <c r="K4658" s="415">
        <v>0</v>
      </c>
      <c r="L4658" s="415">
        <v>0</v>
      </c>
      <c r="M4658" s="415">
        <v>0</v>
      </c>
      <c r="N4658" s="415">
        <v>0</v>
      </c>
      <c r="O4658" s="415">
        <v>0</v>
      </c>
      <c r="P4658" s="415">
        <v>45.94</v>
      </c>
      <c r="Q4658" s="481">
        <f t="shared" si="118"/>
        <v>0</v>
      </c>
    </row>
    <row r="4659" spans="1:17" x14ac:dyDescent="0.3">
      <c r="A4659" s="431" t="str">
        <f>IFERROR(VLOOKUP(RIGHT(E4659,3)+0,[1]SchLocTable!$A$2:$B$47,2,FALSE)," ")</f>
        <v>Tisdale</v>
      </c>
      <c r="B4659" s="431" t="str">
        <f>VLOOKUP(VALUE(D4659),$D$3:F$106,3,FALSE)</f>
        <v>Supplementary Supplies</v>
      </c>
      <c r="C4659" t="s">
        <v>314</v>
      </c>
      <c r="D4659" t="s">
        <v>1331</v>
      </c>
      <c r="E4659" t="s">
        <v>488</v>
      </c>
      <c r="F4659" t="s">
        <v>452</v>
      </c>
      <c r="G4659" t="s">
        <v>319</v>
      </c>
      <c r="H4659" s="502" t="s">
        <v>1235</v>
      </c>
      <c r="I4659" s="415">
        <v>0</v>
      </c>
      <c r="J4659" s="415">
        <v>0</v>
      </c>
      <c r="K4659" s="415">
        <v>0</v>
      </c>
      <c r="L4659" s="415">
        <v>0</v>
      </c>
      <c r="M4659" s="415">
        <v>0</v>
      </c>
      <c r="N4659" s="415">
        <v>0</v>
      </c>
      <c r="O4659" s="415">
        <v>0</v>
      </c>
      <c r="P4659" s="415">
        <v>42.6</v>
      </c>
      <c r="Q4659" s="481">
        <f t="shared" si="118"/>
        <v>0</v>
      </c>
    </row>
    <row r="4660" spans="1:17" x14ac:dyDescent="0.3">
      <c r="A4660" s="431" t="str">
        <f>IFERROR(VLOOKUP(RIGHT(E4660,3)+0,[1]SchLocTable!$A$2:$B$47,2,FALSE)," ")</f>
        <v>Tisdale</v>
      </c>
      <c r="B4660" s="431" t="str">
        <f>VLOOKUP(VALUE(D4660),$D$3:F$106,3,FALSE)</f>
        <v>Supplementary Supplies</v>
      </c>
      <c r="C4660" t="s">
        <v>314</v>
      </c>
      <c r="D4660" t="s">
        <v>1331</v>
      </c>
      <c r="E4660" t="s">
        <v>488</v>
      </c>
      <c r="F4660" t="s">
        <v>483</v>
      </c>
      <c r="G4660" t="s">
        <v>319</v>
      </c>
      <c r="H4660" s="502" t="s">
        <v>1237</v>
      </c>
      <c r="I4660" s="415">
        <v>0</v>
      </c>
      <c r="J4660" s="415">
        <v>0</v>
      </c>
      <c r="K4660" s="415">
        <v>0</v>
      </c>
      <c r="L4660" s="415">
        <v>0</v>
      </c>
      <c r="M4660" s="415">
        <v>0</v>
      </c>
      <c r="N4660" s="415">
        <v>0</v>
      </c>
      <c r="O4660" s="415">
        <v>0</v>
      </c>
      <c r="P4660" s="415">
        <v>280.27999999999997</v>
      </c>
      <c r="Q4660" s="481">
        <f t="shared" si="118"/>
        <v>0</v>
      </c>
    </row>
    <row r="4661" spans="1:17" x14ac:dyDescent="0.3">
      <c r="A4661" s="431" t="str">
        <f>IFERROR(VLOOKUP(RIGHT(E4661,3)+0,[1]SchLocTable!$A$2:$B$47,2,FALSE)," ")</f>
        <v>Read</v>
      </c>
      <c r="B4661" s="431" t="str">
        <f>VLOOKUP(VALUE(D4661),$D$3:F$106,3,FALSE)</f>
        <v>Supplementary Supplies</v>
      </c>
      <c r="C4661" t="s">
        <v>314</v>
      </c>
      <c r="D4661" t="s">
        <v>1331</v>
      </c>
      <c r="E4661" t="s">
        <v>489</v>
      </c>
      <c r="F4661" t="s">
        <v>483</v>
      </c>
      <c r="G4661" t="s">
        <v>319</v>
      </c>
      <c r="H4661" s="502">
        <v>51122</v>
      </c>
      <c r="I4661" s="415"/>
      <c r="J4661" s="415"/>
      <c r="K4661" s="415"/>
      <c r="L4661" s="415">
        <v>0</v>
      </c>
      <c r="M4661" s="415">
        <v>0</v>
      </c>
      <c r="N4661" s="415">
        <v>34.81</v>
      </c>
      <c r="O4661" s="415">
        <v>0</v>
      </c>
      <c r="P4661" s="415">
        <v>0</v>
      </c>
      <c r="Q4661" s="481">
        <f t="shared" si="118"/>
        <v>0</v>
      </c>
    </row>
    <row r="4662" spans="1:17" x14ac:dyDescent="0.3">
      <c r="A4662" s="431" t="str">
        <f>IFERROR(VLOOKUP(RIGHT(E4662,3)+0,[1]SchLocTable!$A$2:$B$47,2,FALSE)," ")</f>
        <v>Roosevelt</v>
      </c>
      <c r="B4662" s="431" t="str">
        <f>VLOOKUP(VALUE(D4662),$D$3:F$106,3,FALSE)</f>
        <v>Supplementary Supplies</v>
      </c>
      <c r="C4662" t="s">
        <v>314</v>
      </c>
      <c r="D4662" t="s">
        <v>1331</v>
      </c>
      <c r="E4662" t="s">
        <v>490</v>
      </c>
      <c r="F4662" t="s">
        <v>320</v>
      </c>
      <c r="G4662" t="s">
        <v>319</v>
      </c>
      <c r="H4662" s="502" t="s">
        <v>1245</v>
      </c>
      <c r="I4662" s="415">
        <v>0</v>
      </c>
      <c r="J4662" s="415">
        <v>0</v>
      </c>
      <c r="K4662" s="415">
        <v>0</v>
      </c>
      <c r="L4662" s="415">
        <v>0</v>
      </c>
      <c r="M4662" s="415">
        <v>0</v>
      </c>
      <c r="N4662" s="415">
        <v>0</v>
      </c>
      <c r="O4662" s="415">
        <v>0</v>
      </c>
      <c r="P4662" s="415">
        <v>3.06</v>
      </c>
      <c r="Q4662" s="481">
        <f t="shared" si="118"/>
        <v>0</v>
      </c>
    </row>
    <row r="4663" spans="1:17" x14ac:dyDescent="0.3">
      <c r="A4663" s="431" t="str">
        <f>IFERROR(VLOOKUP(RIGHT(E4663,3)+0,[1]SchLocTable!$A$2:$B$47,2,FALSE)," ")</f>
        <v>Roosevelt</v>
      </c>
      <c r="B4663" s="431" t="str">
        <f>VLOOKUP(VALUE(D4663),$D$3:F$106,3,FALSE)</f>
        <v>Supplementary Supplies</v>
      </c>
      <c r="C4663" t="s">
        <v>314</v>
      </c>
      <c r="D4663" t="s">
        <v>1331</v>
      </c>
      <c r="E4663" t="s">
        <v>490</v>
      </c>
      <c r="F4663" t="s">
        <v>392</v>
      </c>
      <c r="G4663" t="s">
        <v>319</v>
      </c>
      <c r="H4663" s="502" t="s">
        <v>1247</v>
      </c>
      <c r="I4663" s="415">
        <v>0</v>
      </c>
      <c r="J4663" s="415">
        <v>0</v>
      </c>
      <c r="K4663" s="415">
        <v>0</v>
      </c>
      <c r="L4663" s="415">
        <v>0</v>
      </c>
      <c r="M4663" s="415">
        <v>0</v>
      </c>
      <c r="N4663" s="415">
        <v>0</v>
      </c>
      <c r="O4663" s="415">
        <v>0</v>
      </c>
      <c r="P4663" s="415">
        <v>30.03</v>
      </c>
      <c r="Q4663" s="481">
        <f t="shared" si="118"/>
        <v>0</v>
      </c>
    </row>
    <row r="4664" spans="1:17" x14ac:dyDescent="0.3">
      <c r="A4664" s="431" t="str">
        <f>IFERROR(VLOOKUP(RIGHT(E4664,3)+0,[1]SchLocTable!$A$2:$B$47,2,FALSE)," ")</f>
        <v>Roosevelt</v>
      </c>
      <c r="B4664" s="431" t="str">
        <f>VLOOKUP(VALUE(D4664),$D$3:F$106,3,FALSE)</f>
        <v>Supplementary Supplies</v>
      </c>
      <c r="C4664" t="s">
        <v>314</v>
      </c>
      <c r="D4664" t="s">
        <v>1331</v>
      </c>
      <c r="E4664" t="s">
        <v>490</v>
      </c>
      <c r="F4664" t="s">
        <v>452</v>
      </c>
      <c r="G4664" t="s">
        <v>319</v>
      </c>
      <c r="H4664" s="502" t="s">
        <v>1235</v>
      </c>
      <c r="I4664" s="415">
        <v>0</v>
      </c>
      <c r="J4664" s="415">
        <v>0</v>
      </c>
      <c r="K4664" s="415">
        <v>0</v>
      </c>
      <c r="L4664" s="415">
        <v>0</v>
      </c>
      <c r="M4664" s="415">
        <v>0</v>
      </c>
      <c r="N4664" s="415">
        <v>0</v>
      </c>
      <c r="O4664" s="415">
        <v>0</v>
      </c>
      <c r="P4664" s="415">
        <v>91.91</v>
      </c>
      <c r="Q4664" s="481">
        <f t="shared" si="118"/>
        <v>0</v>
      </c>
    </row>
    <row r="4665" spans="1:17" x14ac:dyDescent="0.3">
      <c r="A4665" s="431" t="str">
        <f>IFERROR(VLOOKUP(RIGHT(E4665,3)+0,[1]SchLocTable!$A$2:$B$47,2,FALSE)," ")</f>
        <v>Roosevelt</v>
      </c>
      <c r="B4665" s="431" t="str">
        <f>VLOOKUP(VALUE(D4665),$D$3:F$106,3,FALSE)</f>
        <v>Supplementary Supplies</v>
      </c>
      <c r="C4665" t="s">
        <v>314</v>
      </c>
      <c r="D4665" t="s">
        <v>1331</v>
      </c>
      <c r="E4665" t="s">
        <v>490</v>
      </c>
      <c r="F4665" t="s">
        <v>427</v>
      </c>
      <c r="G4665" t="s">
        <v>319</v>
      </c>
      <c r="H4665" s="502" t="s">
        <v>1234</v>
      </c>
      <c r="I4665" s="415">
        <v>0</v>
      </c>
      <c r="J4665" s="415">
        <v>0</v>
      </c>
      <c r="K4665" s="415">
        <v>0</v>
      </c>
      <c r="L4665" s="415">
        <v>0</v>
      </c>
      <c r="M4665" s="415">
        <v>0</v>
      </c>
      <c r="N4665" s="415">
        <v>0</v>
      </c>
      <c r="O4665" s="415">
        <v>0</v>
      </c>
      <c r="P4665" s="415">
        <v>22.2</v>
      </c>
      <c r="Q4665" s="481">
        <f t="shared" si="118"/>
        <v>0</v>
      </c>
    </row>
    <row r="4666" spans="1:17" x14ac:dyDescent="0.3">
      <c r="A4666" s="431" t="str">
        <f>IFERROR(VLOOKUP(RIGHT(E4666,3)+0,[1]SchLocTable!$A$2:$B$47,2,FALSE)," ")</f>
        <v>Roosevelt</v>
      </c>
      <c r="B4666" s="431" t="str">
        <f>VLOOKUP(VALUE(D4666),$D$3:F$106,3,FALSE)</f>
        <v>Supplementary Supplies</v>
      </c>
      <c r="C4666" t="s">
        <v>314</v>
      </c>
      <c r="D4666" t="s">
        <v>1331</v>
      </c>
      <c r="E4666" t="s">
        <v>490</v>
      </c>
      <c r="F4666" t="s">
        <v>483</v>
      </c>
      <c r="G4666" t="s">
        <v>319</v>
      </c>
      <c r="H4666" s="502" t="s">
        <v>1237</v>
      </c>
      <c r="I4666" s="415">
        <v>0</v>
      </c>
      <c r="J4666" s="415">
        <v>0</v>
      </c>
      <c r="K4666" s="415">
        <v>0</v>
      </c>
      <c r="L4666" s="415">
        <v>0</v>
      </c>
      <c r="M4666" s="415">
        <v>0</v>
      </c>
      <c r="N4666" s="415">
        <v>0</v>
      </c>
      <c r="O4666" s="415">
        <v>0</v>
      </c>
      <c r="P4666" s="415">
        <v>96.87</v>
      </c>
      <c r="Q4666" s="481">
        <f t="shared" si="118"/>
        <v>0</v>
      </c>
    </row>
    <row r="4667" spans="1:17" x14ac:dyDescent="0.3">
      <c r="A4667" s="431" t="str">
        <f>IFERROR(VLOOKUP(RIGHT(E4667,3)+0,[1]SchLocTable!$A$2:$B$47,2,FALSE)," ")</f>
        <v>Roosevelt</v>
      </c>
      <c r="B4667" s="431" t="str">
        <f>VLOOKUP(VALUE(D4667),$D$3:F$106,3,FALSE)</f>
        <v>Supplementary Supplies</v>
      </c>
      <c r="C4667" t="s">
        <v>314</v>
      </c>
      <c r="D4667" t="s">
        <v>1331</v>
      </c>
      <c r="E4667" t="s">
        <v>490</v>
      </c>
      <c r="F4667" t="s">
        <v>465</v>
      </c>
      <c r="G4667" t="s">
        <v>319</v>
      </c>
      <c r="H4667" s="502">
        <v>56240</v>
      </c>
      <c r="I4667" s="415"/>
      <c r="J4667" s="415"/>
      <c r="K4667" s="415"/>
      <c r="L4667" s="415">
        <v>0</v>
      </c>
      <c r="M4667" s="415">
        <v>0</v>
      </c>
      <c r="N4667" s="415">
        <v>144</v>
      </c>
      <c r="O4667" s="415">
        <v>0</v>
      </c>
      <c r="P4667" s="415">
        <v>0</v>
      </c>
      <c r="Q4667" s="481">
        <f t="shared" si="118"/>
        <v>0</v>
      </c>
    </row>
    <row r="4668" spans="1:17" x14ac:dyDescent="0.3">
      <c r="A4668" s="431" t="str">
        <f>IFERROR(VLOOKUP(RIGHT(E4668,3)+0,[1]SchLocTable!$A$2:$B$47,2,FALSE)," ")</f>
        <v>Waltersville</v>
      </c>
      <c r="B4668" s="431" t="str">
        <f>VLOOKUP(VALUE(D4668),$D$3:F$106,3,FALSE)</f>
        <v>Supplementary Supplies</v>
      </c>
      <c r="C4668" t="s">
        <v>314</v>
      </c>
      <c r="D4668" t="s">
        <v>1331</v>
      </c>
      <c r="E4668" t="s">
        <v>492</v>
      </c>
      <c r="F4668" t="s">
        <v>334</v>
      </c>
      <c r="G4668" t="s">
        <v>319</v>
      </c>
      <c r="H4668" s="502" t="s">
        <v>1387</v>
      </c>
      <c r="I4668" s="415">
        <v>0</v>
      </c>
      <c r="J4668" s="415">
        <v>0</v>
      </c>
      <c r="K4668" s="415">
        <v>0</v>
      </c>
      <c r="L4668" s="415">
        <v>0</v>
      </c>
      <c r="M4668" s="415">
        <v>0</v>
      </c>
      <c r="N4668" s="415">
        <v>0</v>
      </c>
      <c r="O4668" s="415">
        <v>4004</v>
      </c>
      <c r="P4668" s="415">
        <v>0</v>
      </c>
      <c r="Q4668" s="481">
        <f t="shared" si="118"/>
        <v>0</v>
      </c>
    </row>
    <row r="4669" spans="1:17" x14ac:dyDescent="0.3">
      <c r="A4669" s="431" t="str">
        <f>IFERROR(VLOOKUP(RIGHT(E4669,3)+0,[1]SchLocTable!$A$2:$B$47,2,FALSE)," ")</f>
        <v>Waltersville</v>
      </c>
      <c r="B4669" s="431" t="str">
        <f>VLOOKUP(VALUE(D4669),$D$3:F$106,3,FALSE)</f>
        <v>Supplementary Supplies</v>
      </c>
      <c r="C4669" t="s">
        <v>314</v>
      </c>
      <c r="D4669" t="s">
        <v>1331</v>
      </c>
      <c r="E4669" t="s">
        <v>492</v>
      </c>
      <c r="F4669" t="s">
        <v>320</v>
      </c>
      <c r="G4669" t="s">
        <v>319</v>
      </c>
      <c r="H4669" s="502" t="s">
        <v>1245</v>
      </c>
      <c r="I4669" s="415">
        <v>0</v>
      </c>
      <c r="J4669" s="415">
        <v>0</v>
      </c>
      <c r="K4669" s="415">
        <v>0</v>
      </c>
      <c r="L4669" s="415">
        <v>0</v>
      </c>
      <c r="M4669" s="415">
        <v>0</v>
      </c>
      <c r="N4669" s="415">
        <v>0</v>
      </c>
      <c r="O4669" s="415">
        <v>58.06</v>
      </c>
      <c r="P4669" s="415">
        <v>0</v>
      </c>
      <c r="Q4669" s="481">
        <f t="shared" si="118"/>
        <v>0</v>
      </c>
    </row>
    <row r="4670" spans="1:17" x14ac:dyDescent="0.3">
      <c r="A4670" s="431" t="str">
        <f>IFERROR(VLOOKUP(RIGHT(E4670,3)+0,[1]SchLocTable!$A$2:$B$47,2,FALSE)," ")</f>
        <v>Waltersville</v>
      </c>
      <c r="B4670" s="431" t="str">
        <f>VLOOKUP(VALUE(D4670),$D$3:F$106,3,FALSE)</f>
        <v>Supplementary Supplies</v>
      </c>
      <c r="C4670" t="s">
        <v>314</v>
      </c>
      <c r="D4670" t="s">
        <v>1331</v>
      </c>
      <c r="E4670" t="s">
        <v>492</v>
      </c>
      <c r="F4670" t="s">
        <v>324</v>
      </c>
      <c r="G4670" t="s">
        <v>319</v>
      </c>
      <c r="H4670" s="502" t="s">
        <v>1246</v>
      </c>
      <c r="I4670" s="415">
        <v>0</v>
      </c>
      <c r="J4670" s="415">
        <v>0</v>
      </c>
      <c r="K4670" s="415">
        <v>0</v>
      </c>
      <c r="L4670" s="415">
        <v>0</v>
      </c>
      <c r="M4670" s="415">
        <v>0</v>
      </c>
      <c r="N4670" s="415">
        <v>0</v>
      </c>
      <c r="O4670" s="415">
        <v>64.45</v>
      </c>
      <c r="P4670" s="415">
        <v>0</v>
      </c>
      <c r="Q4670" s="481">
        <f t="shared" si="118"/>
        <v>0</v>
      </c>
    </row>
    <row r="4671" spans="1:17" x14ac:dyDescent="0.3">
      <c r="A4671" s="431" t="str">
        <f>IFERROR(VLOOKUP(RIGHT(E4671,3)+0,[1]SchLocTable!$A$2:$B$47,2,FALSE)," ")</f>
        <v>Claytor</v>
      </c>
      <c r="B4671" s="431" t="str">
        <f>VLOOKUP(VALUE(D4671),$D$3:F$106,3,FALSE)</f>
        <v>Supplementary Supplies</v>
      </c>
      <c r="C4671" t="s">
        <v>314</v>
      </c>
      <c r="D4671" t="s">
        <v>1331</v>
      </c>
      <c r="E4671" t="s">
        <v>493</v>
      </c>
      <c r="F4671" t="s">
        <v>320</v>
      </c>
      <c r="G4671" t="s">
        <v>319</v>
      </c>
      <c r="H4671" s="502">
        <v>52360</v>
      </c>
      <c r="I4671" s="415"/>
      <c r="J4671" s="415"/>
      <c r="K4671" s="415"/>
      <c r="L4671" s="415">
        <v>0</v>
      </c>
      <c r="M4671" s="415">
        <v>0</v>
      </c>
      <c r="N4671" s="415">
        <v>2.67</v>
      </c>
      <c r="O4671" s="415">
        <v>0</v>
      </c>
      <c r="P4671" s="415">
        <v>0</v>
      </c>
      <c r="Q4671" s="481">
        <f t="shared" ref="Q4671:Q4734" si="119">J4671-I4671</f>
        <v>0</v>
      </c>
    </row>
    <row r="4672" spans="1:17" x14ac:dyDescent="0.3">
      <c r="A4672" s="431" t="str">
        <f>IFERROR(VLOOKUP(RIGHT(E4672,3)+0,[1]SchLocTable!$A$2:$B$47,2,FALSE)," ")</f>
        <v>Claytor</v>
      </c>
      <c r="B4672" s="431" t="str">
        <f>VLOOKUP(VALUE(D4672),$D$3:F$106,3,FALSE)</f>
        <v>Supplementary Supplies</v>
      </c>
      <c r="C4672" t="s">
        <v>314</v>
      </c>
      <c r="D4672" t="s">
        <v>1331</v>
      </c>
      <c r="E4672" t="s">
        <v>493</v>
      </c>
      <c r="F4672" t="s">
        <v>392</v>
      </c>
      <c r="G4672" t="s">
        <v>319</v>
      </c>
      <c r="H4672" s="502">
        <v>52504</v>
      </c>
      <c r="I4672" s="415"/>
      <c r="J4672" s="415"/>
      <c r="K4672" s="415"/>
      <c r="L4672" s="415">
        <v>0</v>
      </c>
      <c r="M4672" s="415">
        <v>0</v>
      </c>
      <c r="N4672" s="415">
        <v>34.950000000000003</v>
      </c>
      <c r="O4672" s="415">
        <v>0</v>
      </c>
      <c r="P4672" s="415">
        <v>0</v>
      </c>
      <c r="Q4672" s="481">
        <f t="shared" si="119"/>
        <v>0</v>
      </c>
    </row>
    <row r="4673" spans="1:17" x14ac:dyDescent="0.3">
      <c r="A4673" s="431" t="str">
        <f>IFERROR(VLOOKUP(RIGHT(E4673,3)+0,[1]SchLocTable!$A$2:$B$47,2,FALSE)," ")</f>
        <v>Claytor</v>
      </c>
      <c r="B4673" s="431" t="str">
        <f>VLOOKUP(VALUE(D4673),$D$3:F$106,3,FALSE)</f>
        <v>Supplementary Supplies</v>
      </c>
      <c r="C4673" t="s">
        <v>314</v>
      </c>
      <c r="D4673" t="s">
        <v>1331</v>
      </c>
      <c r="E4673" t="s">
        <v>493</v>
      </c>
      <c r="F4673" t="s">
        <v>452</v>
      </c>
      <c r="G4673" t="s">
        <v>319</v>
      </c>
      <c r="H4673" s="502">
        <v>51108</v>
      </c>
      <c r="I4673" s="415"/>
      <c r="J4673" s="415"/>
      <c r="K4673" s="415"/>
      <c r="L4673" s="415">
        <v>0</v>
      </c>
      <c r="M4673" s="415">
        <v>0</v>
      </c>
      <c r="N4673" s="415">
        <v>183.77</v>
      </c>
      <c r="O4673" s="415">
        <v>0</v>
      </c>
      <c r="P4673" s="415">
        <v>0</v>
      </c>
      <c r="Q4673" s="481">
        <f t="shared" si="119"/>
        <v>0</v>
      </c>
    </row>
    <row r="4674" spans="1:17" x14ac:dyDescent="0.3">
      <c r="A4674" s="431" t="str">
        <f>IFERROR(VLOOKUP(RIGHT(E4674,3)+0,[1]SchLocTable!$A$2:$B$47,2,FALSE)," ")</f>
        <v>Johnson</v>
      </c>
      <c r="B4674" s="431" t="str">
        <f>VLOOKUP(VALUE(D4674),$D$3:F$106,3,FALSE)</f>
        <v>Supplementary Supplies</v>
      </c>
      <c r="C4674" t="s">
        <v>314</v>
      </c>
      <c r="D4674" t="s">
        <v>1331</v>
      </c>
      <c r="E4674" t="s">
        <v>494</v>
      </c>
      <c r="F4674" t="s">
        <v>320</v>
      </c>
      <c r="G4674" t="s">
        <v>319</v>
      </c>
      <c r="H4674" s="502" t="s">
        <v>1245</v>
      </c>
      <c r="I4674" s="415">
        <v>0</v>
      </c>
      <c r="J4674" s="415">
        <v>0</v>
      </c>
      <c r="K4674" s="415">
        <v>0</v>
      </c>
      <c r="L4674" s="415">
        <v>0</v>
      </c>
      <c r="M4674" s="415">
        <v>0</v>
      </c>
      <c r="N4674" s="415">
        <v>0</v>
      </c>
      <c r="O4674" s="415">
        <v>0</v>
      </c>
      <c r="P4674" s="415">
        <v>3.71</v>
      </c>
      <c r="Q4674" s="481">
        <f t="shared" si="119"/>
        <v>0</v>
      </c>
    </row>
    <row r="4675" spans="1:17" x14ac:dyDescent="0.3">
      <c r="A4675" s="431" t="str">
        <f>IFERROR(VLOOKUP(RIGHT(E4675,3)+0,[1]SchLocTable!$A$2:$B$47,2,FALSE)," ")</f>
        <v>Johnson</v>
      </c>
      <c r="B4675" s="431" t="str">
        <f>VLOOKUP(VALUE(D4675),$D$3:F$106,3,FALSE)</f>
        <v>Supplementary Supplies</v>
      </c>
      <c r="C4675" t="s">
        <v>314</v>
      </c>
      <c r="D4675" t="s">
        <v>1331</v>
      </c>
      <c r="E4675" t="s">
        <v>494</v>
      </c>
      <c r="F4675" t="s">
        <v>392</v>
      </c>
      <c r="G4675" t="s">
        <v>319</v>
      </c>
      <c r="H4675" s="502" t="s">
        <v>1247</v>
      </c>
      <c r="I4675" s="415">
        <v>0</v>
      </c>
      <c r="J4675" s="415">
        <v>0</v>
      </c>
      <c r="K4675" s="415">
        <v>0</v>
      </c>
      <c r="L4675" s="415">
        <v>0</v>
      </c>
      <c r="M4675" s="415">
        <v>0</v>
      </c>
      <c r="N4675" s="415">
        <v>0</v>
      </c>
      <c r="O4675" s="415">
        <v>0</v>
      </c>
      <c r="P4675" s="415">
        <v>36.49</v>
      </c>
      <c r="Q4675" s="481">
        <f t="shared" si="119"/>
        <v>0</v>
      </c>
    </row>
    <row r="4676" spans="1:17" x14ac:dyDescent="0.3">
      <c r="A4676" s="431" t="str">
        <f>IFERROR(VLOOKUP(RIGHT(E4676,3)+0,[1]SchLocTable!$A$2:$B$47,2,FALSE)," ")</f>
        <v>Johnson</v>
      </c>
      <c r="B4676" s="431" t="str">
        <f>VLOOKUP(VALUE(D4676),$D$3:F$106,3,FALSE)</f>
        <v>Supplementary Supplies</v>
      </c>
      <c r="C4676" t="s">
        <v>314</v>
      </c>
      <c r="D4676" t="s">
        <v>1331</v>
      </c>
      <c r="E4676" t="s">
        <v>494</v>
      </c>
      <c r="F4676" t="s">
        <v>483</v>
      </c>
      <c r="G4676" t="s">
        <v>319</v>
      </c>
      <c r="H4676" s="502" t="s">
        <v>1237</v>
      </c>
      <c r="I4676" s="415">
        <v>0</v>
      </c>
      <c r="J4676" s="415">
        <v>0</v>
      </c>
      <c r="K4676" s="415">
        <v>0</v>
      </c>
      <c r="L4676" s="415">
        <v>0</v>
      </c>
      <c r="M4676" s="415">
        <v>0</v>
      </c>
      <c r="N4676" s="415">
        <v>0</v>
      </c>
      <c r="O4676" s="415">
        <v>0</v>
      </c>
      <c r="P4676" s="415">
        <v>256.44</v>
      </c>
      <c r="Q4676" s="481">
        <f t="shared" si="119"/>
        <v>0</v>
      </c>
    </row>
    <row r="4677" spans="1:17" x14ac:dyDescent="0.3">
      <c r="A4677" s="431" t="str">
        <f>IFERROR(VLOOKUP(RIGHT(E4677,3)+0,[1]SchLocTable!$A$2:$B$47,2,FALSE)," ")</f>
        <v>Cross</v>
      </c>
      <c r="B4677" s="431" t="str">
        <f>VLOOKUP(VALUE(D4677),$D$3:F$106,3,FALSE)</f>
        <v>Supplementary Supplies</v>
      </c>
      <c r="C4677" t="s">
        <v>314</v>
      </c>
      <c r="D4677" t="s">
        <v>1331</v>
      </c>
      <c r="E4677" t="s">
        <v>497</v>
      </c>
      <c r="F4677" t="s">
        <v>334</v>
      </c>
      <c r="G4677" t="s">
        <v>319</v>
      </c>
      <c r="H4677" s="502" t="s">
        <v>1387</v>
      </c>
      <c r="I4677" s="415">
        <v>0</v>
      </c>
      <c r="J4677" s="415">
        <v>0</v>
      </c>
      <c r="K4677" s="415">
        <v>0</v>
      </c>
      <c r="L4677" s="415">
        <v>0</v>
      </c>
      <c r="M4677" s="415">
        <v>0</v>
      </c>
      <c r="N4677" s="415">
        <v>0</v>
      </c>
      <c r="O4677" s="415">
        <v>308</v>
      </c>
      <c r="P4677" s="415">
        <v>0</v>
      </c>
      <c r="Q4677" s="481">
        <f t="shared" si="119"/>
        <v>0</v>
      </c>
    </row>
    <row r="4678" spans="1:17" x14ac:dyDescent="0.3">
      <c r="A4678" s="431" t="str">
        <f>IFERROR(VLOOKUP(RIGHT(E4678,3)+0,[1]SchLocTable!$A$2:$B$47,2,FALSE)," ")</f>
        <v>Cross</v>
      </c>
      <c r="B4678" s="431" t="str">
        <f>VLOOKUP(VALUE(D4678),$D$3:F$106,3,FALSE)</f>
        <v>Supplementary Supplies</v>
      </c>
      <c r="C4678" t="s">
        <v>314</v>
      </c>
      <c r="D4678" t="s">
        <v>1331</v>
      </c>
      <c r="E4678" t="s">
        <v>497</v>
      </c>
      <c r="F4678" t="s">
        <v>320</v>
      </c>
      <c r="G4678" t="s">
        <v>319</v>
      </c>
      <c r="H4678" s="502" t="s">
        <v>1245</v>
      </c>
      <c r="I4678" s="415">
        <v>0</v>
      </c>
      <c r="J4678" s="415">
        <v>0</v>
      </c>
      <c r="K4678" s="415">
        <v>0</v>
      </c>
      <c r="L4678" s="415">
        <v>0</v>
      </c>
      <c r="M4678" s="415">
        <v>0</v>
      </c>
      <c r="N4678" s="415">
        <v>0</v>
      </c>
      <c r="O4678" s="415">
        <v>4.47</v>
      </c>
      <c r="P4678" s="415">
        <v>0</v>
      </c>
      <c r="Q4678" s="481">
        <f t="shared" si="119"/>
        <v>0</v>
      </c>
    </row>
    <row r="4679" spans="1:17" x14ac:dyDescent="0.3">
      <c r="A4679" s="431" t="str">
        <f>IFERROR(VLOOKUP(RIGHT(E4679,3)+0,[1]SchLocTable!$A$2:$B$47,2,FALSE)," ")</f>
        <v>Curiale</v>
      </c>
      <c r="B4679" s="431" t="str">
        <f>VLOOKUP(VALUE(D4679),$D$3:F$106,3,FALSE)</f>
        <v>Supplementary Supplies</v>
      </c>
      <c r="C4679" t="s">
        <v>314</v>
      </c>
      <c r="D4679" t="s">
        <v>1331</v>
      </c>
      <c r="E4679" t="s">
        <v>500</v>
      </c>
      <c r="F4679" t="s">
        <v>452</v>
      </c>
      <c r="G4679" t="s">
        <v>319</v>
      </c>
      <c r="H4679" s="502">
        <v>51108</v>
      </c>
      <c r="I4679" s="415"/>
      <c r="J4679" s="415"/>
      <c r="K4679" s="415"/>
      <c r="L4679" s="415">
        <v>0</v>
      </c>
      <c r="M4679" s="415">
        <v>0</v>
      </c>
      <c r="N4679" s="415">
        <v>44.1</v>
      </c>
      <c r="O4679" s="415">
        <v>246.19</v>
      </c>
      <c r="P4679" s="415">
        <v>2336.4</v>
      </c>
      <c r="Q4679" s="481">
        <f t="shared" si="119"/>
        <v>0</v>
      </c>
    </row>
    <row r="4680" spans="1:17" x14ac:dyDescent="0.3">
      <c r="A4680" s="431" t="str">
        <f>IFERROR(VLOOKUP(RIGHT(E4680,3)+0,[1]SchLocTable!$A$2:$B$47,2,FALSE)," ")</f>
        <v>Skane</v>
      </c>
      <c r="B4680" s="431" t="str">
        <f>VLOOKUP(VALUE(D4680),$D$3:F$106,3,FALSE)</f>
        <v>Supplementary Supplies</v>
      </c>
      <c r="C4680" t="s">
        <v>314</v>
      </c>
      <c r="D4680" t="s">
        <v>1331</v>
      </c>
      <c r="E4680" t="s">
        <v>501</v>
      </c>
      <c r="F4680" t="s">
        <v>392</v>
      </c>
      <c r="G4680" t="s">
        <v>319</v>
      </c>
      <c r="H4680" s="502" t="s">
        <v>1247</v>
      </c>
      <c r="I4680" s="415">
        <v>0</v>
      </c>
      <c r="J4680" s="415">
        <v>0</v>
      </c>
      <c r="K4680" s="415">
        <v>0</v>
      </c>
      <c r="L4680" s="415">
        <v>0</v>
      </c>
      <c r="M4680" s="415">
        <v>0</v>
      </c>
      <c r="N4680" s="415">
        <v>0</v>
      </c>
      <c r="O4680" s="415">
        <v>0</v>
      </c>
      <c r="P4680" s="415">
        <v>75.28</v>
      </c>
      <c r="Q4680" s="481">
        <f t="shared" si="119"/>
        <v>0</v>
      </c>
    </row>
    <row r="4681" spans="1:17" x14ac:dyDescent="0.3">
      <c r="A4681" s="431" t="str">
        <f>IFERROR(VLOOKUP(RIGHT(E4681,3)+0,[1]SchLocTable!$A$2:$B$47,2,FALSE)," ")</f>
        <v>Multicultural Magnet</v>
      </c>
      <c r="B4681" s="431" t="str">
        <f>VLOOKUP(VALUE(D4681),$D$3:F$106,3,FALSE)</f>
        <v>Supplementary Supplies</v>
      </c>
      <c r="C4681" t="s">
        <v>314</v>
      </c>
      <c r="D4681" t="s">
        <v>1331</v>
      </c>
      <c r="E4681" t="s">
        <v>504</v>
      </c>
      <c r="F4681" t="s">
        <v>320</v>
      </c>
      <c r="G4681" t="s">
        <v>319</v>
      </c>
      <c r="H4681" s="502">
        <v>52360</v>
      </c>
      <c r="I4681" s="415"/>
      <c r="J4681" s="415"/>
      <c r="K4681" s="415"/>
      <c r="L4681" s="415">
        <v>0</v>
      </c>
      <c r="M4681" s="415">
        <v>0</v>
      </c>
      <c r="N4681" s="415">
        <v>2.67</v>
      </c>
      <c r="O4681" s="415">
        <v>0</v>
      </c>
      <c r="P4681" s="415">
        <v>0</v>
      </c>
      <c r="Q4681" s="481">
        <f t="shared" si="119"/>
        <v>0</v>
      </c>
    </row>
    <row r="4682" spans="1:17" x14ac:dyDescent="0.3">
      <c r="A4682" s="431" t="str">
        <f>IFERROR(VLOOKUP(RIGHT(E4682,3)+0,[1]SchLocTable!$A$2:$B$47,2,FALSE)," ")</f>
        <v>Multicultural Magnet</v>
      </c>
      <c r="B4682" s="431" t="str">
        <f>VLOOKUP(VALUE(D4682),$D$3:F$106,3,FALSE)</f>
        <v>Supplementary Supplies</v>
      </c>
      <c r="C4682" t="s">
        <v>314</v>
      </c>
      <c r="D4682" t="s">
        <v>1331</v>
      </c>
      <c r="E4682" t="s">
        <v>504</v>
      </c>
      <c r="F4682" t="s">
        <v>392</v>
      </c>
      <c r="G4682" t="s">
        <v>319</v>
      </c>
      <c r="H4682" s="502">
        <v>52504</v>
      </c>
      <c r="I4682" s="415"/>
      <c r="J4682" s="415"/>
      <c r="K4682" s="415"/>
      <c r="L4682" s="415">
        <v>0</v>
      </c>
      <c r="M4682" s="415">
        <v>0</v>
      </c>
      <c r="N4682" s="415">
        <v>35.03</v>
      </c>
      <c r="O4682" s="415">
        <v>0</v>
      </c>
      <c r="P4682" s="415">
        <v>0</v>
      </c>
      <c r="Q4682" s="481">
        <f t="shared" si="119"/>
        <v>0</v>
      </c>
    </row>
    <row r="4683" spans="1:17" x14ac:dyDescent="0.3">
      <c r="A4683" s="431" t="str">
        <f>IFERROR(VLOOKUP(RIGHT(E4683,3)+0,[1]SchLocTable!$A$2:$B$47,2,FALSE)," ")</f>
        <v>Multicultural Magnet</v>
      </c>
      <c r="B4683" s="431" t="str">
        <f>VLOOKUP(VALUE(D4683),$D$3:F$106,3,FALSE)</f>
        <v>Supplementary Supplies</v>
      </c>
      <c r="C4683" t="s">
        <v>314</v>
      </c>
      <c r="D4683" t="s">
        <v>1331</v>
      </c>
      <c r="E4683" t="s">
        <v>504</v>
      </c>
      <c r="F4683" t="s">
        <v>483</v>
      </c>
      <c r="G4683" t="s">
        <v>319</v>
      </c>
      <c r="H4683" s="502">
        <v>51122</v>
      </c>
      <c r="I4683" s="415"/>
      <c r="J4683" s="415"/>
      <c r="K4683" s="415"/>
      <c r="L4683" s="415">
        <v>0</v>
      </c>
      <c r="M4683" s="415">
        <v>0</v>
      </c>
      <c r="N4683" s="415">
        <v>184.19</v>
      </c>
      <c r="O4683" s="415">
        <v>0</v>
      </c>
      <c r="P4683" s="415">
        <v>0</v>
      </c>
      <c r="Q4683" s="481">
        <f t="shared" si="119"/>
        <v>0</v>
      </c>
    </row>
    <row r="4684" spans="1:17" x14ac:dyDescent="0.3">
      <c r="A4684" s="431" t="str">
        <f>IFERROR(VLOOKUP(RIGHT(E4684,3)+0,[1]SchLocTable!$A$2:$B$47,2,FALSE)," ")</f>
        <v>Central HS</v>
      </c>
      <c r="B4684" s="431" t="str">
        <f>VLOOKUP(VALUE(D4684),$D$3:F$106,3,FALSE)</f>
        <v>Supplementary Supplies</v>
      </c>
      <c r="C4684" t="s">
        <v>314</v>
      </c>
      <c r="D4684" t="s">
        <v>1331</v>
      </c>
      <c r="E4684" t="s">
        <v>506</v>
      </c>
      <c r="F4684" t="s">
        <v>392</v>
      </c>
      <c r="G4684" t="s">
        <v>319</v>
      </c>
      <c r="H4684" s="502">
        <v>52504</v>
      </c>
      <c r="I4684" s="415"/>
      <c r="J4684" s="415"/>
      <c r="K4684" s="415"/>
      <c r="L4684" s="415">
        <v>0</v>
      </c>
      <c r="M4684" s="415">
        <v>0</v>
      </c>
      <c r="N4684" s="415">
        <v>178.17</v>
      </c>
      <c r="O4684" s="415">
        <v>0</v>
      </c>
      <c r="P4684" s="415">
        <v>321.47000000000003</v>
      </c>
      <c r="Q4684" s="481">
        <f t="shared" si="119"/>
        <v>0</v>
      </c>
    </row>
    <row r="4685" spans="1:17" x14ac:dyDescent="0.3">
      <c r="A4685" s="431" t="str">
        <f>IFERROR(VLOOKUP(RIGHT(E4685,3)+0,[1]SchLocTable!$A$2:$B$47,2,FALSE)," ")</f>
        <v>Central HS</v>
      </c>
      <c r="B4685" s="431" t="str">
        <f>VLOOKUP(VALUE(D4685),$D$3:F$106,3,FALSE)</f>
        <v>Supplementary Supplies</v>
      </c>
      <c r="C4685" t="s">
        <v>314</v>
      </c>
      <c r="D4685" t="s">
        <v>1331</v>
      </c>
      <c r="E4685" t="s">
        <v>506</v>
      </c>
      <c r="F4685" t="s">
        <v>452</v>
      </c>
      <c r="G4685" t="s">
        <v>319</v>
      </c>
      <c r="H4685" s="502">
        <v>51108</v>
      </c>
      <c r="I4685" s="415"/>
      <c r="J4685" s="415"/>
      <c r="K4685" s="415"/>
      <c r="L4685" s="415">
        <v>0</v>
      </c>
      <c r="M4685" s="415">
        <v>0</v>
      </c>
      <c r="N4685" s="415">
        <v>227.12</v>
      </c>
      <c r="O4685" s="415">
        <v>0</v>
      </c>
      <c r="P4685" s="415">
        <v>151.31</v>
      </c>
      <c r="Q4685" s="481">
        <f t="shared" si="119"/>
        <v>0</v>
      </c>
    </row>
    <row r="4686" spans="1:17" x14ac:dyDescent="0.3">
      <c r="A4686" s="431" t="str">
        <f>IFERROR(VLOOKUP(RIGHT(E4686,3)+0,[1]SchLocTable!$A$2:$B$47,2,FALSE)," ")</f>
        <v>Central HS</v>
      </c>
      <c r="B4686" s="431" t="str">
        <f>VLOOKUP(VALUE(D4686),$D$3:F$106,3,FALSE)</f>
        <v>Supplementary Supplies</v>
      </c>
      <c r="C4686" t="s">
        <v>314</v>
      </c>
      <c r="D4686" t="s">
        <v>1331</v>
      </c>
      <c r="E4686" t="s">
        <v>506</v>
      </c>
      <c r="F4686" t="s">
        <v>427</v>
      </c>
      <c r="G4686" t="s">
        <v>319</v>
      </c>
      <c r="H4686" s="502">
        <v>51106</v>
      </c>
      <c r="I4686" s="415"/>
      <c r="J4686" s="415"/>
      <c r="K4686" s="415"/>
      <c r="L4686" s="415">
        <v>0</v>
      </c>
      <c r="M4686" s="415">
        <v>0</v>
      </c>
      <c r="N4686" s="415">
        <v>218.03</v>
      </c>
      <c r="O4686" s="415">
        <v>0</v>
      </c>
      <c r="P4686" s="415">
        <v>0</v>
      </c>
      <c r="Q4686" s="481">
        <f t="shared" si="119"/>
        <v>0</v>
      </c>
    </row>
    <row r="4687" spans="1:17" x14ac:dyDescent="0.3">
      <c r="A4687" s="431" t="str">
        <f>IFERROR(VLOOKUP(RIGHT(E4687,3)+0,[1]SchLocTable!$A$2:$B$47,2,FALSE)," ")</f>
        <v>Central HS</v>
      </c>
      <c r="B4687" s="431" t="str">
        <f>VLOOKUP(VALUE(D4687),$D$3:F$106,3,FALSE)</f>
        <v>Supplementary Supplies</v>
      </c>
      <c r="C4687" t="s">
        <v>314</v>
      </c>
      <c r="D4687" t="s">
        <v>1331</v>
      </c>
      <c r="E4687" t="s">
        <v>506</v>
      </c>
      <c r="F4687" t="s">
        <v>483</v>
      </c>
      <c r="G4687" t="s">
        <v>319</v>
      </c>
      <c r="H4687" s="502">
        <v>51122</v>
      </c>
      <c r="I4687" s="415"/>
      <c r="J4687" s="415"/>
      <c r="K4687" s="415"/>
      <c r="L4687" s="415">
        <v>0</v>
      </c>
      <c r="M4687" s="415">
        <v>0</v>
      </c>
      <c r="N4687" s="415">
        <v>104.67</v>
      </c>
      <c r="O4687" s="415">
        <v>0</v>
      </c>
      <c r="P4687" s="415">
        <v>2107.7399999999998</v>
      </c>
      <c r="Q4687" s="481">
        <f t="shared" si="119"/>
        <v>0</v>
      </c>
    </row>
    <row r="4688" spans="1:17" x14ac:dyDescent="0.3">
      <c r="A4688" s="431" t="str">
        <f>IFERROR(VLOOKUP(RIGHT(E4688,3)+0,[1]SchLocTable!$A$2:$B$47,2,FALSE)," ")</f>
        <v>Central HS</v>
      </c>
      <c r="B4688" s="431" t="str">
        <f>VLOOKUP(VALUE(D4688),$D$3:F$106,3,FALSE)</f>
        <v>Supplementary Supplies</v>
      </c>
      <c r="C4688" t="s">
        <v>314</v>
      </c>
      <c r="D4688" t="s">
        <v>1331</v>
      </c>
      <c r="E4688" t="s">
        <v>506</v>
      </c>
      <c r="F4688" t="s">
        <v>324</v>
      </c>
      <c r="G4688" t="s">
        <v>319</v>
      </c>
      <c r="H4688" s="502">
        <v>52385</v>
      </c>
      <c r="I4688" s="415"/>
      <c r="J4688" s="415"/>
      <c r="K4688" s="415"/>
      <c r="L4688" s="415">
        <v>0</v>
      </c>
      <c r="M4688" s="415">
        <v>0</v>
      </c>
      <c r="N4688" s="415">
        <v>6.49</v>
      </c>
      <c r="O4688" s="415">
        <v>0</v>
      </c>
      <c r="P4688" s="415">
        <v>0</v>
      </c>
      <c r="Q4688" s="481">
        <f t="shared" si="119"/>
        <v>0</v>
      </c>
    </row>
    <row r="4689" spans="1:17" x14ac:dyDescent="0.3">
      <c r="A4689" s="431" t="str">
        <f>IFERROR(VLOOKUP(RIGHT(E4689,3)+0,[1]SchLocTable!$A$2:$B$47,2,FALSE)," ")</f>
        <v>Harding HS</v>
      </c>
      <c r="B4689" s="431" t="str">
        <f>VLOOKUP(VALUE(D4689),$D$3:F$106,3,FALSE)</f>
        <v>Supplementary Supplies</v>
      </c>
      <c r="C4689" t="s">
        <v>314</v>
      </c>
      <c r="D4689" t="s">
        <v>1331</v>
      </c>
      <c r="E4689" t="s">
        <v>507</v>
      </c>
      <c r="F4689" t="s">
        <v>1094</v>
      </c>
      <c r="G4689" t="s">
        <v>319</v>
      </c>
      <c r="H4689" s="502" t="s">
        <v>1388</v>
      </c>
      <c r="I4689" s="415">
        <v>0</v>
      </c>
      <c r="J4689" s="415">
        <v>0</v>
      </c>
      <c r="K4689" s="415">
        <v>0</v>
      </c>
      <c r="L4689" s="415">
        <v>0</v>
      </c>
      <c r="M4689" s="415">
        <v>0</v>
      </c>
      <c r="N4689" s="415">
        <v>0</v>
      </c>
      <c r="O4689" s="415">
        <v>903.25</v>
      </c>
      <c r="P4689" s="415">
        <v>0</v>
      </c>
      <c r="Q4689" s="481">
        <f t="shared" si="119"/>
        <v>0</v>
      </c>
    </row>
    <row r="4690" spans="1:17" x14ac:dyDescent="0.3">
      <c r="A4690" s="431" t="str">
        <f>IFERROR(VLOOKUP(RIGHT(E4690,3)+0,[1]SchLocTable!$A$2:$B$47,2,FALSE)," ")</f>
        <v>Harding HS</v>
      </c>
      <c r="B4690" s="431" t="str">
        <f>VLOOKUP(VALUE(D4690),$D$3:F$106,3,FALSE)</f>
        <v>Supplementary Supplies</v>
      </c>
      <c r="C4690" t="s">
        <v>314</v>
      </c>
      <c r="D4690" t="s">
        <v>1331</v>
      </c>
      <c r="E4690" t="s">
        <v>507</v>
      </c>
      <c r="F4690" t="s">
        <v>392</v>
      </c>
      <c r="G4690" t="s">
        <v>319</v>
      </c>
      <c r="H4690" s="502">
        <v>52504</v>
      </c>
      <c r="I4690" s="415"/>
      <c r="J4690" s="415"/>
      <c r="K4690" s="415"/>
      <c r="L4690" s="415">
        <v>0</v>
      </c>
      <c r="M4690" s="415">
        <v>0</v>
      </c>
      <c r="N4690" s="415">
        <v>862.81</v>
      </c>
      <c r="O4690" s="415">
        <v>107.07</v>
      </c>
      <c r="P4690" s="415">
        <v>300.63</v>
      </c>
      <c r="Q4690" s="481">
        <f t="shared" si="119"/>
        <v>0</v>
      </c>
    </row>
    <row r="4691" spans="1:17" x14ac:dyDescent="0.3">
      <c r="A4691" s="431" t="str">
        <f>IFERROR(VLOOKUP(RIGHT(E4691,3)+0,[1]SchLocTable!$A$2:$B$47,2,FALSE)," ")</f>
        <v>Harding HS</v>
      </c>
      <c r="B4691" s="431" t="str">
        <f>VLOOKUP(VALUE(D4691),$D$3:F$106,3,FALSE)</f>
        <v>Supplementary Supplies</v>
      </c>
      <c r="C4691" t="s">
        <v>314</v>
      </c>
      <c r="D4691" t="s">
        <v>1331</v>
      </c>
      <c r="E4691" t="s">
        <v>507</v>
      </c>
      <c r="F4691" t="s">
        <v>452</v>
      </c>
      <c r="G4691" t="s">
        <v>319</v>
      </c>
      <c r="H4691" s="502">
        <v>51108</v>
      </c>
      <c r="I4691" s="415"/>
      <c r="J4691" s="415"/>
      <c r="K4691" s="415"/>
      <c r="L4691" s="415">
        <v>0</v>
      </c>
      <c r="M4691" s="415">
        <v>0</v>
      </c>
      <c r="N4691" s="415">
        <v>4126.62</v>
      </c>
      <c r="O4691" s="415">
        <v>638.24</v>
      </c>
      <c r="P4691" s="415">
        <v>2112.6</v>
      </c>
      <c r="Q4691" s="481">
        <f t="shared" si="119"/>
        <v>0</v>
      </c>
    </row>
    <row r="4692" spans="1:17" x14ac:dyDescent="0.3">
      <c r="A4692" s="431" t="str">
        <f>IFERROR(VLOOKUP(RIGHT(E4692,3)+0,[1]SchLocTable!$A$2:$B$47,2,FALSE)," ")</f>
        <v>Harding HS</v>
      </c>
      <c r="B4692" s="431" t="str">
        <f>VLOOKUP(VALUE(D4692),$D$3:F$106,3,FALSE)</f>
        <v>Supplementary Supplies</v>
      </c>
      <c r="C4692" t="s">
        <v>314</v>
      </c>
      <c r="D4692" t="s">
        <v>1331</v>
      </c>
      <c r="E4692" t="s">
        <v>507</v>
      </c>
      <c r="F4692" t="s">
        <v>483</v>
      </c>
      <c r="G4692" t="s">
        <v>319</v>
      </c>
      <c r="H4692" s="502">
        <v>51122</v>
      </c>
      <c r="I4692" s="415"/>
      <c r="J4692" s="415"/>
      <c r="K4692" s="415"/>
      <c r="L4692" s="415">
        <v>0</v>
      </c>
      <c r="M4692" s="415">
        <v>0</v>
      </c>
      <c r="N4692" s="415">
        <v>409.78</v>
      </c>
      <c r="O4692" s="415">
        <v>14.98</v>
      </c>
      <c r="P4692" s="415">
        <v>0</v>
      </c>
      <c r="Q4692" s="481">
        <f t="shared" si="119"/>
        <v>0</v>
      </c>
    </row>
    <row r="4693" spans="1:17" x14ac:dyDescent="0.3">
      <c r="A4693" s="431" t="str">
        <f>IFERROR(VLOOKUP(RIGHT(E4693,3)+0,[1]SchLocTable!$A$2:$B$47,2,FALSE)," ")</f>
        <v>Beardsley</v>
      </c>
      <c r="B4693" s="431" t="str">
        <f>VLOOKUP(VALUE(D4693),$D$3:F$106,3,FALSE)</f>
        <v>Kindergarten Teachers</v>
      </c>
      <c r="C4693" t="s">
        <v>314</v>
      </c>
      <c r="D4693" t="s">
        <v>1395</v>
      </c>
      <c r="E4693" t="s">
        <v>509</v>
      </c>
      <c r="F4693" t="s">
        <v>329</v>
      </c>
      <c r="G4693" t="s">
        <v>319</v>
      </c>
      <c r="H4693" s="502" t="s">
        <v>1240</v>
      </c>
      <c r="I4693" s="415">
        <v>0</v>
      </c>
      <c r="J4693" s="415">
        <v>0</v>
      </c>
      <c r="K4693" s="415">
        <v>0</v>
      </c>
      <c r="L4693" s="415">
        <v>0</v>
      </c>
      <c r="M4693" s="415">
        <v>0</v>
      </c>
      <c r="N4693" s="415">
        <v>0</v>
      </c>
      <c r="O4693" s="415">
        <v>11375</v>
      </c>
      <c r="P4693" s="415">
        <v>0</v>
      </c>
      <c r="Q4693" s="481">
        <f t="shared" si="119"/>
        <v>0</v>
      </c>
    </row>
    <row r="4694" spans="1:17" x14ac:dyDescent="0.3">
      <c r="A4694" s="431" t="str">
        <f>IFERROR(VLOOKUP(RIGHT(E4694,3)+0,[1]SchLocTable!$A$2:$B$47,2,FALSE)," ")</f>
        <v>Bryant</v>
      </c>
      <c r="B4694" s="431" t="str">
        <f>VLOOKUP(VALUE(D4694),$D$3:F$106,3,FALSE)</f>
        <v>Kindergarten Teachers</v>
      </c>
      <c r="C4694" t="s">
        <v>314</v>
      </c>
      <c r="D4694" t="s">
        <v>1395</v>
      </c>
      <c r="E4694" t="s">
        <v>511</v>
      </c>
      <c r="F4694" t="s">
        <v>324</v>
      </c>
      <c r="G4694" t="s">
        <v>319</v>
      </c>
      <c r="H4694" s="502" t="s">
        <v>1246</v>
      </c>
      <c r="I4694" s="415">
        <v>0</v>
      </c>
      <c r="J4694" s="415">
        <v>0</v>
      </c>
      <c r="K4694" s="415">
        <v>0</v>
      </c>
      <c r="L4694" s="415">
        <v>0</v>
      </c>
      <c r="M4694" s="415">
        <v>0</v>
      </c>
      <c r="N4694" s="415">
        <v>0</v>
      </c>
      <c r="O4694" s="415">
        <v>268.24</v>
      </c>
      <c r="P4694" s="415">
        <v>0</v>
      </c>
      <c r="Q4694" s="481">
        <f t="shared" si="119"/>
        <v>0</v>
      </c>
    </row>
    <row r="4695" spans="1:17" x14ac:dyDescent="0.3">
      <c r="A4695" s="431" t="str">
        <f>IFERROR(VLOOKUP(RIGHT(E4695,3)+0,[1]SchLocTable!$A$2:$B$47,2,FALSE)," ")</f>
        <v>Bryant</v>
      </c>
      <c r="B4695" s="431" t="str">
        <f>VLOOKUP(VALUE(D4695),$D$3:F$106,3,FALSE)</f>
        <v>Kindergarten Teachers</v>
      </c>
      <c r="C4695" t="s">
        <v>314</v>
      </c>
      <c r="D4695" t="s">
        <v>1395</v>
      </c>
      <c r="E4695" t="s">
        <v>511</v>
      </c>
      <c r="F4695" t="s">
        <v>329</v>
      </c>
      <c r="G4695" t="s">
        <v>319</v>
      </c>
      <c r="H4695" s="502" t="s">
        <v>1240</v>
      </c>
      <c r="I4695" s="415">
        <v>0</v>
      </c>
      <c r="J4695" s="415">
        <v>0</v>
      </c>
      <c r="K4695" s="415">
        <v>0</v>
      </c>
      <c r="L4695" s="415">
        <v>0</v>
      </c>
      <c r="M4695" s="415">
        <v>0</v>
      </c>
      <c r="N4695" s="415">
        <v>0</v>
      </c>
      <c r="O4695" s="415">
        <v>3575</v>
      </c>
      <c r="P4695" s="415">
        <v>0</v>
      </c>
      <c r="Q4695" s="481">
        <f t="shared" si="119"/>
        <v>0</v>
      </c>
    </row>
    <row r="4696" spans="1:17" x14ac:dyDescent="0.3">
      <c r="A4696" s="431" t="str">
        <f>IFERROR(VLOOKUP(RIGHT(E4696,3)+0,[1]SchLocTable!$A$2:$B$47,2,FALSE)," ")</f>
        <v>Columbus</v>
      </c>
      <c r="B4696" s="431" t="str">
        <f>VLOOKUP(VALUE(D4696),$D$3:F$106,3,FALSE)</f>
        <v>Kindergarten Teachers</v>
      </c>
      <c r="C4696" t="s">
        <v>314</v>
      </c>
      <c r="D4696" t="s">
        <v>1395</v>
      </c>
      <c r="E4696" t="s">
        <v>512</v>
      </c>
      <c r="F4696" t="s">
        <v>329</v>
      </c>
      <c r="G4696" t="s">
        <v>319</v>
      </c>
      <c r="H4696" s="502" t="s">
        <v>1240</v>
      </c>
      <c r="I4696" s="415">
        <v>0</v>
      </c>
      <c r="J4696" s="415">
        <v>0</v>
      </c>
      <c r="K4696" s="415">
        <v>0</v>
      </c>
      <c r="L4696" s="415">
        <v>0</v>
      </c>
      <c r="M4696" s="415">
        <v>0</v>
      </c>
      <c r="N4696" s="415">
        <v>0</v>
      </c>
      <c r="O4696" s="415">
        <v>0</v>
      </c>
      <c r="P4696" s="415">
        <v>4225</v>
      </c>
      <c r="Q4696" s="481">
        <f t="shared" si="119"/>
        <v>0</v>
      </c>
    </row>
    <row r="4697" spans="1:17" x14ac:dyDescent="0.3">
      <c r="A4697" s="431" t="str">
        <f>IFERROR(VLOOKUP(RIGHT(E4697,3)+0,[1]SchLocTable!$A$2:$B$47,2,FALSE)," ")</f>
        <v>Edison</v>
      </c>
      <c r="B4697" s="431" t="str">
        <f>VLOOKUP(VALUE(D4697),$D$3:F$106,3,FALSE)</f>
        <v>Kindergarten Teachers</v>
      </c>
      <c r="C4697" t="s">
        <v>314</v>
      </c>
      <c r="D4697" t="s">
        <v>1395</v>
      </c>
      <c r="E4697" t="s">
        <v>513</v>
      </c>
      <c r="F4697" t="s">
        <v>318</v>
      </c>
      <c r="G4697" t="s">
        <v>319</v>
      </c>
      <c r="H4697" s="502" t="s">
        <v>1239</v>
      </c>
      <c r="I4697" s="415">
        <v>0</v>
      </c>
      <c r="J4697" s="415">
        <v>0</v>
      </c>
      <c r="K4697" s="415">
        <v>0</v>
      </c>
      <c r="L4697" s="415">
        <v>0</v>
      </c>
      <c r="M4697" s="415">
        <v>0</v>
      </c>
      <c r="N4697" s="415">
        <v>0</v>
      </c>
      <c r="O4697" s="415">
        <v>0</v>
      </c>
      <c r="P4697" s="415">
        <v>2000</v>
      </c>
      <c r="Q4697" s="481">
        <f t="shared" si="119"/>
        <v>0</v>
      </c>
    </row>
    <row r="4698" spans="1:17" x14ac:dyDescent="0.3">
      <c r="A4698" s="431" t="str">
        <f>IFERROR(VLOOKUP(RIGHT(E4698,3)+0,[1]SchLocTable!$A$2:$B$47,2,FALSE)," ")</f>
        <v>Edison</v>
      </c>
      <c r="B4698" s="431" t="str">
        <f>VLOOKUP(VALUE(D4698),$D$3:F$106,3,FALSE)</f>
        <v>Kindergarten Teachers</v>
      </c>
      <c r="C4698" t="s">
        <v>314</v>
      </c>
      <c r="D4698" t="s">
        <v>1395</v>
      </c>
      <c r="E4698" t="s">
        <v>513</v>
      </c>
      <c r="F4698" t="s">
        <v>329</v>
      </c>
      <c r="G4698" t="s">
        <v>319</v>
      </c>
      <c r="H4698" s="502" t="s">
        <v>1240</v>
      </c>
      <c r="I4698" s="415">
        <v>0</v>
      </c>
      <c r="J4698" s="415">
        <v>0</v>
      </c>
      <c r="K4698" s="415">
        <v>0</v>
      </c>
      <c r="L4698" s="415">
        <v>0</v>
      </c>
      <c r="M4698" s="415">
        <v>0</v>
      </c>
      <c r="N4698" s="415">
        <v>0</v>
      </c>
      <c r="O4698" s="415">
        <v>0</v>
      </c>
      <c r="P4698" s="415">
        <v>8450</v>
      </c>
      <c r="Q4698" s="481">
        <f t="shared" si="119"/>
        <v>0</v>
      </c>
    </row>
    <row r="4699" spans="1:17" x14ac:dyDescent="0.3">
      <c r="A4699" s="431" t="str">
        <f>IFERROR(VLOOKUP(RIGHT(E4699,3)+0,[1]SchLocTable!$A$2:$B$47,2,FALSE)," ")</f>
        <v>Hooker</v>
      </c>
      <c r="B4699" s="431" t="str">
        <f>VLOOKUP(VALUE(D4699),$D$3:F$106,3,FALSE)</f>
        <v>Kindergarten Teachers</v>
      </c>
      <c r="C4699" t="s">
        <v>314</v>
      </c>
      <c r="D4699" t="s">
        <v>1395</v>
      </c>
      <c r="E4699" t="s">
        <v>517</v>
      </c>
      <c r="F4699" t="s">
        <v>329</v>
      </c>
      <c r="G4699" t="s">
        <v>319</v>
      </c>
      <c r="H4699" s="502" t="s">
        <v>1240</v>
      </c>
      <c r="I4699" s="415">
        <v>0</v>
      </c>
      <c r="J4699" s="415">
        <v>0</v>
      </c>
      <c r="K4699" s="415">
        <v>0</v>
      </c>
      <c r="L4699" s="415">
        <v>0</v>
      </c>
      <c r="M4699" s="415">
        <v>0</v>
      </c>
      <c r="N4699" s="415">
        <v>0</v>
      </c>
      <c r="O4699" s="415">
        <v>11375</v>
      </c>
      <c r="P4699" s="415">
        <v>0</v>
      </c>
      <c r="Q4699" s="481">
        <f t="shared" si="119"/>
        <v>0</v>
      </c>
    </row>
    <row r="4700" spans="1:17" x14ac:dyDescent="0.3">
      <c r="A4700" s="431" t="str">
        <f>IFERROR(VLOOKUP(RIGHT(E4700,3)+0,[1]SchLocTable!$A$2:$B$47,2,FALSE)," ")</f>
        <v>Madison</v>
      </c>
      <c r="B4700" s="431" t="str">
        <f>VLOOKUP(VALUE(D4700),$D$3:F$106,3,FALSE)</f>
        <v>Kindergarten Teachers</v>
      </c>
      <c r="C4700" t="s">
        <v>314</v>
      </c>
      <c r="D4700" t="s">
        <v>1395</v>
      </c>
      <c r="E4700" t="s">
        <v>520</v>
      </c>
      <c r="F4700" t="s">
        <v>329</v>
      </c>
      <c r="G4700" t="s">
        <v>319</v>
      </c>
      <c r="H4700" s="502" t="s">
        <v>1240</v>
      </c>
      <c r="I4700" s="415">
        <v>0</v>
      </c>
      <c r="J4700" s="415">
        <v>0</v>
      </c>
      <c r="K4700" s="415">
        <v>0</v>
      </c>
      <c r="L4700" s="415">
        <v>0</v>
      </c>
      <c r="M4700" s="415">
        <v>0</v>
      </c>
      <c r="N4700" s="415">
        <v>0</v>
      </c>
      <c r="O4700" s="415">
        <v>11375</v>
      </c>
      <c r="P4700" s="415">
        <v>0</v>
      </c>
      <c r="Q4700" s="481">
        <f t="shared" si="119"/>
        <v>0</v>
      </c>
    </row>
    <row r="4701" spans="1:17" x14ac:dyDescent="0.3">
      <c r="A4701" s="431" t="str">
        <f>IFERROR(VLOOKUP(RIGHT(E4701,3)+0,[1]SchLocTable!$A$2:$B$47,2,FALSE)," ")</f>
        <v>Read</v>
      </c>
      <c r="B4701" s="431" t="str">
        <f>VLOOKUP(VALUE(D4701),$D$3:F$106,3,FALSE)</f>
        <v>Kindergarten Teachers</v>
      </c>
      <c r="C4701" t="s">
        <v>314</v>
      </c>
      <c r="D4701" t="s">
        <v>1395</v>
      </c>
      <c r="E4701" t="s">
        <v>523</v>
      </c>
      <c r="F4701" t="s">
        <v>329</v>
      </c>
      <c r="G4701" t="s">
        <v>319</v>
      </c>
      <c r="H4701" s="502" t="s">
        <v>1240</v>
      </c>
      <c r="I4701" s="415">
        <v>0</v>
      </c>
      <c r="J4701" s="415">
        <v>0</v>
      </c>
      <c r="K4701" s="415">
        <v>0</v>
      </c>
      <c r="L4701" s="415">
        <v>0</v>
      </c>
      <c r="M4701" s="415">
        <v>0</v>
      </c>
      <c r="N4701" s="415">
        <v>0</v>
      </c>
      <c r="O4701" s="415">
        <v>11375</v>
      </c>
      <c r="P4701" s="415">
        <v>0</v>
      </c>
      <c r="Q4701" s="481">
        <f t="shared" si="119"/>
        <v>0</v>
      </c>
    </row>
    <row r="4702" spans="1:17" x14ac:dyDescent="0.3">
      <c r="A4702" s="431" t="str">
        <f>IFERROR(VLOOKUP(RIGHT(E4702,3)+0,[1]SchLocTable!$A$2:$B$47,2,FALSE)," ")</f>
        <v>Barnum</v>
      </c>
      <c r="B4702" s="431" t="str">
        <f>VLOOKUP(VALUE(D4702),$D$3:F$106,3,FALSE)</f>
        <v>Bilingual Education</v>
      </c>
      <c r="C4702" t="s">
        <v>314</v>
      </c>
      <c r="D4702" t="s">
        <v>1332</v>
      </c>
      <c r="E4702" t="s">
        <v>538</v>
      </c>
      <c r="F4702" t="s">
        <v>318</v>
      </c>
      <c r="G4702" t="s">
        <v>319</v>
      </c>
      <c r="H4702" s="502" t="s">
        <v>1239</v>
      </c>
      <c r="I4702" s="415">
        <v>0</v>
      </c>
      <c r="J4702" s="415">
        <v>0</v>
      </c>
      <c r="K4702" s="415">
        <v>0</v>
      </c>
      <c r="L4702" s="415">
        <v>0</v>
      </c>
      <c r="M4702" s="415">
        <v>0</v>
      </c>
      <c r="N4702" s="415">
        <v>0</v>
      </c>
      <c r="O4702" s="415">
        <v>1200</v>
      </c>
      <c r="P4702" s="415">
        <v>2300</v>
      </c>
      <c r="Q4702" s="481">
        <f t="shared" si="119"/>
        <v>0</v>
      </c>
    </row>
    <row r="4703" spans="1:17" x14ac:dyDescent="0.3">
      <c r="A4703" s="431" t="str">
        <f>IFERROR(VLOOKUP(RIGHT(E4703,3)+0,[1]SchLocTable!$A$2:$B$47,2,FALSE)," ")</f>
        <v>Black Rock</v>
      </c>
      <c r="B4703" s="431" t="str">
        <f>VLOOKUP(VALUE(D4703),$D$3:F$106,3,FALSE)</f>
        <v>Bilingual Education</v>
      </c>
      <c r="C4703" t="s">
        <v>314</v>
      </c>
      <c r="D4703" t="s">
        <v>1332</v>
      </c>
      <c r="E4703" t="s">
        <v>540</v>
      </c>
      <c r="F4703" t="s">
        <v>318</v>
      </c>
      <c r="G4703" t="s">
        <v>319</v>
      </c>
      <c r="H4703" s="502" t="s">
        <v>1239</v>
      </c>
      <c r="I4703" s="415">
        <v>0</v>
      </c>
      <c r="J4703" s="415">
        <v>0</v>
      </c>
      <c r="K4703" s="415">
        <v>0</v>
      </c>
      <c r="L4703" s="415">
        <v>0</v>
      </c>
      <c r="M4703" s="415">
        <v>0</v>
      </c>
      <c r="N4703" s="415">
        <v>0</v>
      </c>
      <c r="O4703" s="415">
        <v>900</v>
      </c>
      <c r="P4703" s="415">
        <v>0</v>
      </c>
      <c r="Q4703" s="481">
        <f t="shared" si="119"/>
        <v>0</v>
      </c>
    </row>
    <row r="4704" spans="1:17" x14ac:dyDescent="0.3">
      <c r="A4704" s="431" t="str">
        <f>IFERROR(VLOOKUP(RIGHT(E4704,3)+0,[1]SchLocTable!$A$2:$B$47,2,FALSE)," ")</f>
        <v>Black Rock</v>
      </c>
      <c r="B4704" s="431" t="str">
        <f>VLOOKUP(VALUE(D4704),$D$3:F$106,3,FALSE)</f>
        <v>Bilingual Education</v>
      </c>
      <c r="C4704" t="s">
        <v>314</v>
      </c>
      <c r="D4704" t="s">
        <v>1332</v>
      </c>
      <c r="E4704" t="s">
        <v>540</v>
      </c>
      <c r="F4704" t="s">
        <v>324</v>
      </c>
      <c r="G4704" t="s">
        <v>319</v>
      </c>
      <c r="H4704" s="502" t="s">
        <v>1246</v>
      </c>
      <c r="I4704" s="415">
        <v>0</v>
      </c>
      <c r="J4704" s="415">
        <v>0</v>
      </c>
      <c r="K4704" s="415">
        <v>0</v>
      </c>
      <c r="L4704" s="415">
        <v>0</v>
      </c>
      <c r="M4704" s="415">
        <v>0</v>
      </c>
      <c r="N4704" s="415">
        <v>0</v>
      </c>
      <c r="O4704" s="415">
        <v>0</v>
      </c>
      <c r="P4704" s="415">
        <v>261.14</v>
      </c>
      <c r="Q4704" s="481">
        <f t="shared" si="119"/>
        <v>0</v>
      </c>
    </row>
    <row r="4705" spans="1:17" x14ac:dyDescent="0.3">
      <c r="A4705" s="431" t="str">
        <f>IFERROR(VLOOKUP(RIGHT(E4705,3)+0,[1]SchLocTable!$A$2:$B$47,2,FALSE)," ")</f>
        <v>Bryant</v>
      </c>
      <c r="B4705" s="431" t="str">
        <f>VLOOKUP(VALUE(D4705),$D$3:F$106,3,FALSE)</f>
        <v>Bilingual Education</v>
      </c>
      <c r="C4705" t="s">
        <v>314</v>
      </c>
      <c r="D4705" t="s">
        <v>1332</v>
      </c>
      <c r="E4705" t="s">
        <v>541</v>
      </c>
      <c r="F4705" t="s">
        <v>318</v>
      </c>
      <c r="G4705" t="s">
        <v>319</v>
      </c>
      <c r="H4705" s="502">
        <v>51140</v>
      </c>
      <c r="I4705" s="415"/>
      <c r="J4705" s="415"/>
      <c r="K4705" s="415"/>
      <c r="L4705" s="415">
        <v>0</v>
      </c>
      <c r="M4705" s="415">
        <v>0</v>
      </c>
      <c r="N4705" s="415">
        <v>2500</v>
      </c>
      <c r="O4705" s="415">
        <v>1200</v>
      </c>
      <c r="P4705" s="415">
        <v>1200</v>
      </c>
      <c r="Q4705" s="481">
        <f t="shared" si="119"/>
        <v>0</v>
      </c>
    </row>
    <row r="4706" spans="1:17" x14ac:dyDescent="0.3">
      <c r="A4706" s="431" t="str">
        <f>IFERROR(VLOOKUP(RIGHT(E4706,3)+0,[1]SchLocTable!$A$2:$B$47,2,FALSE)," ")</f>
        <v>Columbus</v>
      </c>
      <c r="B4706" s="431" t="str">
        <f>VLOOKUP(VALUE(D4706),$D$3:F$106,3,FALSE)</f>
        <v>Bilingual Education</v>
      </c>
      <c r="C4706" t="s">
        <v>314</v>
      </c>
      <c r="D4706" t="s">
        <v>1332</v>
      </c>
      <c r="E4706" t="s">
        <v>542</v>
      </c>
      <c r="F4706" t="s">
        <v>324</v>
      </c>
      <c r="G4706" t="s">
        <v>319</v>
      </c>
      <c r="H4706" s="502" t="s">
        <v>1246</v>
      </c>
      <c r="I4706" s="415">
        <v>0</v>
      </c>
      <c r="J4706" s="415">
        <v>0</v>
      </c>
      <c r="K4706" s="415">
        <v>0</v>
      </c>
      <c r="L4706" s="415">
        <v>0</v>
      </c>
      <c r="M4706" s="415">
        <v>0</v>
      </c>
      <c r="N4706" s="415">
        <v>0</v>
      </c>
      <c r="O4706" s="415">
        <v>443.16</v>
      </c>
      <c r="P4706" s="415">
        <v>0</v>
      </c>
      <c r="Q4706" s="481">
        <f t="shared" si="119"/>
        <v>0</v>
      </c>
    </row>
    <row r="4707" spans="1:17" x14ac:dyDescent="0.3">
      <c r="A4707" s="431" t="str">
        <f>IFERROR(VLOOKUP(RIGHT(E4707,3)+0,[1]SchLocTable!$A$2:$B$47,2,FALSE)," ")</f>
        <v>Columbus</v>
      </c>
      <c r="B4707" s="431" t="str">
        <f>VLOOKUP(VALUE(D4707),$D$3:F$106,3,FALSE)</f>
        <v>Bilingual Education</v>
      </c>
      <c r="C4707" t="s">
        <v>314</v>
      </c>
      <c r="D4707" t="s">
        <v>1332</v>
      </c>
      <c r="E4707" t="s">
        <v>542</v>
      </c>
      <c r="F4707" t="s">
        <v>329</v>
      </c>
      <c r="G4707" t="s">
        <v>319</v>
      </c>
      <c r="H4707" s="502" t="s">
        <v>1240</v>
      </c>
      <c r="I4707" s="415">
        <v>0</v>
      </c>
      <c r="J4707" s="415">
        <v>0</v>
      </c>
      <c r="K4707" s="415">
        <v>0</v>
      </c>
      <c r="L4707" s="415">
        <v>0</v>
      </c>
      <c r="M4707" s="415">
        <v>0</v>
      </c>
      <c r="N4707" s="415">
        <v>0</v>
      </c>
      <c r="O4707" s="415">
        <v>0</v>
      </c>
      <c r="P4707" s="415">
        <v>11050</v>
      </c>
      <c r="Q4707" s="481">
        <f t="shared" si="119"/>
        <v>0</v>
      </c>
    </row>
    <row r="4708" spans="1:17" x14ac:dyDescent="0.3">
      <c r="A4708" s="431" t="str">
        <f>IFERROR(VLOOKUP(RIGHT(E4708,3)+0,[1]SchLocTable!$A$2:$B$47,2,FALSE)," ")</f>
        <v>Batalla</v>
      </c>
      <c r="B4708" s="431" t="str">
        <f>VLOOKUP(VALUE(D4708),$D$3:F$106,3,FALSE)</f>
        <v>Bilingual Education</v>
      </c>
      <c r="C4708" t="s">
        <v>314</v>
      </c>
      <c r="D4708" t="s">
        <v>1332</v>
      </c>
      <c r="E4708" t="s">
        <v>545</v>
      </c>
      <c r="F4708" t="s">
        <v>329</v>
      </c>
      <c r="G4708" t="s">
        <v>319</v>
      </c>
      <c r="H4708" s="502" t="s">
        <v>1240</v>
      </c>
      <c r="I4708" s="415">
        <v>0</v>
      </c>
      <c r="J4708" s="415">
        <v>0</v>
      </c>
      <c r="K4708" s="415">
        <v>0</v>
      </c>
      <c r="L4708" s="415">
        <v>0</v>
      </c>
      <c r="M4708" s="415">
        <v>0</v>
      </c>
      <c r="N4708" s="415">
        <v>0</v>
      </c>
      <c r="O4708" s="415">
        <v>11375</v>
      </c>
      <c r="P4708" s="415">
        <v>0</v>
      </c>
      <c r="Q4708" s="481">
        <f t="shared" si="119"/>
        <v>0</v>
      </c>
    </row>
    <row r="4709" spans="1:17" x14ac:dyDescent="0.3">
      <c r="A4709" s="431" t="str">
        <f>IFERROR(VLOOKUP(RIGHT(E4709,3)+0,[1]SchLocTable!$A$2:$B$47,2,FALSE)," ")</f>
        <v>Roosevelt</v>
      </c>
      <c r="B4709" s="431" t="str">
        <f>VLOOKUP(VALUE(D4709),$D$3:F$106,3,FALSE)</f>
        <v>Bilingual Education</v>
      </c>
      <c r="C4709" t="s">
        <v>314</v>
      </c>
      <c r="D4709" t="s">
        <v>1332</v>
      </c>
      <c r="E4709" t="s">
        <v>548</v>
      </c>
      <c r="F4709" t="s">
        <v>324</v>
      </c>
      <c r="G4709" t="s">
        <v>319</v>
      </c>
      <c r="H4709" s="502" t="s">
        <v>1246</v>
      </c>
      <c r="I4709" s="415">
        <v>0</v>
      </c>
      <c r="J4709" s="415">
        <v>0</v>
      </c>
      <c r="K4709" s="415">
        <v>0</v>
      </c>
      <c r="L4709" s="415">
        <v>0</v>
      </c>
      <c r="M4709" s="415">
        <v>0</v>
      </c>
      <c r="N4709" s="415">
        <v>0</v>
      </c>
      <c r="O4709" s="415">
        <v>1513.59</v>
      </c>
      <c r="P4709" s="415">
        <v>0</v>
      </c>
      <c r="Q4709" s="481">
        <f t="shared" si="119"/>
        <v>0</v>
      </c>
    </row>
    <row r="4710" spans="1:17" x14ac:dyDescent="0.3">
      <c r="A4710" s="431" t="str">
        <f>IFERROR(VLOOKUP(RIGHT(E4710,3)+0,[1]SchLocTable!$A$2:$B$47,2,FALSE)," ")</f>
        <v>Roosevelt</v>
      </c>
      <c r="B4710" s="431" t="str">
        <f>VLOOKUP(VALUE(D4710),$D$3:F$106,3,FALSE)</f>
        <v>Bilingual Education</v>
      </c>
      <c r="C4710" t="s">
        <v>314</v>
      </c>
      <c r="D4710" t="s">
        <v>1332</v>
      </c>
      <c r="E4710" t="s">
        <v>548</v>
      </c>
      <c r="F4710" t="s">
        <v>329</v>
      </c>
      <c r="G4710" t="s">
        <v>319</v>
      </c>
      <c r="H4710" s="502" t="s">
        <v>1240</v>
      </c>
      <c r="I4710" s="415">
        <v>0</v>
      </c>
      <c r="J4710" s="415">
        <v>0</v>
      </c>
      <c r="K4710" s="415">
        <v>0</v>
      </c>
      <c r="L4710" s="415">
        <v>0</v>
      </c>
      <c r="M4710" s="415">
        <v>0</v>
      </c>
      <c r="N4710" s="415">
        <v>0</v>
      </c>
      <c r="O4710" s="415">
        <v>0</v>
      </c>
      <c r="P4710" s="415">
        <v>11375</v>
      </c>
      <c r="Q4710" s="481">
        <f t="shared" si="119"/>
        <v>0</v>
      </c>
    </row>
    <row r="4711" spans="1:17" x14ac:dyDescent="0.3">
      <c r="A4711" s="431" t="str">
        <f>IFERROR(VLOOKUP(RIGHT(E4711,3)+0,[1]SchLocTable!$A$2:$B$47,2,FALSE)," ")</f>
        <v>Claytor</v>
      </c>
      <c r="B4711" s="431" t="str">
        <f>VLOOKUP(VALUE(D4711),$D$3:F$106,3,FALSE)</f>
        <v>Bilingual Education</v>
      </c>
      <c r="C4711" t="s">
        <v>314</v>
      </c>
      <c r="D4711" t="s">
        <v>1332</v>
      </c>
      <c r="E4711" t="s">
        <v>550</v>
      </c>
      <c r="F4711" t="s">
        <v>318</v>
      </c>
      <c r="G4711" t="s">
        <v>319</v>
      </c>
      <c r="H4711" s="502">
        <v>51140</v>
      </c>
      <c r="I4711" s="415"/>
      <c r="J4711" s="415"/>
      <c r="K4711" s="415"/>
      <c r="L4711" s="415">
        <v>0</v>
      </c>
      <c r="M4711" s="415">
        <v>0</v>
      </c>
      <c r="N4711" s="415">
        <v>900</v>
      </c>
      <c r="O4711" s="415">
        <v>0</v>
      </c>
      <c r="P4711" s="415">
        <v>0</v>
      </c>
      <c r="Q4711" s="481">
        <f t="shared" si="119"/>
        <v>0</v>
      </c>
    </row>
    <row r="4712" spans="1:17" x14ac:dyDescent="0.3">
      <c r="A4712" s="431" t="str">
        <f>IFERROR(VLOOKUP(RIGHT(E4712,3)+0,[1]SchLocTable!$A$2:$B$47,2,FALSE)," ")</f>
        <v>Johnson</v>
      </c>
      <c r="B4712" s="431" t="str">
        <f>VLOOKUP(VALUE(D4712),$D$3:F$106,3,FALSE)</f>
        <v>Bilingual Education</v>
      </c>
      <c r="C4712" t="s">
        <v>314</v>
      </c>
      <c r="D4712" t="s">
        <v>1332</v>
      </c>
      <c r="E4712" t="s">
        <v>551</v>
      </c>
      <c r="F4712" t="s">
        <v>324</v>
      </c>
      <c r="G4712" t="s">
        <v>319</v>
      </c>
      <c r="H4712" s="502" t="s">
        <v>1246</v>
      </c>
      <c r="I4712" s="415">
        <v>0</v>
      </c>
      <c r="J4712" s="415">
        <v>0</v>
      </c>
      <c r="K4712" s="415">
        <v>0</v>
      </c>
      <c r="L4712" s="415">
        <v>0</v>
      </c>
      <c r="M4712" s="415">
        <v>0</v>
      </c>
      <c r="N4712" s="415">
        <v>0</v>
      </c>
      <c r="O4712" s="415">
        <v>1205.28</v>
      </c>
      <c r="P4712" s="415">
        <v>0</v>
      </c>
      <c r="Q4712" s="481">
        <f t="shared" si="119"/>
        <v>0</v>
      </c>
    </row>
    <row r="4713" spans="1:17" x14ac:dyDescent="0.3">
      <c r="A4713" s="431" t="str">
        <f>IFERROR(VLOOKUP(RIGHT(E4713,3)+0,[1]SchLocTable!$A$2:$B$47,2,FALSE)," ")</f>
        <v>Bassick HS</v>
      </c>
      <c r="B4713" s="431" t="str">
        <f>VLOOKUP(VALUE(D4713),$D$3:F$106,3,FALSE)</f>
        <v>Bilingual Education</v>
      </c>
      <c r="C4713" t="s">
        <v>314</v>
      </c>
      <c r="D4713" t="s">
        <v>1332</v>
      </c>
      <c r="E4713" t="s">
        <v>556</v>
      </c>
      <c r="F4713" t="s">
        <v>560</v>
      </c>
      <c r="G4713" t="s">
        <v>319</v>
      </c>
      <c r="H4713" s="502" t="s">
        <v>1244</v>
      </c>
      <c r="I4713" s="415">
        <v>0</v>
      </c>
      <c r="J4713" s="415">
        <v>0</v>
      </c>
      <c r="K4713" s="415">
        <v>0</v>
      </c>
      <c r="L4713" s="415">
        <v>0</v>
      </c>
      <c r="M4713" s="415">
        <v>0</v>
      </c>
      <c r="N4713" s="415">
        <v>0</v>
      </c>
      <c r="O4713" s="415">
        <v>0</v>
      </c>
      <c r="P4713" s="415">
        <v>150</v>
      </c>
      <c r="Q4713" s="481">
        <f t="shared" si="119"/>
        <v>0</v>
      </c>
    </row>
    <row r="4714" spans="1:17" x14ac:dyDescent="0.3">
      <c r="A4714" s="431" t="str">
        <f>IFERROR(VLOOKUP(RIGHT(E4714,3)+0,[1]SchLocTable!$A$2:$B$47,2,FALSE)," ")</f>
        <v>Central HS</v>
      </c>
      <c r="B4714" s="431" t="str">
        <f>VLOOKUP(VALUE(D4714),$D$3:F$106,3,FALSE)</f>
        <v>Bilingual Education</v>
      </c>
      <c r="C4714" t="s">
        <v>314</v>
      </c>
      <c r="D4714" t="s">
        <v>1332</v>
      </c>
      <c r="E4714" t="s">
        <v>557</v>
      </c>
      <c r="F4714" t="s">
        <v>318</v>
      </c>
      <c r="G4714" t="s">
        <v>319</v>
      </c>
      <c r="H4714" s="502" t="s">
        <v>1239</v>
      </c>
      <c r="I4714" s="415">
        <v>0</v>
      </c>
      <c r="J4714" s="415">
        <v>0</v>
      </c>
      <c r="K4714" s="415">
        <v>0</v>
      </c>
      <c r="L4714" s="415">
        <v>0</v>
      </c>
      <c r="M4714" s="415">
        <v>0</v>
      </c>
      <c r="N4714" s="415">
        <v>0</v>
      </c>
      <c r="O4714" s="415">
        <v>1800</v>
      </c>
      <c r="P4714" s="415">
        <v>810</v>
      </c>
      <c r="Q4714" s="481">
        <f t="shared" si="119"/>
        <v>0</v>
      </c>
    </row>
    <row r="4715" spans="1:17" x14ac:dyDescent="0.3">
      <c r="A4715" s="431" t="str">
        <f>IFERROR(VLOOKUP(RIGHT(E4715,3)+0,[1]SchLocTable!$A$2:$B$47,2,FALSE)," ")</f>
        <v>Harding HS</v>
      </c>
      <c r="B4715" s="431" t="str">
        <f>VLOOKUP(VALUE(D4715),$D$3:F$106,3,FALSE)</f>
        <v>Bilingual Education</v>
      </c>
      <c r="C4715" t="s">
        <v>314</v>
      </c>
      <c r="D4715" t="s">
        <v>1332</v>
      </c>
      <c r="E4715" t="s">
        <v>558</v>
      </c>
      <c r="F4715" t="s">
        <v>324</v>
      </c>
      <c r="G4715" t="s">
        <v>319</v>
      </c>
      <c r="H4715" s="502" t="s">
        <v>1246</v>
      </c>
      <c r="I4715" s="415">
        <v>0</v>
      </c>
      <c r="J4715" s="415">
        <v>0</v>
      </c>
      <c r="K4715" s="415">
        <v>0</v>
      </c>
      <c r="L4715" s="415">
        <v>0</v>
      </c>
      <c r="M4715" s="415">
        <v>0</v>
      </c>
      <c r="N4715" s="415">
        <v>0</v>
      </c>
      <c r="O4715" s="415">
        <v>0</v>
      </c>
      <c r="P4715" s="415">
        <v>653.86</v>
      </c>
      <c r="Q4715" s="481">
        <f t="shared" si="119"/>
        <v>0</v>
      </c>
    </row>
    <row r="4716" spans="1:17" x14ac:dyDescent="0.3">
      <c r="A4716" s="431" t="str">
        <f>IFERROR(VLOOKUP(RIGHT(E4716,3)+0,[1]SchLocTable!$A$2:$B$47,2,FALSE)," ")</f>
        <v>Columbus</v>
      </c>
      <c r="B4716" s="431" t="str">
        <f>VLOOKUP(VALUE(D4716),$D$3:F$106,3,FALSE)</f>
        <v>World Languages</v>
      </c>
      <c r="C4716" t="s">
        <v>314</v>
      </c>
      <c r="D4716" t="s">
        <v>1333</v>
      </c>
      <c r="E4716" t="s">
        <v>1334</v>
      </c>
      <c r="F4716" t="s">
        <v>316</v>
      </c>
      <c r="G4716" t="s">
        <v>319</v>
      </c>
      <c r="H4716" s="502">
        <v>51000</v>
      </c>
      <c r="I4716" s="415"/>
      <c r="J4716" s="415"/>
      <c r="K4716" s="415"/>
      <c r="L4716" s="415">
        <v>0</v>
      </c>
      <c r="M4716" s="415">
        <v>0</v>
      </c>
      <c r="N4716" s="415">
        <v>46668.55</v>
      </c>
      <c r="O4716" s="415">
        <v>36744.400000000001</v>
      </c>
      <c r="P4716" s="415">
        <v>65288.08</v>
      </c>
      <c r="Q4716" s="481">
        <f t="shared" si="119"/>
        <v>0</v>
      </c>
    </row>
    <row r="4717" spans="1:17" x14ac:dyDescent="0.3">
      <c r="A4717" s="431" t="str">
        <f>IFERROR(VLOOKUP(RIGHT(E4717,3)+0,[1]SchLocTable!$A$2:$B$47,2,FALSE)," ")</f>
        <v>Columbus</v>
      </c>
      <c r="B4717" s="431" t="str">
        <f>VLOOKUP(VALUE(D4717),$D$3:F$106,3,FALSE)</f>
        <v>World Languages</v>
      </c>
      <c r="C4717" t="s">
        <v>314</v>
      </c>
      <c r="D4717" t="s">
        <v>1333</v>
      </c>
      <c r="E4717" t="s">
        <v>1334</v>
      </c>
      <c r="F4717" t="s">
        <v>321</v>
      </c>
      <c r="G4717" t="s">
        <v>319</v>
      </c>
      <c r="H4717" s="502">
        <v>52917</v>
      </c>
      <c r="I4717" s="415"/>
      <c r="J4717" s="415"/>
      <c r="K4717" s="415"/>
      <c r="L4717" s="415">
        <v>0</v>
      </c>
      <c r="M4717" s="415">
        <v>0</v>
      </c>
      <c r="N4717" s="415">
        <v>9128.74</v>
      </c>
      <c r="O4717" s="415">
        <v>7021.05</v>
      </c>
      <c r="P4717" s="415">
        <v>22186.29</v>
      </c>
      <c r="Q4717" s="481">
        <f t="shared" si="119"/>
        <v>0</v>
      </c>
    </row>
    <row r="4718" spans="1:17" x14ac:dyDescent="0.3">
      <c r="A4718" s="431" t="str">
        <f>IFERROR(VLOOKUP(RIGHT(E4718,3)+0,[1]SchLocTable!$A$2:$B$47,2,FALSE)," ")</f>
        <v>Columbus</v>
      </c>
      <c r="B4718" s="431" t="str">
        <f>VLOOKUP(VALUE(D4718),$D$3:F$106,3,FALSE)</f>
        <v>World Languages</v>
      </c>
      <c r="C4718" t="s">
        <v>314</v>
      </c>
      <c r="D4718" t="s">
        <v>1333</v>
      </c>
      <c r="E4718" t="s">
        <v>1334</v>
      </c>
      <c r="F4718" t="s">
        <v>320</v>
      </c>
      <c r="G4718" t="s">
        <v>319</v>
      </c>
      <c r="H4718" s="502">
        <v>52360</v>
      </c>
      <c r="I4718" s="415"/>
      <c r="J4718" s="415"/>
      <c r="K4718" s="415"/>
      <c r="L4718" s="415">
        <v>0</v>
      </c>
      <c r="M4718" s="415">
        <v>0</v>
      </c>
      <c r="N4718" s="415">
        <v>623.74</v>
      </c>
      <c r="O4718" s="415">
        <v>492.56</v>
      </c>
      <c r="P4718" s="415">
        <v>863.18</v>
      </c>
      <c r="Q4718" s="481">
        <f t="shared" si="119"/>
        <v>0</v>
      </c>
    </row>
    <row r="4719" spans="1:17" x14ac:dyDescent="0.3">
      <c r="A4719" s="431" t="str">
        <f>IFERROR(VLOOKUP(RIGHT(E4719,3)+0,[1]SchLocTable!$A$2:$B$47,2,FALSE)," ")</f>
        <v>Central HS</v>
      </c>
      <c r="B4719" s="431" t="str">
        <f>VLOOKUP(VALUE(D4719),$D$3:F$106,3,FALSE)</f>
        <v>World Languages</v>
      </c>
      <c r="C4719" t="s">
        <v>314</v>
      </c>
      <c r="D4719" t="s">
        <v>1333</v>
      </c>
      <c r="E4719" t="s">
        <v>573</v>
      </c>
      <c r="F4719" t="s">
        <v>324</v>
      </c>
      <c r="G4719" t="s">
        <v>319</v>
      </c>
      <c r="H4719" s="502">
        <v>52385</v>
      </c>
      <c r="I4719" s="415"/>
      <c r="J4719" s="415"/>
      <c r="K4719" s="415"/>
      <c r="L4719" s="415">
        <v>0</v>
      </c>
      <c r="M4719" s="415">
        <v>0</v>
      </c>
      <c r="N4719" s="415">
        <v>517.32000000000005</v>
      </c>
      <c r="O4719" s="415">
        <v>0</v>
      </c>
      <c r="P4719" s="415">
        <v>0</v>
      </c>
      <c r="Q4719" s="481">
        <f t="shared" si="119"/>
        <v>0</v>
      </c>
    </row>
    <row r="4720" spans="1:17" x14ac:dyDescent="0.3">
      <c r="A4720" s="431" t="str">
        <f>IFERROR(VLOOKUP(RIGHT(E4720,3)+0,[1]SchLocTable!$A$2:$B$47,2,FALSE)," ")</f>
        <v>Beardsley</v>
      </c>
      <c r="B4720" s="431" t="str">
        <f>VLOOKUP(VALUE(D4720),$D$3:F$106,3,FALSE)</f>
        <v>Visual Arts</v>
      </c>
      <c r="C4720" t="s">
        <v>314</v>
      </c>
      <c r="D4720" t="s">
        <v>1335</v>
      </c>
      <c r="E4720" t="s">
        <v>576</v>
      </c>
      <c r="F4720" t="s">
        <v>318</v>
      </c>
      <c r="G4720" t="s">
        <v>319</v>
      </c>
      <c r="H4720" s="502">
        <v>51140</v>
      </c>
      <c r="I4720" s="415"/>
      <c r="J4720" s="415"/>
      <c r="K4720" s="415"/>
      <c r="L4720" s="415">
        <v>0</v>
      </c>
      <c r="M4720" s="415">
        <v>0</v>
      </c>
      <c r="N4720" s="415">
        <v>900</v>
      </c>
      <c r="O4720" s="415">
        <v>900</v>
      </c>
      <c r="P4720" s="415">
        <v>0</v>
      </c>
      <c r="Q4720" s="481">
        <f t="shared" si="119"/>
        <v>0</v>
      </c>
    </row>
    <row r="4721" spans="1:17" x14ac:dyDescent="0.3">
      <c r="A4721" s="431" t="str">
        <f>IFERROR(VLOOKUP(RIGHT(E4721,3)+0,[1]SchLocTable!$A$2:$B$47,2,FALSE)," ")</f>
        <v>Black Rock</v>
      </c>
      <c r="B4721" s="431" t="str">
        <f>VLOOKUP(VALUE(D4721),$D$3:F$106,3,FALSE)</f>
        <v>Visual Arts</v>
      </c>
      <c r="C4721" t="s">
        <v>314</v>
      </c>
      <c r="D4721" t="s">
        <v>1335</v>
      </c>
      <c r="E4721" t="s">
        <v>577</v>
      </c>
      <c r="F4721" t="s">
        <v>321</v>
      </c>
      <c r="G4721" t="s">
        <v>319</v>
      </c>
      <c r="H4721" s="502" t="s">
        <v>1248</v>
      </c>
      <c r="I4721" s="415">
        <v>0</v>
      </c>
      <c r="J4721" s="415">
        <v>0</v>
      </c>
      <c r="K4721" s="415">
        <v>0</v>
      </c>
      <c r="L4721" s="415">
        <v>0</v>
      </c>
      <c r="M4721" s="415">
        <v>0</v>
      </c>
      <c r="N4721" s="415">
        <v>0</v>
      </c>
      <c r="O4721" s="415">
        <v>0</v>
      </c>
      <c r="P4721" s="415">
        <v>7965.18</v>
      </c>
      <c r="Q4721" s="481">
        <f t="shared" si="119"/>
        <v>0</v>
      </c>
    </row>
    <row r="4722" spans="1:17" x14ac:dyDescent="0.3">
      <c r="A4722" s="431" t="str">
        <f>IFERROR(VLOOKUP(RIGHT(E4722,3)+0,[1]SchLocTable!$A$2:$B$47,2,FALSE)," ")</f>
        <v>Black Rock</v>
      </c>
      <c r="B4722" s="431" t="str">
        <f>VLOOKUP(VALUE(D4722),$D$3:F$106,3,FALSE)</f>
        <v>Visual Arts</v>
      </c>
      <c r="C4722" t="s">
        <v>314</v>
      </c>
      <c r="D4722" t="s">
        <v>1335</v>
      </c>
      <c r="E4722" t="s">
        <v>577</v>
      </c>
      <c r="F4722" t="s">
        <v>324</v>
      </c>
      <c r="G4722" t="s">
        <v>319</v>
      </c>
      <c r="H4722" s="502" t="s">
        <v>1246</v>
      </c>
      <c r="I4722" s="415">
        <v>0</v>
      </c>
      <c r="J4722" s="415">
        <v>0</v>
      </c>
      <c r="K4722" s="415">
        <v>0</v>
      </c>
      <c r="L4722" s="415">
        <v>0</v>
      </c>
      <c r="M4722" s="415">
        <v>0</v>
      </c>
      <c r="N4722" s="415">
        <v>0</v>
      </c>
      <c r="O4722" s="415">
        <v>0</v>
      </c>
      <c r="P4722" s="415">
        <v>373.49</v>
      </c>
      <c r="Q4722" s="481">
        <f t="shared" si="119"/>
        <v>0</v>
      </c>
    </row>
    <row r="4723" spans="1:17" x14ac:dyDescent="0.3">
      <c r="A4723" s="431" t="str">
        <f>IFERROR(VLOOKUP(RIGHT(E4723,3)+0,[1]SchLocTable!$A$2:$B$47,2,FALSE)," ")</f>
        <v>Physical Science HS</v>
      </c>
      <c r="B4723" s="431" t="str">
        <f>VLOOKUP(VALUE(D4723),$D$3:F$106,3,FALSE)</f>
        <v>Visual Arts</v>
      </c>
      <c r="C4723" t="s">
        <v>314</v>
      </c>
      <c r="D4723" t="s">
        <v>1335</v>
      </c>
      <c r="E4723" t="s">
        <v>581</v>
      </c>
      <c r="F4723" t="s">
        <v>334</v>
      </c>
      <c r="G4723" t="s">
        <v>319</v>
      </c>
      <c r="H4723" s="502" t="s">
        <v>1387</v>
      </c>
      <c r="I4723" s="415">
        <v>0</v>
      </c>
      <c r="J4723" s="415">
        <v>0</v>
      </c>
      <c r="K4723" s="415">
        <v>0</v>
      </c>
      <c r="L4723" s="415">
        <v>0</v>
      </c>
      <c r="M4723" s="415">
        <v>0</v>
      </c>
      <c r="N4723" s="415">
        <v>0</v>
      </c>
      <c r="O4723" s="415">
        <v>1200</v>
      </c>
      <c r="P4723" s="415">
        <v>0</v>
      </c>
      <c r="Q4723" s="481">
        <f t="shared" si="119"/>
        <v>0</v>
      </c>
    </row>
    <row r="4724" spans="1:17" x14ac:dyDescent="0.3">
      <c r="A4724" s="431" t="str">
        <f>IFERROR(VLOOKUP(RIGHT(E4724,3)+0,[1]SchLocTable!$A$2:$B$47,2,FALSE)," ")</f>
        <v>Batalla</v>
      </c>
      <c r="B4724" s="431" t="str">
        <f>VLOOKUP(VALUE(D4724),$D$3:F$106,3,FALSE)</f>
        <v>Visual Arts</v>
      </c>
      <c r="C4724" t="s">
        <v>314</v>
      </c>
      <c r="D4724" t="s">
        <v>1335</v>
      </c>
      <c r="E4724" t="s">
        <v>586</v>
      </c>
      <c r="F4724" t="s">
        <v>324</v>
      </c>
      <c r="G4724" t="s">
        <v>319</v>
      </c>
      <c r="H4724" s="502" t="s">
        <v>1246</v>
      </c>
      <c r="I4724" s="415">
        <v>0</v>
      </c>
      <c r="J4724" s="415">
        <v>0</v>
      </c>
      <c r="K4724" s="415">
        <v>0</v>
      </c>
      <c r="L4724" s="415">
        <v>0</v>
      </c>
      <c r="M4724" s="415">
        <v>0</v>
      </c>
      <c r="N4724" s="415">
        <v>0</v>
      </c>
      <c r="O4724" s="415">
        <v>0</v>
      </c>
      <c r="P4724" s="415">
        <v>1997.64</v>
      </c>
      <c r="Q4724" s="481">
        <f t="shared" si="119"/>
        <v>0</v>
      </c>
    </row>
    <row r="4725" spans="1:17" x14ac:dyDescent="0.3">
      <c r="A4725" s="431" t="str">
        <f>IFERROR(VLOOKUP(RIGHT(E4725,3)+0,[1]SchLocTable!$A$2:$B$47,2,FALSE)," ")</f>
        <v>Classical Studies Academy</v>
      </c>
      <c r="B4725" s="431" t="str">
        <f>VLOOKUP(VALUE(D4725),$D$3:F$106,3,FALSE)</f>
        <v>Visual Arts</v>
      </c>
      <c r="C4725" t="s">
        <v>314</v>
      </c>
      <c r="D4725" t="s">
        <v>1335</v>
      </c>
      <c r="E4725" t="s">
        <v>590</v>
      </c>
      <c r="F4725" t="s">
        <v>321</v>
      </c>
      <c r="G4725" t="s">
        <v>319</v>
      </c>
      <c r="H4725" s="502" t="s">
        <v>1248</v>
      </c>
      <c r="I4725" s="415">
        <v>0</v>
      </c>
      <c r="J4725" s="415">
        <v>0</v>
      </c>
      <c r="K4725" s="415">
        <v>0</v>
      </c>
      <c r="L4725" s="415">
        <v>0</v>
      </c>
      <c r="M4725" s="415">
        <v>0</v>
      </c>
      <c r="N4725" s="415">
        <v>0</v>
      </c>
      <c r="O4725" s="415">
        <v>29077.5</v>
      </c>
      <c r="P4725" s="415">
        <v>27385.05</v>
      </c>
      <c r="Q4725" s="481">
        <f t="shared" si="119"/>
        <v>0</v>
      </c>
    </row>
    <row r="4726" spans="1:17" x14ac:dyDescent="0.3">
      <c r="A4726" s="431" t="str">
        <f>IFERROR(VLOOKUP(RIGHT(E4726,3)+0,[1]SchLocTable!$A$2:$B$47,2,FALSE)," ")</f>
        <v>Classical Studies Academy</v>
      </c>
      <c r="B4726" s="431" t="str">
        <f>VLOOKUP(VALUE(D4726),$D$3:F$106,3,FALSE)</f>
        <v>Visual Arts</v>
      </c>
      <c r="C4726" t="s">
        <v>314</v>
      </c>
      <c r="D4726" t="s">
        <v>1335</v>
      </c>
      <c r="E4726" t="s">
        <v>590</v>
      </c>
      <c r="F4726" t="s">
        <v>318</v>
      </c>
      <c r="G4726" t="s">
        <v>319</v>
      </c>
      <c r="H4726" s="502" t="s">
        <v>1239</v>
      </c>
      <c r="I4726" s="415">
        <v>0</v>
      </c>
      <c r="J4726" s="415">
        <v>0</v>
      </c>
      <c r="K4726" s="415">
        <v>0</v>
      </c>
      <c r="L4726" s="415">
        <v>0</v>
      </c>
      <c r="M4726" s="415">
        <v>0</v>
      </c>
      <c r="N4726" s="415">
        <v>0</v>
      </c>
      <c r="O4726" s="415">
        <v>900</v>
      </c>
      <c r="P4726" s="415">
        <v>900</v>
      </c>
      <c r="Q4726" s="481">
        <f t="shared" si="119"/>
        <v>0</v>
      </c>
    </row>
    <row r="4727" spans="1:17" x14ac:dyDescent="0.3">
      <c r="A4727" s="431" t="str">
        <f>IFERROR(VLOOKUP(RIGHT(E4727,3)+0,[1]SchLocTable!$A$2:$B$47,2,FALSE)," ")</f>
        <v>Claytor</v>
      </c>
      <c r="B4727" s="431" t="str">
        <f>VLOOKUP(VALUE(D4727),$D$3:F$106,3,FALSE)</f>
        <v>Visual Arts</v>
      </c>
      <c r="C4727" t="s">
        <v>314</v>
      </c>
      <c r="D4727" t="s">
        <v>1335</v>
      </c>
      <c r="E4727" t="s">
        <v>596</v>
      </c>
      <c r="F4727" t="s">
        <v>324</v>
      </c>
      <c r="G4727" t="s">
        <v>319</v>
      </c>
      <c r="H4727" s="502" t="s">
        <v>1246</v>
      </c>
      <c r="I4727" s="415">
        <v>0</v>
      </c>
      <c r="J4727" s="415">
        <v>0</v>
      </c>
      <c r="K4727" s="415">
        <v>0</v>
      </c>
      <c r="L4727" s="415">
        <v>0</v>
      </c>
      <c r="M4727" s="415">
        <v>0</v>
      </c>
      <c r="N4727" s="415">
        <v>0</v>
      </c>
      <c r="O4727" s="415">
        <v>89.28</v>
      </c>
      <c r="P4727" s="415">
        <v>0</v>
      </c>
      <c r="Q4727" s="481">
        <f t="shared" si="119"/>
        <v>0</v>
      </c>
    </row>
    <row r="4728" spans="1:17" x14ac:dyDescent="0.3">
      <c r="A4728" s="431" t="str">
        <f>IFERROR(VLOOKUP(RIGHT(E4728,3)+0,[1]SchLocTable!$A$2:$B$47,2,FALSE)," ")</f>
        <v>Winthrop</v>
      </c>
      <c r="B4728" s="431" t="str">
        <f>VLOOKUP(VALUE(D4728),$D$3:F$106,3,FALSE)</f>
        <v>Visual Arts</v>
      </c>
      <c r="C4728" t="s">
        <v>314</v>
      </c>
      <c r="D4728" t="s">
        <v>1335</v>
      </c>
      <c r="E4728" t="s">
        <v>598</v>
      </c>
      <c r="F4728" t="s">
        <v>329</v>
      </c>
      <c r="G4728" t="s">
        <v>319</v>
      </c>
      <c r="H4728" s="502">
        <v>51154</v>
      </c>
      <c r="I4728" s="415"/>
      <c r="J4728" s="415"/>
      <c r="K4728" s="415"/>
      <c r="L4728" s="415">
        <v>0</v>
      </c>
      <c r="M4728" s="415">
        <v>0</v>
      </c>
      <c r="N4728" s="415">
        <v>22750</v>
      </c>
      <c r="O4728" s="415">
        <v>0</v>
      </c>
      <c r="P4728" s="415">
        <v>0</v>
      </c>
      <c r="Q4728" s="481">
        <f t="shared" si="119"/>
        <v>0</v>
      </c>
    </row>
    <row r="4729" spans="1:17" x14ac:dyDescent="0.3">
      <c r="A4729" s="431" t="str">
        <f>IFERROR(VLOOKUP(RIGHT(E4729,3)+0,[1]SchLocTable!$A$2:$B$47,2,FALSE)," ")</f>
        <v>Cross</v>
      </c>
      <c r="B4729" s="431" t="str">
        <f>VLOOKUP(VALUE(D4729),$D$3:F$106,3,FALSE)</f>
        <v>Visual Arts</v>
      </c>
      <c r="C4729" t="s">
        <v>314</v>
      </c>
      <c r="D4729" t="s">
        <v>1335</v>
      </c>
      <c r="E4729" t="s">
        <v>600</v>
      </c>
      <c r="F4729" t="s">
        <v>318</v>
      </c>
      <c r="G4729" t="s">
        <v>319</v>
      </c>
      <c r="H4729" s="502" t="s">
        <v>1239</v>
      </c>
      <c r="I4729" s="415">
        <v>0</v>
      </c>
      <c r="J4729" s="415">
        <v>0</v>
      </c>
      <c r="K4729" s="415">
        <v>0</v>
      </c>
      <c r="L4729" s="415">
        <v>0</v>
      </c>
      <c r="M4729" s="415">
        <v>0</v>
      </c>
      <c r="N4729" s="415">
        <v>0</v>
      </c>
      <c r="O4729" s="415">
        <v>0</v>
      </c>
      <c r="P4729" s="415">
        <v>1200</v>
      </c>
      <c r="Q4729" s="481">
        <f t="shared" si="119"/>
        <v>0</v>
      </c>
    </row>
    <row r="4730" spans="1:17" x14ac:dyDescent="0.3">
      <c r="A4730" s="431" t="str">
        <f>IFERROR(VLOOKUP(RIGHT(E4730,3)+0,[1]SchLocTable!$A$2:$B$47,2,FALSE)," ")</f>
        <v>Bassick HS</v>
      </c>
      <c r="B4730" s="431" t="str">
        <f>VLOOKUP(VALUE(D4730),$D$3:F$106,3,FALSE)</f>
        <v>Visual Arts</v>
      </c>
      <c r="C4730" t="s">
        <v>314</v>
      </c>
      <c r="D4730" t="s">
        <v>1335</v>
      </c>
      <c r="E4730" t="s">
        <v>606</v>
      </c>
      <c r="F4730" t="s">
        <v>334</v>
      </c>
      <c r="G4730" t="s">
        <v>319</v>
      </c>
      <c r="H4730" s="502" t="s">
        <v>1387</v>
      </c>
      <c r="I4730" s="415">
        <v>0</v>
      </c>
      <c r="J4730" s="415">
        <v>0</v>
      </c>
      <c r="K4730" s="415">
        <v>0</v>
      </c>
      <c r="L4730" s="415">
        <v>0</v>
      </c>
      <c r="M4730" s="415">
        <v>0</v>
      </c>
      <c r="N4730" s="415">
        <v>0</v>
      </c>
      <c r="O4730" s="415">
        <v>2400</v>
      </c>
      <c r="P4730" s="415">
        <v>0</v>
      </c>
      <c r="Q4730" s="481">
        <f t="shared" si="119"/>
        <v>0</v>
      </c>
    </row>
    <row r="4731" spans="1:17" x14ac:dyDescent="0.3">
      <c r="A4731" s="431" t="str">
        <f>IFERROR(VLOOKUP(RIGHT(E4731,3)+0,[1]SchLocTable!$A$2:$B$47,2,FALSE)," ")</f>
        <v>Bassick HS</v>
      </c>
      <c r="B4731" s="431" t="str">
        <f>VLOOKUP(VALUE(D4731),$D$3:F$106,3,FALSE)</f>
        <v>Visual Arts</v>
      </c>
      <c r="C4731" t="s">
        <v>314</v>
      </c>
      <c r="D4731" t="s">
        <v>1335</v>
      </c>
      <c r="E4731" t="s">
        <v>606</v>
      </c>
      <c r="F4731" t="s">
        <v>324</v>
      </c>
      <c r="G4731" t="s">
        <v>319</v>
      </c>
      <c r="H4731" s="502">
        <v>52385</v>
      </c>
      <c r="I4731" s="415"/>
      <c r="J4731" s="415"/>
      <c r="K4731" s="415"/>
      <c r="L4731" s="415">
        <v>0</v>
      </c>
      <c r="M4731" s="415">
        <v>0</v>
      </c>
      <c r="N4731" s="415">
        <v>1575.59</v>
      </c>
      <c r="O4731" s="415">
        <v>0</v>
      </c>
      <c r="P4731" s="415">
        <v>0</v>
      </c>
      <c r="Q4731" s="481">
        <f t="shared" si="119"/>
        <v>0</v>
      </c>
    </row>
    <row r="4732" spans="1:17" x14ac:dyDescent="0.3">
      <c r="A4732" s="431" t="str">
        <f>IFERROR(VLOOKUP(RIGHT(E4732,3)+0,[1]SchLocTable!$A$2:$B$47,2,FALSE)," ")</f>
        <v>Central HS</v>
      </c>
      <c r="B4732" s="431" t="str">
        <f>VLOOKUP(VALUE(D4732),$D$3:F$106,3,FALSE)</f>
        <v>Visual Arts</v>
      </c>
      <c r="C4732" t="s">
        <v>314</v>
      </c>
      <c r="D4732" t="s">
        <v>1335</v>
      </c>
      <c r="E4732" t="s">
        <v>607</v>
      </c>
      <c r="F4732" t="s">
        <v>334</v>
      </c>
      <c r="G4732" t="s">
        <v>319</v>
      </c>
      <c r="H4732" s="502" t="s">
        <v>1387</v>
      </c>
      <c r="I4732" s="415">
        <v>0</v>
      </c>
      <c r="J4732" s="415">
        <v>0</v>
      </c>
      <c r="K4732" s="415">
        <v>0</v>
      </c>
      <c r="L4732" s="415">
        <v>0</v>
      </c>
      <c r="M4732" s="415">
        <v>0</v>
      </c>
      <c r="N4732" s="415">
        <v>0</v>
      </c>
      <c r="O4732" s="415">
        <v>3600</v>
      </c>
      <c r="P4732" s="415">
        <v>0</v>
      </c>
      <c r="Q4732" s="481">
        <f t="shared" si="119"/>
        <v>0</v>
      </c>
    </row>
    <row r="4733" spans="1:17" x14ac:dyDescent="0.3">
      <c r="A4733" s="431" t="str">
        <f>IFERROR(VLOOKUP(RIGHT(E4733,3)+0,[1]SchLocTable!$A$2:$B$47,2,FALSE)," ")</f>
        <v xml:space="preserve"> </v>
      </c>
      <c r="B4733" s="431" t="str">
        <f>VLOOKUP(VALUE(D4733),$D$3:F$106,3,FALSE)</f>
        <v>Performing Arts</v>
      </c>
      <c r="C4733" t="s">
        <v>314</v>
      </c>
      <c r="D4733" t="s">
        <v>1336</v>
      </c>
      <c r="E4733" t="s">
        <v>609</v>
      </c>
      <c r="F4733" t="s">
        <v>324</v>
      </c>
      <c r="G4733" t="s">
        <v>319</v>
      </c>
      <c r="H4733" s="502">
        <v>52385</v>
      </c>
      <c r="I4733" s="415"/>
      <c r="J4733" s="415"/>
      <c r="K4733" s="415"/>
      <c r="L4733" s="415">
        <v>0</v>
      </c>
      <c r="M4733" s="415">
        <v>0</v>
      </c>
      <c r="N4733" s="415">
        <v>2419.56</v>
      </c>
      <c r="O4733" s="415">
        <v>0</v>
      </c>
      <c r="P4733" s="415">
        <v>0</v>
      </c>
      <c r="Q4733" s="481">
        <f t="shared" si="119"/>
        <v>0</v>
      </c>
    </row>
    <row r="4734" spans="1:17" x14ac:dyDescent="0.3">
      <c r="A4734" s="431" t="str">
        <f>IFERROR(VLOOKUP(RIGHT(E4734,3)+0,[1]SchLocTable!$A$2:$B$47,2,FALSE)," ")</f>
        <v>Edison</v>
      </c>
      <c r="B4734" s="431" t="str">
        <f>VLOOKUP(VALUE(D4734),$D$3:F$106,3,FALSE)</f>
        <v>Performing Arts</v>
      </c>
      <c r="C4734" t="s">
        <v>314</v>
      </c>
      <c r="D4734" t="s">
        <v>1336</v>
      </c>
      <c r="E4734" t="s">
        <v>1337</v>
      </c>
      <c r="F4734" t="s">
        <v>316</v>
      </c>
      <c r="G4734" t="s">
        <v>319</v>
      </c>
      <c r="H4734" s="502">
        <v>51000</v>
      </c>
      <c r="I4734" s="415"/>
      <c r="J4734" s="415"/>
      <c r="K4734" s="415"/>
      <c r="L4734" s="415">
        <v>0</v>
      </c>
      <c r="M4734" s="415">
        <v>0</v>
      </c>
      <c r="N4734" s="415">
        <v>97548.88</v>
      </c>
      <c r="O4734" s="415">
        <v>96106.92</v>
      </c>
      <c r="P4734" s="415">
        <v>94593.98</v>
      </c>
      <c r="Q4734" s="481">
        <f t="shared" si="119"/>
        <v>0</v>
      </c>
    </row>
    <row r="4735" spans="1:17" x14ac:dyDescent="0.3">
      <c r="A4735" s="431" t="str">
        <f>IFERROR(VLOOKUP(RIGHT(E4735,3)+0,[1]SchLocTable!$A$2:$B$47,2,FALSE)," ")</f>
        <v>Edison</v>
      </c>
      <c r="B4735" s="431" t="str">
        <f>VLOOKUP(VALUE(D4735),$D$3:F$106,3,FALSE)</f>
        <v>Performing Arts</v>
      </c>
      <c r="C4735" t="s">
        <v>314</v>
      </c>
      <c r="D4735" t="s">
        <v>1336</v>
      </c>
      <c r="E4735" t="s">
        <v>1337</v>
      </c>
      <c r="F4735" t="s">
        <v>321</v>
      </c>
      <c r="G4735" t="s">
        <v>319</v>
      </c>
      <c r="H4735" s="502">
        <v>52917</v>
      </c>
      <c r="I4735" s="415"/>
      <c r="J4735" s="415"/>
      <c r="K4735" s="415"/>
      <c r="L4735" s="415">
        <v>0</v>
      </c>
      <c r="M4735" s="415">
        <v>0</v>
      </c>
      <c r="N4735" s="415">
        <v>24562.23</v>
      </c>
      <c r="O4735" s="415">
        <v>23581.07</v>
      </c>
      <c r="P4735" s="415">
        <v>23919.21</v>
      </c>
      <c r="Q4735" s="481">
        <f t="shared" ref="Q4735:Q4798" si="120">J4735-I4735</f>
        <v>0</v>
      </c>
    </row>
    <row r="4736" spans="1:17" x14ac:dyDescent="0.3">
      <c r="A4736" s="431" t="str">
        <f>IFERROR(VLOOKUP(RIGHT(E4736,3)+0,[1]SchLocTable!$A$2:$B$47,2,FALSE)," ")</f>
        <v>Edison</v>
      </c>
      <c r="B4736" s="431" t="str">
        <f>VLOOKUP(VALUE(D4736),$D$3:F$106,3,FALSE)</f>
        <v>Performing Arts</v>
      </c>
      <c r="C4736" t="s">
        <v>314</v>
      </c>
      <c r="D4736" t="s">
        <v>1336</v>
      </c>
      <c r="E4736" t="s">
        <v>1337</v>
      </c>
      <c r="F4736" t="s">
        <v>320</v>
      </c>
      <c r="G4736" t="s">
        <v>319</v>
      </c>
      <c r="H4736" s="502">
        <v>52360</v>
      </c>
      <c r="I4736" s="415"/>
      <c r="J4736" s="415"/>
      <c r="K4736" s="415"/>
      <c r="L4736" s="415">
        <v>0</v>
      </c>
      <c r="M4736" s="415">
        <v>0</v>
      </c>
      <c r="N4736" s="415">
        <v>1318.25</v>
      </c>
      <c r="O4736" s="415">
        <v>1303.76</v>
      </c>
      <c r="P4736" s="415">
        <v>1281.77</v>
      </c>
      <c r="Q4736" s="481">
        <f t="shared" si="120"/>
        <v>0</v>
      </c>
    </row>
    <row r="4737" spans="1:17" x14ac:dyDescent="0.3">
      <c r="A4737" s="431" t="str">
        <f>IFERROR(VLOOKUP(RIGHT(E4737,3)+0,[1]SchLocTable!$A$2:$B$47,2,FALSE)," ")</f>
        <v>Hall</v>
      </c>
      <c r="B4737" s="431" t="str">
        <f>VLOOKUP(VALUE(D4737),$D$3:F$106,3,FALSE)</f>
        <v>Performing Arts</v>
      </c>
      <c r="C4737" t="s">
        <v>314</v>
      </c>
      <c r="D4737" t="s">
        <v>1336</v>
      </c>
      <c r="E4737" t="s">
        <v>1338</v>
      </c>
      <c r="F4737" t="s">
        <v>316</v>
      </c>
      <c r="G4737" t="s">
        <v>319</v>
      </c>
      <c r="H4737" s="502">
        <v>51000</v>
      </c>
      <c r="I4737" s="415"/>
      <c r="J4737" s="415"/>
      <c r="K4737" s="415"/>
      <c r="L4737" s="415">
        <v>0</v>
      </c>
      <c r="M4737" s="415">
        <v>0</v>
      </c>
      <c r="N4737" s="415">
        <v>57345.66</v>
      </c>
      <c r="O4737" s="415">
        <v>0</v>
      </c>
      <c r="P4737" s="415">
        <v>0</v>
      </c>
      <c r="Q4737" s="481">
        <f t="shared" si="120"/>
        <v>0</v>
      </c>
    </row>
    <row r="4738" spans="1:17" x14ac:dyDescent="0.3">
      <c r="A4738" s="431" t="str">
        <f>IFERROR(VLOOKUP(RIGHT(E4738,3)+0,[1]SchLocTable!$A$2:$B$47,2,FALSE)," ")</f>
        <v>Hall</v>
      </c>
      <c r="B4738" s="431" t="str">
        <f>VLOOKUP(VALUE(D4738),$D$3:F$106,3,FALSE)</f>
        <v>Performing Arts</v>
      </c>
      <c r="C4738" t="s">
        <v>314</v>
      </c>
      <c r="D4738" t="s">
        <v>1336</v>
      </c>
      <c r="E4738" t="s">
        <v>1338</v>
      </c>
      <c r="F4738" t="s">
        <v>321</v>
      </c>
      <c r="G4738" t="s">
        <v>319</v>
      </c>
      <c r="H4738" s="502">
        <v>52917</v>
      </c>
      <c r="I4738" s="415"/>
      <c r="J4738" s="415"/>
      <c r="K4738" s="415"/>
      <c r="L4738" s="415">
        <v>0</v>
      </c>
      <c r="M4738" s="415">
        <v>0</v>
      </c>
      <c r="N4738" s="415">
        <v>15788.41</v>
      </c>
      <c r="O4738" s="415">
        <v>0</v>
      </c>
      <c r="P4738" s="415">
        <v>0</v>
      </c>
      <c r="Q4738" s="481">
        <f t="shared" si="120"/>
        <v>0</v>
      </c>
    </row>
    <row r="4739" spans="1:17" x14ac:dyDescent="0.3">
      <c r="A4739" s="431" t="str">
        <f>IFERROR(VLOOKUP(RIGHT(E4739,3)+0,[1]SchLocTable!$A$2:$B$47,2,FALSE)," ")</f>
        <v>Hall</v>
      </c>
      <c r="B4739" s="431" t="str">
        <f>VLOOKUP(VALUE(D4739),$D$3:F$106,3,FALSE)</f>
        <v>Performing Arts</v>
      </c>
      <c r="C4739" t="s">
        <v>314</v>
      </c>
      <c r="D4739" t="s">
        <v>1336</v>
      </c>
      <c r="E4739" t="s">
        <v>1338</v>
      </c>
      <c r="F4739" t="s">
        <v>320</v>
      </c>
      <c r="G4739" t="s">
        <v>319</v>
      </c>
      <c r="H4739" s="502">
        <v>52360</v>
      </c>
      <c r="I4739" s="415"/>
      <c r="J4739" s="415"/>
      <c r="K4739" s="415"/>
      <c r="L4739" s="415">
        <v>0</v>
      </c>
      <c r="M4739" s="415">
        <v>0</v>
      </c>
      <c r="N4739" s="415">
        <v>769.75</v>
      </c>
      <c r="O4739" s="415">
        <v>0</v>
      </c>
      <c r="P4739" s="415">
        <v>0</v>
      </c>
      <c r="Q4739" s="481">
        <f t="shared" si="120"/>
        <v>0</v>
      </c>
    </row>
    <row r="4740" spans="1:17" x14ac:dyDescent="0.3">
      <c r="A4740" s="431" t="str">
        <f>IFERROR(VLOOKUP(RIGHT(E4740,3)+0,[1]SchLocTable!$A$2:$B$47,2,FALSE)," ")</f>
        <v>Hall</v>
      </c>
      <c r="B4740" s="431" t="str">
        <f>VLOOKUP(VALUE(D4740),$D$3:F$106,3,FALSE)</f>
        <v>Performing Arts</v>
      </c>
      <c r="C4740" t="s">
        <v>314</v>
      </c>
      <c r="D4740" t="s">
        <v>1336</v>
      </c>
      <c r="E4740" t="s">
        <v>1338</v>
      </c>
      <c r="F4740" t="s">
        <v>324</v>
      </c>
      <c r="G4740" t="s">
        <v>319</v>
      </c>
      <c r="H4740" s="502">
        <v>52385</v>
      </c>
      <c r="I4740" s="415"/>
      <c r="J4740" s="415"/>
      <c r="K4740" s="415"/>
      <c r="L4740" s="415">
        <v>0</v>
      </c>
      <c r="M4740" s="415">
        <v>0</v>
      </c>
      <c r="N4740" s="415">
        <v>124</v>
      </c>
      <c r="O4740" s="415">
        <v>0</v>
      </c>
      <c r="P4740" s="415">
        <v>0</v>
      </c>
      <c r="Q4740" s="481">
        <f t="shared" si="120"/>
        <v>0</v>
      </c>
    </row>
    <row r="4741" spans="1:17" x14ac:dyDescent="0.3">
      <c r="A4741" s="431" t="str">
        <f>IFERROR(VLOOKUP(RIGHT(E4741,3)+0,[1]SchLocTable!$A$2:$B$47,2,FALSE)," ")</f>
        <v>Hallen</v>
      </c>
      <c r="B4741" s="431" t="str">
        <f>VLOOKUP(VALUE(D4741),$D$3:F$106,3,FALSE)</f>
        <v>Performing Arts</v>
      </c>
      <c r="C4741" t="s">
        <v>314</v>
      </c>
      <c r="D4741" t="s">
        <v>1336</v>
      </c>
      <c r="E4741" t="s">
        <v>615</v>
      </c>
      <c r="F4741" t="s">
        <v>321</v>
      </c>
      <c r="G4741" t="s">
        <v>319</v>
      </c>
      <c r="H4741" s="502" t="s">
        <v>1248</v>
      </c>
      <c r="I4741" s="415">
        <v>0</v>
      </c>
      <c r="J4741" s="415">
        <v>0</v>
      </c>
      <c r="K4741" s="415">
        <v>0</v>
      </c>
      <c r="L4741" s="415">
        <v>0</v>
      </c>
      <c r="M4741" s="415">
        <v>0</v>
      </c>
      <c r="N4741" s="415">
        <v>0</v>
      </c>
      <c r="O4741" s="415">
        <v>23581.07</v>
      </c>
      <c r="P4741" s="415">
        <v>22186.29</v>
      </c>
      <c r="Q4741" s="481">
        <f t="shared" si="120"/>
        <v>0</v>
      </c>
    </row>
    <row r="4742" spans="1:17" x14ac:dyDescent="0.3">
      <c r="A4742" s="431" t="str">
        <f>IFERROR(VLOOKUP(RIGHT(E4742,3)+0,[1]SchLocTable!$A$2:$B$47,2,FALSE)," ")</f>
        <v>Tisdale</v>
      </c>
      <c r="B4742" s="431" t="str">
        <f>VLOOKUP(VALUE(D4742),$D$3:F$106,3,FALSE)</f>
        <v>Performing Arts</v>
      </c>
      <c r="C4742" t="s">
        <v>314</v>
      </c>
      <c r="D4742" t="s">
        <v>1336</v>
      </c>
      <c r="E4742" t="s">
        <v>621</v>
      </c>
      <c r="F4742" t="s">
        <v>560</v>
      </c>
      <c r="G4742" t="s">
        <v>319</v>
      </c>
      <c r="H4742" s="502" t="s">
        <v>1244</v>
      </c>
      <c r="I4742" s="415">
        <v>0</v>
      </c>
      <c r="J4742" s="415">
        <v>0</v>
      </c>
      <c r="K4742" s="415">
        <v>0</v>
      </c>
      <c r="L4742" s="415">
        <v>0</v>
      </c>
      <c r="M4742" s="415">
        <v>0</v>
      </c>
      <c r="N4742" s="415">
        <v>0</v>
      </c>
      <c r="O4742" s="415">
        <v>0</v>
      </c>
      <c r="P4742" s="415">
        <v>250</v>
      </c>
      <c r="Q4742" s="481">
        <f t="shared" si="120"/>
        <v>0</v>
      </c>
    </row>
    <row r="4743" spans="1:17" x14ac:dyDescent="0.3">
      <c r="A4743" s="431" t="str">
        <f>IFERROR(VLOOKUP(RIGHT(E4743,3)+0,[1]SchLocTable!$A$2:$B$47,2,FALSE)," ")</f>
        <v>Discovery</v>
      </c>
      <c r="B4743" s="431" t="str">
        <f>VLOOKUP(VALUE(D4743),$D$3:F$106,3,FALSE)</f>
        <v>Performing Arts</v>
      </c>
      <c r="C4743" t="s">
        <v>314</v>
      </c>
      <c r="D4743" t="s">
        <v>1336</v>
      </c>
      <c r="E4743" t="s">
        <v>1339</v>
      </c>
      <c r="F4743" t="s">
        <v>316</v>
      </c>
      <c r="G4743" t="s">
        <v>319</v>
      </c>
      <c r="H4743" s="502">
        <v>51000</v>
      </c>
      <c r="I4743" s="415"/>
      <c r="J4743" s="415"/>
      <c r="K4743" s="415"/>
      <c r="L4743" s="415">
        <v>0</v>
      </c>
      <c r="M4743" s="415">
        <v>0</v>
      </c>
      <c r="N4743" s="415">
        <v>44536</v>
      </c>
      <c r="O4743" s="415">
        <v>48170.98</v>
      </c>
      <c r="P4743" s="415">
        <v>47411.91</v>
      </c>
      <c r="Q4743" s="481">
        <f t="shared" si="120"/>
        <v>0</v>
      </c>
    </row>
    <row r="4744" spans="1:17" x14ac:dyDescent="0.3">
      <c r="A4744" s="431" t="str">
        <f>IFERROR(VLOOKUP(RIGHT(E4744,3)+0,[1]SchLocTable!$A$2:$B$47,2,FALSE)," ")</f>
        <v>Discovery</v>
      </c>
      <c r="B4744" s="431" t="str">
        <f>VLOOKUP(VALUE(D4744),$D$3:F$106,3,FALSE)</f>
        <v>Performing Arts</v>
      </c>
      <c r="C4744" t="s">
        <v>314</v>
      </c>
      <c r="D4744" t="s">
        <v>1336</v>
      </c>
      <c r="E4744" t="s">
        <v>1339</v>
      </c>
      <c r="F4744" t="s">
        <v>320</v>
      </c>
      <c r="G4744" t="s">
        <v>319</v>
      </c>
      <c r="H4744" s="502">
        <v>52360</v>
      </c>
      <c r="I4744" s="415"/>
      <c r="J4744" s="415"/>
      <c r="K4744" s="415"/>
      <c r="L4744" s="415">
        <v>0</v>
      </c>
      <c r="M4744" s="415">
        <v>0</v>
      </c>
      <c r="N4744" s="415">
        <v>732.77</v>
      </c>
      <c r="O4744" s="415">
        <v>698.48</v>
      </c>
      <c r="P4744" s="415">
        <v>687.47</v>
      </c>
      <c r="Q4744" s="481">
        <f t="shared" si="120"/>
        <v>0</v>
      </c>
    </row>
    <row r="4745" spans="1:17" x14ac:dyDescent="0.3">
      <c r="A4745" s="431" t="str">
        <f>IFERROR(VLOOKUP(RIGHT(E4745,3)+0,[1]SchLocTable!$A$2:$B$47,2,FALSE)," ")</f>
        <v>Harding HS</v>
      </c>
      <c r="B4745" s="431" t="str">
        <f>VLOOKUP(VALUE(D4745),$D$3:F$106,3,FALSE)</f>
        <v>Performing Arts</v>
      </c>
      <c r="C4745" t="s">
        <v>314</v>
      </c>
      <c r="D4745" t="s">
        <v>1336</v>
      </c>
      <c r="E4745" t="s">
        <v>634</v>
      </c>
      <c r="F4745" t="s">
        <v>318</v>
      </c>
      <c r="G4745" t="s">
        <v>319</v>
      </c>
      <c r="H4745" s="502">
        <v>51140</v>
      </c>
      <c r="I4745" s="415"/>
      <c r="J4745" s="415"/>
      <c r="K4745" s="415"/>
      <c r="L4745" s="415">
        <v>0</v>
      </c>
      <c r="M4745" s="415">
        <v>0</v>
      </c>
      <c r="N4745" s="415">
        <v>1300</v>
      </c>
      <c r="O4745" s="415">
        <v>1300</v>
      </c>
      <c r="P4745" s="415">
        <v>1300</v>
      </c>
      <c r="Q4745" s="481">
        <f t="shared" si="120"/>
        <v>0</v>
      </c>
    </row>
    <row r="4746" spans="1:17" x14ac:dyDescent="0.3">
      <c r="A4746" s="431" t="str">
        <f>IFERROR(VLOOKUP(RIGHT(E4746,3)+0,[1]SchLocTable!$A$2:$B$47,2,FALSE)," ")</f>
        <v>Harding HS</v>
      </c>
      <c r="B4746" s="431" t="str">
        <f>VLOOKUP(VALUE(D4746),$D$3:F$106,3,FALSE)</f>
        <v>Performing Arts</v>
      </c>
      <c r="C4746" t="s">
        <v>314</v>
      </c>
      <c r="D4746" t="s">
        <v>1336</v>
      </c>
      <c r="E4746" t="s">
        <v>634</v>
      </c>
      <c r="F4746" t="s">
        <v>329</v>
      </c>
      <c r="G4746" t="s">
        <v>319</v>
      </c>
      <c r="H4746" s="502">
        <v>51154</v>
      </c>
      <c r="I4746" s="415"/>
      <c r="J4746" s="415"/>
      <c r="K4746" s="415"/>
      <c r="L4746" s="415">
        <v>0</v>
      </c>
      <c r="M4746" s="415">
        <v>0</v>
      </c>
      <c r="N4746" s="415">
        <v>11375</v>
      </c>
      <c r="O4746" s="415">
        <v>0</v>
      </c>
      <c r="P4746" s="415">
        <v>0</v>
      </c>
      <c r="Q4746" s="481">
        <f t="shared" si="120"/>
        <v>0</v>
      </c>
    </row>
    <row r="4747" spans="1:17" x14ac:dyDescent="0.3">
      <c r="A4747" s="431" t="str">
        <f>IFERROR(VLOOKUP(RIGHT(E4747,3)+0,[1]SchLocTable!$A$2:$B$47,2,FALSE)," ")</f>
        <v>Columbus</v>
      </c>
      <c r="B4747" s="431" t="str">
        <f>VLOOKUP(VALUE(D4747),$D$3:F$106,3,FALSE)</f>
        <v>English</v>
      </c>
      <c r="C4747" t="s">
        <v>314</v>
      </c>
      <c r="D4747" t="s">
        <v>1340</v>
      </c>
      <c r="E4747" t="s">
        <v>638</v>
      </c>
      <c r="F4747" t="s">
        <v>321</v>
      </c>
      <c r="G4747" t="s">
        <v>319</v>
      </c>
      <c r="H4747" s="502" t="s">
        <v>1248</v>
      </c>
      <c r="I4747" s="415">
        <v>0</v>
      </c>
      <c r="J4747" s="415">
        <v>0</v>
      </c>
      <c r="K4747" s="415">
        <v>0</v>
      </c>
      <c r="L4747" s="415">
        <v>0</v>
      </c>
      <c r="M4747" s="415">
        <v>0</v>
      </c>
      <c r="N4747" s="415">
        <v>0</v>
      </c>
      <c r="O4747" s="415">
        <v>0</v>
      </c>
      <c r="P4747" s="415">
        <v>9245.67</v>
      </c>
      <c r="Q4747" s="481">
        <f t="shared" si="120"/>
        <v>0</v>
      </c>
    </row>
    <row r="4748" spans="1:17" x14ac:dyDescent="0.3">
      <c r="A4748" s="431" t="str">
        <f>IFERROR(VLOOKUP(RIGHT(E4748,3)+0,[1]SchLocTable!$A$2:$B$47,2,FALSE)," ")</f>
        <v>BMA HS</v>
      </c>
      <c r="B4748" s="431" t="str">
        <f>VLOOKUP(VALUE(D4748),$D$3:F$106,3,FALSE)</f>
        <v>English</v>
      </c>
      <c r="C4748" t="s">
        <v>314</v>
      </c>
      <c r="D4748" t="s">
        <v>1340</v>
      </c>
      <c r="E4748" t="s">
        <v>644</v>
      </c>
      <c r="F4748" t="s">
        <v>318</v>
      </c>
      <c r="G4748" t="s">
        <v>319</v>
      </c>
      <c r="H4748" s="502">
        <v>51140</v>
      </c>
      <c r="I4748" s="415"/>
      <c r="J4748" s="415"/>
      <c r="K4748" s="415"/>
      <c r="L4748" s="415">
        <v>0</v>
      </c>
      <c r="M4748" s="415">
        <v>0</v>
      </c>
      <c r="N4748" s="415">
        <v>2200</v>
      </c>
      <c r="O4748" s="415">
        <v>4700</v>
      </c>
      <c r="P4748" s="415">
        <v>2900</v>
      </c>
      <c r="Q4748" s="481">
        <f t="shared" si="120"/>
        <v>0</v>
      </c>
    </row>
    <row r="4749" spans="1:17" x14ac:dyDescent="0.3">
      <c r="A4749" s="431" t="str">
        <f>IFERROR(VLOOKUP(RIGHT(E4749,3)+0,[1]SchLocTable!$A$2:$B$47,2,FALSE)," ")</f>
        <v>BMA HS</v>
      </c>
      <c r="B4749" s="431" t="str">
        <f>VLOOKUP(VALUE(D4749),$D$3:F$106,3,FALSE)</f>
        <v>English</v>
      </c>
      <c r="C4749" t="s">
        <v>314</v>
      </c>
      <c r="D4749" t="s">
        <v>1340</v>
      </c>
      <c r="E4749" t="s">
        <v>644</v>
      </c>
      <c r="F4749" t="s">
        <v>329</v>
      </c>
      <c r="G4749" t="s">
        <v>319</v>
      </c>
      <c r="H4749" s="502" t="s">
        <v>1240</v>
      </c>
      <c r="I4749" s="415">
        <v>0</v>
      </c>
      <c r="J4749" s="415">
        <v>0</v>
      </c>
      <c r="K4749" s="415">
        <v>0</v>
      </c>
      <c r="L4749" s="415">
        <v>0</v>
      </c>
      <c r="M4749" s="415">
        <v>0</v>
      </c>
      <c r="N4749" s="415">
        <v>0</v>
      </c>
      <c r="O4749" s="415">
        <v>20800</v>
      </c>
      <c r="P4749" s="415">
        <v>0</v>
      </c>
      <c r="Q4749" s="481">
        <f t="shared" si="120"/>
        <v>0</v>
      </c>
    </row>
    <row r="4750" spans="1:17" x14ac:dyDescent="0.3">
      <c r="A4750" s="431" t="str">
        <f>IFERROR(VLOOKUP(RIGHT(E4750,3)+0,[1]SchLocTable!$A$2:$B$47,2,FALSE)," ")</f>
        <v>Classical Studies Academy</v>
      </c>
      <c r="B4750" s="431" t="str">
        <f>VLOOKUP(VALUE(D4750),$D$3:F$106,3,FALSE)</f>
        <v>English</v>
      </c>
      <c r="C4750" t="s">
        <v>314</v>
      </c>
      <c r="D4750" t="s">
        <v>1340</v>
      </c>
      <c r="E4750" t="s">
        <v>647</v>
      </c>
      <c r="F4750" t="s">
        <v>318</v>
      </c>
      <c r="G4750" t="s">
        <v>319</v>
      </c>
      <c r="H4750" s="502" t="s">
        <v>1239</v>
      </c>
      <c r="I4750" s="415">
        <v>0</v>
      </c>
      <c r="J4750" s="415">
        <v>0</v>
      </c>
      <c r="K4750" s="415">
        <v>0</v>
      </c>
      <c r="L4750" s="415">
        <v>0</v>
      </c>
      <c r="M4750" s="415">
        <v>0</v>
      </c>
      <c r="N4750" s="415">
        <v>0</v>
      </c>
      <c r="O4750" s="415">
        <v>0</v>
      </c>
      <c r="P4750" s="415">
        <v>900</v>
      </c>
      <c r="Q4750" s="481">
        <f t="shared" si="120"/>
        <v>0</v>
      </c>
    </row>
    <row r="4751" spans="1:17" x14ac:dyDescent="0.3">
      <c r="A4751" s="431" t="str">
        <f>IFERROR(VLOOKUP(RIGHT(E4751,3)+0,[1]SchLocTable!$A$2:$B$47,2,FALSE)," ")</f>
        <v>Johnson</v>
      </c>
      <c r="B4751" s="431" t="str">
        <f>VLOOKUP(VALUE(D4751),$D$3:F$106,3,FALSE)</f>
        <v>English</v>
      </c>
      <c r="C4751" t="s">
        <v>314</v>
      </c>
      <c r="D4751" t="s">
        <v>1340</v>
      </c>
      <c r="E4751" t="s">
        <v>653</v>
      </c>
      <c r="F4751" t="s">
        <v>318</v>
      </c>
      <c r="G4751" t="s">
        <v>319</v>
      </c>
      <c r="H4751" s="502" t="s">
        <v>1239</v>
      </c>
      <c r="I4751" s="415">
        <v>0</v>
      </c>
      <c r="J4751" s="415">
        <v>0</v>
      </c>
      <c r="K4751" s="415">
        <v>0</v>
      </c>
      <c r="L4751" s="415">
        <v>0</v>
      </c>
      <c r="M4751" s="415">
        <v>0</v>
      </c>
      <c r="N4751" s="415">
        <v>0</v>
      </c>
      <c r="O4751" s="415">
        <v>1100</v>
      </c>
      <c r="P4751" s="415">
        <v>1100</v>
      </c>
      <c r="Q4751" s="481">
        <f t="shared" si="120"/>
        <v>0</v>
      </c>
    </row>
    <row r="4752" spans="1:17" x14ac:dyDescent="0.3">
      <c r="A4752" s="431" t="str">
        <f>IFERROR(VLOOKUP(RIGHT(E4752,3)+0,[1]SchLocTable!$A$2:$B$47,2,FALSE)," ")</f>
        <v>Cross</v>
      </c>
      <c r="B4752" s="431" t="str">
        <f>VLOOKUP(VALUE(D4752),$D$3:F$106,3,FALSE)</f>
        <v>English</v>
      </c>
      <c r="C4752" t="s">
        <v>314</v>
      </c>
      <c r="D4752" t="s">
        <v>1340</v>
      </c>
      <c r="E4752" t="s">
        <v>655</v>
      </c>
      <c r="F4752" t="s">
        <v>318</v>
      </c>
      <c r="G4752" t="s">
        <v>319</v>
      </c>
      <c r="H4752" s="502" t="s">
        <v>1239</v>
      </c>
      <c r="I4752" s="415">
        <v>0</v>
      </c>
      <c r="J4752" s="415">
        <v>0</v>
      </c>
      <c r="K4752" s="415">
        <v>0</v>
      </c>
      <c r="L4752" s="415">
        <v>0</v>
      </c>
      <c r="M4752" s="415">
        <v>0</v>
      </c>
      <c r="N4752" s="415">
        <v>0</v>
      </c>
      <c r="O4752" s="415">
        <v>900</v>
      </c>
      <c r="P4752" s="415">
        <v>900</v>
      </c>
      <c r="Q4752" s="481">
        <f t="shared" si="120"/>
        <v>0</v>
      </c>
    </row>
    <row r="4753" spans="1:17" x14ac:dyDescent="0.3">
      <c r="A4753" s="431" t="str">
        <f>IFERROR(VLOOKUP(RIGHT(E4753,3)+0,[1]SchLocTable!$A$2:$B$47,2,FALSE)," ")</f>
        <v>Cross</v>
      </c>
      <c r="B4753" s="431" t="str">
        <f>VLOOKUP(VALUE(D4753),$D$3:F$106,3,FALSE)</f>
        <v>English</v>
      </c>
      <c r="C4753" t="s">
        <v>314</v>
      </c>
      <c r="D4753" t="s">
        <v>1340</v>
      </c>
      <c r="E4753" t="s">
        <v>655</v>
      </c>
      <c r="F4753" t="s">
        <v>324</v>
      </c>
      <c r="G4753" t="s">
        <v>319</v>
      </c>
      <c r="H4753" s="502">
        <v>52385</v>
      </c>
      <c r="I4753" s="415"/>
      <c r="J4753" s="415"/>
      <c r="K4753" s="415"/>
      <c r="L4753" s="415">
        <v>0</v>
      </c>
      <c r="M4753" s="415">
        <v>0</v>
      </c>
      <c r="N4753" s="415">
        <v>1457</v>
      </c>
      <c r="O4753" s="415">
        <v>0</v>
      </c>
      <c r="P4753" s="415">
        <v>0</v>
      </c>
      <c r="Q4753" s="481">
        <f t="shared" si="120"/>
        <v>0</v>
      </c>
    </row>
    <row r="4754" spans="1:17" x14ac:dyDescent="0.3">
      <c r="A4754" s="431" t="str">
        <f>IFERROR(VLOOKUP(RIGHT(E4754,3)+0,[1]SchLocTable!$A$2:$B$47,2,FALSE)," ")</f>
        <v>Curiale</v>
      </c>
      <c r="B4754" s="431" t="str">
        <f>VLOOKUP(VALUE(D4754),$D$3:F$106,3,FALSE)</f>
        <v>English</v>
      </c>
      <c r="C4754" t="s">
        <v>314</v>
      </c>
      <c r="D4754" t="s">
        <v>1340</v>
      </c>
      <c r="E4754" t="s">
        <v>1305</v>
      </c>
      <c r="F4754" t="s">
        <v>318</v>
      </c>
      <c r="G4754" t="s">
        <v>319</v>
      </c>
      <c r="H4754" s="502" t="s">
        <v>1239</v>
      </c>
      <c r="I4754" s="415">
        <v>0</v>
      </c>
      <c r="J4754" s="415">
        <v>0</v>
      </c>
      <c r="K4754" s="415">
        <v>0</v>
      </c>
      <c r="L4754" s="415">
        <v>0</v>
      </c>
      <c r="M4754" s="415">
        <v>0</v>
      </c>
      <c r="N4754" s="415">
        <v>0</v>
      </c>
      <c r="O4754" s="415">
        <v>0</v>
      </c>
      <c r="P4754" s="415">
        <v>900</v>
      </c>
      <c r="Q4754" s="481">
        <f t="shared" si="120"/>
        <v>0</v>
      </c>
    </row>
    <row r="4755" spans="1:17" x14ac:dyDescent="0.3">
      <c r="A4755" s="431" t="str">
        <f>IFERROR(VLOOKUP(RIGHT(E4755,3)+0,[1]SchLocTable!$A$2:$B$47,2,FALSE)," ")</f>
        <v>Bassick HS</v>
      </c>
      <c r="B4755" s="431" t="str">
        <f>VLOOKUP(VALUE(D4755),$D$3:F$106,3,FALSE)</f>
        <v>English</v>
      </c>
      <c r="C4755" t="s">
        <v>314</v>
      </c>
      <c r="D4755" t="s">
        <v>1340</v>
      </c>
      <c r="E4755" t="s">
        <v>660</v>
      </c>
      <c r="F4755" t="s">
        <v>324</v>
      </c>
      <c r="G4755" t="s">
        <v>319</v>
      </c>
      <c r="H4755" s="502">
        <v>52385</v>
      </c>
      <c r="I4755" s="415"/>
      <c r="J4755" s="415"/>
      <c r="K4755" s="415"/>
      <c r="L4755" s="415">
        <v>0</v>
      </c>
      <c r="M4755" s="415">
        <v>0</v>
      </c>
      <c r="N4755" s="415">
        <v>657.2</v>
      </c>
      <c r="O4755" s="415">
        <v>0</v>
      </c>
      <c r="P4755" s="415">
        <v>0</v>
      </c>
      <c r="Q4755" s="481">
        <f t="shared" si="120"/>
        <v>0</v>
      </c>
    </row>
    <row r="4756" spans="1:17" x14ac:dyDescent="0.3">
      <c r="A4756" s="431" t="str">
        <f>IFERROR(VLOOKUP(RIGHT(E4756,3)+0,[1]SchLocTable!$A$2:$B$47,2,FALSE)," ")</f>
        <v>Bassick HS</v>
      </c>
      <c r="B4756" s="431" t="str">
        <f>VLOOKUP(VALUE(D4756),$D$3:F$106,3,FALSE)</f>
        <v>English</v>
      </c>
      <c r="C4756" t="s">
        <v>314</v>
      </c>
      <c r="D4756" t="s">
        <v>1340</v>
      </c>
      <c r="E4756" t="s">
        <v>660</v>
      </c>
      <c r="F4756" t="s">
        <v>329</v>
      </c>
      <c r="G4756" t="s">
        <v>319</v>
      </c>
      <c r="H4756" s="502" t="s">
        <v>1240</v>
      </c>
      <c r="I4756" s="415">
        <v>0</v>
      </c>
      <c r="J4756" s="415">
        <v>0</v>
      </c>
      <c r="K4756" s="415">
        <v>0</v>
      </c>
      <c r="L4756" s="415">
        <v>0</v>
      </c>
      <c r="M4756" s="415">
        <v>0</v>
      </c>
      <c r="N4756" s="415">
        <v>0</v>
      </c>
      <c r="O4756" s="415">
        <v>11375</v>
      </c>
      <c r="P4756" s="415">
        <v>0</v>
      </c>
      <c r="Q4756" s="481">
        <f t="shared" si="120"/>
        <v>0</v>
      </c>
    </row>
    <row r="4757" spans="1:17" x14ac:dyDescent="0.3">
      <c r="A4757" s="431" t="str">
        <f>IFERROR(VLOOKUP(RIGHT(E4757,3)+0,[1]SchLocTable!$A$2:$B$47,2,FALSE)," ")</f>
        <v>Columbus</v>
      </c>
      <c r="B4757" s="431" t="str">
        <f>VLOOKUP(VALUE(D4757),$D$3:F$106,3,FALSE)</f>
        <v>Mathematics</v>
      </c>
      <c r="C4757" t="s">
        <v>314</v>
      </c>
      <c r="D4757" t="s">
        <v>1341</v>
      </c>
      <c r="E4757" t="s">
        <v>665</v>
      </c>
      <c r="F4757" t="s">
        <v>318</v>
      </c>
      <c r="G4757" t="s">
        <v>319</v>
      </c>
      <c r="H4757" s="502">
        <v>51140</v>
      </c>
      <c r="I4757" s="415"/>
      <c r="J4757" s="415"/>
      <c r="K4757" s="415"/>
      <c r="L4757" s="415">
        <v>0</v>
      </c>
      <c r="M4757" s="415">
        <v>0</v>
      </c>
      <c r="N4757" s="415">
        <v>900</v>
      </c>
      <c r="O4757" s="415">
        <v>0</v>
      </c>
      <c r="P4757" s="415">
        <v>0</v>
      </c>
      <c r="Q4757" s="481">
        <f t="shared" si="120"/>
        <v>0</v>
      </c>
    </row>
    <row r="4758" spans="1:17" x14ac:dyDescent="0.3">
      <c r="A4758" s="431" t="str">
        <f>IFERROR(VLOOKUP(RIGHT(E4758,3)+0,[1]SchLocTable!$A$2:$B$47,2,FALSE)," ")</f>
        <v>Physical Science HS</v>
      </c>
      <c r="B4758" s="431" t="str">
        <f>VLOOKUP(VALUE(D4758),$D$3:F$106,3,FALSE)</f>
        <v>Mathematics</v>
      </c>
      <c r="C4758" t="s">
        <v>314</v>
      </c>
      <c r="D4758" t="s">
        <v>1341</v>
      </c>
      <c r="E4758" t="s">
        <v>666</v>
      </c>
      <c r="F4758" t="s">
        <v>324</v>
      </c>
      <c r="G4758" t="s">
        <v>319</v>
      </c>
      <c r="H4758" s="502">
        <v>52385</v>
      </c>
      <c r="I4758" s="415"/>
      <c r="J4758" s="415"/>
      <c r="K4758" s="415"/>
      <c r="L4758" s="415">
        <v>0</v>
      </c>
      <c r="M4758" s="415">
        <v>0</v>
      </c>
      <c r="N4758" s="415">
        <v>2458.5500000000002</v>
      </c>
      <c r="O4758" s="415">
        <v>0</v>
      </c>
      <c r="P4758" s="415">
        <v>0</v>
      </c>
      <c r="Q4758" s="481">
        <f t="shared" si="120"/>
        <v>0</v>
      </c>
    </row>
    <row r="4759" spans="1:17" x14ac:dyDescent="0.3">
      <c r="A4759" s="431" t="str">
        <f>IFERROR(VLOOKUP(RIGHT(E4759,3)+0,[1]SchLocTable!$A$2:$B$47,2,FALSE)," ")</f>
        <v>Hooker</v>
      </c>
      <c r="B4759" s="431" t="str">
        <f>VLOOKUP(VALUE(D4759),$D$3:F$106,3,FALSE)</f>
        <v>Mathematics</v>
      </c>
      <c r="C4759" t="s">
        <v>314</v>
      </c>
      <c r="D4759" t="s">
        <v>1341</v>
      </c>
      <c r="E4759" t="s">
        <v>668</v>
      </c>
      <c r="F4759" t="s">
        <v>324</v>
      </c>
      <c r="G4759" t="s">
        <v>319</v>
      </c>
      <c r="H4759" s="502">
        <v>52385</v>
      </c>
      <c r="I4759" s="415"/>
      <c r="J4759" s="415"/>
      <c r="K4759" s="415"/>
      <c r="L4759" s="415">
        <v>0</v>
      </c>
      <c r="M4759" s="415">
        <v>0</v>
      </c>
      <c r="N4759" s="415">
        <v>1008.93</v>
      </c>
      <c r="O4759" s="415">
        <v>0</v>
      </c>
      <c r="P4759" s="415">
        <v>0</v>
      </c>
      <c r="Q4759" s="481">
        <f t="shared" si="120"/>
        <v>0</v>
      </c>
    </row>
    <row r="4760" spans="1:17" x14ac:dyDescent="0.3">
      <c r="A4760" s="431" t="str">
        <f>IFERROR(VLOOKUP(RIGHT(E4760,3)+0,[1]SchLocTable!$A$2:$B$47,2,FALSE)," ")</f>
        <v>Batalla</v>
      </c>
      <c r="B4760" s="431" t="str">
        <f>VLOOKUP(VALUE(D4760),$D$3:F$106,3,FALSE)</f>
        <v>Mathematics</v>
      </c>
      <c r="C4760" t="s">
        <v>314</v>
      </c>
      <c r="D4760" t="s">
        <v>1341</v>
      </c>
      <c r="E4760" t="s">
        <v>669</v>
      </c>
      <c r="F4760" t="s">
        <v>324</v>
      </c>
      <c r="G4760" t="s">
        <v>319</v>
      </c>
      <c r="H4760" s="502" t="s">
        <v>1246</v>
      </c>
      <c r="I4760" s="415">
        <v>0</v>
      </c>
      <c r="J4760" s="415">
        <v>0</v>
      </c>
      <c r="K4760" s="415">
        <v>0</v>
      </c>
      <c r="L4760" s="415">
        <v>0</v>
      </c>
      <c r="M4760" s="415">
        <v>0</v>
      </c>
      <c r="N4760" s="415">
        <v>0</v>
      </c>
      <c r="O4760" s="415">
        <v>0</v>
      </c>
      <c r="P4760" s="415">
        <v>266.61</v>
      </c>
      <c r="Q4760" s="481">
        <f t="shared" si="120"/>
        <v>0</v>
      </c>
    </row>
    <row r="4761" spans="1:17" x14ac:dyDescent="0.3">
      <c r="A4761" s="431" t="str">
        <f>IFERROR(VLOOKUP(RIGHT(E4761,3)+0,[1]SchLocTable!$A$2:$B$47,2,FALSE)," ")</f>
        <v>BMA HS</v>
      </c>
      <c r="B4761" s="431" t="str">
        <f>VLOOKUP(VALUE(D4761),$D$3:F$106,3,FALSE)</f>
        <v>Mathematics</v>
      </c>
      <c r="C4761" t="s">
        <v>314</v>
      </c>
      <c r="D4761" t="s">
        <v>1341</v>
      </c>
      <c r="E4761" t="s">
        <v>671</v>
      </c>
      <c r="F4761" t="s">
        <v>324</v>
      </c>
      <c r="G4761" t="s">
        <v>319</v>
      </c>
      <c r="H4761" s="502">
        <v>52385</v>
      </c>
      <c r="I4761" s="415"/>
      <c r="J4761" s="415"/>
      <c r="K4761" s="415"/>
      <c r="L4761" s="415">
        <v>0</v>
      </c>
      <c r="M4761" s="415">
        <v>0</v>
      </c>
      <c r="N4761" s="415">
        <v>341</v>
      </c>
      <c r="O4761" s="415">
        <v>89.28</v>
      </c>
      <c r="P4761" s="415">
        <v>0</v>
      </c>
      <c r="Q4761" s="481">
        <f t="shared" si="120"/>
        <v>0</v>
      </c>
    </row>
    <row r="4762" spans="1:17" x14ac:dyDescent="0.3">
      <c r="A4762" s="431" t="str">
        <f>IFERROR(VLOOKUP(RIGHT(E4762,3)+0,[1]SchLocTable!$A$2:$B$47,2,FALSE)," ")</f>
        <v>Classical Studies Academy</v>
      </c>
      <c r="B4762" s="431" t="str">
        <f>VLOOKUP(VALUE(D4762),$D$3:F$106,3,FALSE)</f>
        <v>Mathematics</v>
      </c>
      <c r="C4762" t="s">
        <v>314</v>
      </c>
      <c r="D4762" t="s">
        <v>1341</v>
      </c>
      <c r="E4762" t="s">
        <v>674</v>
      </c>
      <c r="F4762" t="s">
        <v>324</v>
      </c>
      <c r="G4762" t="s">
        <v>319</v>
      </c>
      <c r="H4762" s="502" t="s">
        <v>1246</v>
      </c>
      <c r="I4762" s="415">
        <v>0</v>
      </c>
      <c r="J4762" s="415">
        <v>0</v>
      </c>
      <c r="K4762" s="415">
        <v>0</v>
      </c>
      <c r="L4762" s="415">
        <v>0</v>
      </c>
      <c r="M4762" s="415">
        <v>0</v>
      </c>
      <c r="N4762" s="415">
        <v>0</v>
      </c>
      <c r="O4762" s="415">
        <v>0</v>
      </c>
      <c r="P4762" s="415">
        <v>183.07</v>
      </c>
      <c r="Q4762" s="481">
        <f t="shared" si="120"/>
        <v>0</v>
      </c>
    </row>
    <row r="4763" spans="1:17" x14ac:dyDescent="0.3">
      <c r="A4763" s="431" t="str">
        <f>IFERROR(VLOOKUP(RIGHT(E4763,3)+0,[1]SchLocTable!$A$2:$B$47,2,FALSE)," ")</f>
        <v>Cross</v>
      </c>
      <c r="B4763" s="431" t="str">
        <f>VLOOKUP(VALUE(D4763),$D$3:F$106,3,FALSE)</f>
        <v>Mathematics</v>
      </c>
      <c r="C4763" t="s">
        <v>314</v>
      </c>
      <c r="D4763" t="s">
        <v>1341</v>
      </c>
      <c r="E4763" t="s">
        <v>682</v>
      </c>
      <c r="F4763" t="s">
        <v>318</v>
      </c>
      <c r="G4763" t="s">
        <v>319</v>
      </c>
      <c r="H4763" s="502" t="s">
        <v>1239</v>
      </c>
      <c r="I4763" s="415">
        <v>0</v>
      </c>
      <c r="J4763" s="415">
        <v>0</v>
      </c>
      <c r="K4763" s="415">
        <v>0</v>
      </c>
      <c r="L4763" s="415">
        <v>0</v>
      </c>
      <c r="M4763" s="415">
        <v>0</v>
      </c>
      <c r="N4763" s="415">
        <v>0</v>
      </c>
      <c r="O4763" s="415">
        <v>1100</v>
      </c>
      <c r="P4763" s="415">
        <v>1100</v>
      </c>
      <c r="Q4763" s="481">
        <f t="shared" si="120"/>
        <v>0</v>
      </c>
    </row>
    <row r="4764" spans="1:17" x14ac:dyDescent="0.3">
      <c r="A4764" s="431" t="str">
        <f>IFERROR(VLOOKUP(RIGHT(E4764,3)+0,[1]SchLocTable!$A$2:$B$47,2,FALSE)," ")</f>
        <v>Dunbar</v>
      </c>
      <c r="B4764" s="431" t="str">
        <f>VLOOKUP(VALUE(D4764),$D$3:F$106,3,FALSE)</f>
        <v>Mathematics</v>
      </c>
      <c r="C4764" t="s">
        <v>314</v>
      </c>
      <c r="D4764" t="s">
        <v>1341</v>
      </c>
      <c r="E4764" t="s">
        <v>684</v>
      </c>
      <c r="F4764" t="s">
        <v>324</v>
      </c>
      <c r="G4764" t="s">
        <v>319</v>
      </c>
      <c r="H4764" s="502" t="s">
        <v>1246</v>
      </c>
      <c r="I4764" s="415">
        <v>0</v>
      </c>
      <c r="J4764" s="415">
        <v>0</v>
      </c>
      <c r="K4764" s="415">
        <v>0</v>
      </c>
      <c r="L4764" s="415">
        <v>0</v>
      </c>
      <c r="M4764" s="415">
        <v>0</v>
      </c>
      <c r="N4764" s="415">
        <v>0</v>
      </c>
      <c r="O4764" s="415">
        <v>0</v>
      </c>
      <c r="P4764" s="415">
        <v>1849.99</v>
      </c>
      <c r="Q4764" s="481">
        <f t="shared" si="120"/>
        <v>0</v>
      </c>
    </row>
    <row r="4765" spans="1:17" x14ac:dyDescent="0.3">
      <c r="A4765" s="431" t="str">
        <f>IFERROR(VLOOKUP(RIGHT(E4765,3)+0,[1]SchLocTable!$A$2:$B$47,2,FALSE)," ")</f>
        <v>Curiale</v>
      </c>
      <c r="B4765" s="431" t="str">
        <f>VLOOKUP(VALUE(D4765),$D$3:F$106,3,FALSE)</f>
        <v>Mathematics</v>
      </c>
      <c r="C4765" t="s">
        <v>314</v>
      </c>
      <c r="D4765" t="s">
        <v>1341</v>
      </c>
      <c r="E4765" t="s">
        <v>685</v>
      </c>
      <c r="F4765" t="s">
        <v>321</v>
      </c>
      <c r="G4765" t="s">
        <v>319</v>
      </c>
      <c r="H4765" s="502" t="s">
        <v>1248</v>
      </c>
      <c r="I4765" s="415">
        <v>0</v>
      </c>
      <c r="J4765" s="415">
        <v>0</v>
      </c>
      <c r="K4765" s="415">
        <v>0</v>
      </c>
      <c r="L4765" s="415">
        <v>0</v>
      </c>
      <c r="M4765" s="415">
        <v>0</v>
      </c>
      <c r="N4765" s="415">
        <v>0</v>
      </c>
      <c r="O4765" s="415">
        <v>0</v>
      </c>
      <c r="P4765" s="415">
        <v>6163.78</v>
      </c>
      <c r="Q4765" s="481">
        <f t="shared" si="120"/>
        <v>0</v>
      </c>
    </row>
    <row r="4766" spans="1:17" x14ac:dyDescent="0.3">
      <c r="A4766" s="431" t="str">
        <f>IFERROR(VLOOKUP(RIGHT(E4766,3)+0,[1]SchLocTable!$A$2:$B$47,2,FALSE)," ")</f>
        <v>Curiale</v>
      </c>
      <c r="B4766" s="431" t="str">
        <f>VLOOKUP(VALUE(D4766),$D$3:F$106,3,FALSE)</f>
        <v>Mathematics</v>
      </c>
      <c r="C4766" t="s">
        <v>314</v>
      </c>
      <c r="D4766" t="s">
        <v>1341</v>
      </c>
      <c r="E4766" t="s">
        <v>685</v>
      </c>
      <c r="F4766" t="s">
        <v>318</v>
      </c>
      <c r="G4766" t="s">
        <v>319</v>
      </c>
      <c r="H4766" s="502" t="s">
        <v>1239</v>
      </c>
      <c r="I4766" s="415">
        <v>0</v>
      </c>
      <c r="J4766" s="415">
        <v>0</v>
      </c>
      <c r="K4766" s="415">
        <v>0</v>
      </c>
      <c r="L4766" s="415">
        <v>0</v>
      </c>
      <c r="M4766" s="415">
        <v>0</v>
      </c>
      <c r="N4766" s="415">
        <v>0</v>
      </c>
      <c r="O4766" s="415">
        <v>0</v>
      </c>
      <c r="P4766" s="415">
        <v>1200</v>
      </c>
      <c r="Q4766" s="481">
        <f t="shared" si="120"/>
        <v>0</v>
      </c>
    </row>
    <row r="4767" spans="1:17" x14ac:dyDescent="0.3">
      <c r="A4767" s="431" t="str">
        <f>IFERROR(VLOOKUP(RIGHT(E4767,3)+0,[1]SchLocTable!$A$2:$B$47,2,FALSE)," ")</f>
        <v>Central HS</v>
      </c>
      <c r="B4767" s="431" t="str">
        <f>VLOOKUP(VALUE(D4767),$D$3:F$106,3,FALSE)</f>
        <v>Mathematics</v>
      </c>
      <c r="C4767" t="s">
        <v>314</v>
      </c>
      <c r="D4767" t="s">
        <v>1341</v>
      </c>
      <c r="E4767" t="s">
        <v>690</v>
      </c>
      <c r="F4767" t="s">
        <v>329</v>
      </c>
      <c r="G4767" t="s">
        <v>319</v>
      </c>
      <c r="H4767" s="502">
        <v>51154</v>
      </c>
      <c r="I4767" s="415"/>
      <c r="J4767" s="415"/>
      <c r="K4767" s="415"/>
      <c r="L4767" s="415">
        <v>0</v>
      </c>
      <c r="M4767" s="415">
        <v>0</v>
      </c>
      <c r="N4767" s="415">
        <v>11375</v>
      </c>
      <c r="O4767" s="415">
        <v>0</v>
      </c>
      <c r="P4767" s="415">
        <v>0</v>
      </c>
      <c r="Q4767" s="481">
        <f t="shared" si="120"/>
        <v>0</v>
      </c>
    </row>
    <row r="4768" spans="1:17" x14ac:dyDescent="0.3">
      <c r="A4768" s="431" t="str">
        <f>IFERROR(VLOOKUP(RIGHT(E4768,3)+0,[1]SchLocTable!$A$2:$B$47,2,FALSE)," ")</f>
        <v>Central HS</v>
      </c>
      <c r="B4768" s="431" t="str">
        <f>VLOOKUP(VALUE(D4768),$D$3:F$106,3,FALSE)</f>
        <v>Mathematics</v>
      </c>
      <c r="C4768" t="s">
        <v>314</v>
      </c>
      <c r="D4768" t="s">
        <v>1341</v>
      </c>
      <c r="E4768" t="s">
        <v>690</v>
      </c>
      <c r="F4768" t="s">
        <v>1389</v>
      </c>
      <c r="G4768" t="s">
        <v>319</v>
      </c>
      <c r="H4768" s="502" t="s">
        <v>1390</v>
      </c>
      <c r="I4768" s="415">
        <v>0</v>
      </c>
      <c r="J4768" s="415">
        <v>0</v>
      </c>
      <c r="K4768" s="415">
        <v>0</v>
      </c>
      <c r="L4768" s="415">
        <v>0</v>
      </c>
      <c r="M4768" s="415">
        <v>0</v>
      </c>
      <c r="N4768" s="415">
        <v>0</v>
      </c>
      <c r="O4768" s="415">
        <v>0</v>
      </c>
      <c r="P4768" s="415">
        <v>308</v>
      </c>
      <c r="Q4768" s="481">
        <f t="shared" si="120"/>
        <v>0</v>
      </c>
    </row>
    <row r="4769" spans="1:17" x14ac:dyDescent="0.3">
      <c r="A4769" s="431" t="str">
        <f>IFERROR(VLOOKUP(RIGHT(E4769,3)+0,[1]SchLocTable!$A$2:$B$47,2,FALSE)," ")</f>
        <v>Barnum</v>
      </c>
      <c r="B4769" s="431" t="str">
        <f>VLOOKUP(VALUE(D4769),$D$3:F$106,3,FALSE)</f>
        <v>Science</v>
      </c>
      <c r="C4769" t="s">
        <v>314</v>
      </c>
      <c r="D4769" t="s">
        <v>1342</v>
      </c>
      <c r="E4769" t="s">
        <v>692</v>
      </c>
      <c r="F4769" t="s">
        <v>321</v>
      </c>
      <c r="G4769" t="s">
        <v>319</v>
      </c>
      <c r="H4769" s="502" t="s">
        <v>1248</v>
      </c>
      <c r="I4769" s="415">
        <v>0</v>
      </c>
      <c r="J4769" s="415">
        <v>0</v>
      </c>
      <c r="K4769" s="415">
        <v>0</v>
      </c>
      <c r="L4769" s="415">
        <v>0</v>
      </c>
      <c r="M4769" s="415">
        <v>0</v>
      </c>
      <c r="N4769" s="415">
        <v>0</v>
      </c>
      <c r="O4769" s="415">
        <v>9817.68</v>
      </c>
      <c r="P4769" s="415">
        <v>9245.67</v>
      </c>
      <c r="Q4769" s="481">
        <f t="shared" si="120"/>
        <v>0</v>
      </c>
    </row>
    <row r="4770" spans="1:17" x14ac:dyDescent="0.3">
      <c r="A4770" s="431" t="str">
        <f>IFERROR(VLOOKUP(RIGHT(E4770,3)+0,[1]SchLocTable!$A$2:$B$47,2,FALSE)," ")</f>
        <v>Black Rock</v>
      </c>
      <c r="B4770" s="431" t="str">
        <f>VLOOKUP(VALUE(D4770),$D$3:F$106,3,FALSE)</f>
        <v>Science</v>
      </c>
      <c r="C4770" t="s">
        <v>314</v>
      </c>
      <c r="D4770" t="s">
        <v>1342</v>
      </c>
      <c r="E4770" t="s">
        <v>693</v>
      </c>
      <c r="F4770" t="s">
        <v>324</v>
      </c>
      <c r="G4770" t="s">
        <v>319</v>
      </c>
      <c r="H4770" s="502" t="s">
        <v>1246</v>
      </c>
      <c r="I4770" s="415">
        <v>0</v>
      </c>
      <c r="J4770" s="415">
        <v>0</v>
      </c>
      <c r="K4770" s="415">
        <v>0</v>
      </c>
      <c r="L4770" s="415">
        <v>0</v>
      </c>
      <c r="M4770" s="415">
        <v>0</v>
      </c>
      <c r="N4770" s="415">
        <v>0</v>
      </c>
      <c r="O4770" s="415">
        <v>0</v>
      </c>
      <c r="P4770" s="415">
        <v>291.27999999999997</v>
      </c>
      <c r="Q4770" s="481">
        <f t="shared" si="120"/>
        <v>0</v>
      </c>
    </row>
    <row r="4771" spans="1:17" x14ac:dyDescent="0.3">
      <c r="A4771" s="431" t="str">
        <f>IFERROR(VLOOKUP(RIGHT(E4771,3)+0,[1]SchLocTable!$A$2:$B$47,2,FALSE)," ")</f>
        <v>Marin</v>
      </c>
      <c r="B4771" s="431" t="str">
        <f>VLOOKUP(VALUE(D4771),$D$3:F$106,3,FALSE)</f>
        <v>Science</v>
      </c>
      <c r="C4771" t="s">
        <v>314</v>
      </c>
      <c r="D4771" t="s">
        <v>1342</v>
      </c>
      <c r="E4771" t="s">
        <v>696</v>
      </c>
      <c r="F4771" t="s">
        <v>318</v>
      </c>
      <c r="G4771" t="s">
        <v>319</v>
      </c>
      <c r="H4771" s="502">
        <v>51140</v>
      </c>
      <c r="I4771" s="415"/>
      <c r="J4771" s="415"/>
      <c r="K4771" s="415"/>
      <c r="L4771" s="415">
        <v>0</v>
      </c>
      <c r="M4771" s="415">
        <v>0</v>
      </c>
      <c r="N4771" s="415">
        <v>900</v>
      </c>
      <c r="O4771" s="415">
        <v>0</v>
      </c>
      <c r="P4771" s="415">
        <v>0</v>
      </c>
      <c r="Q4771" s="481">
        <f t="shared" si="120"/>
        <v>0</v>
      </c>
    </row>
    <row r="4772" spans="1:17" x14ac:dyDescent="0.3">
      <c r="A4772" s="431" t="str">
        <f>IFERROR(VLOOKUP(RIGHT(E4772,3)+0,[1]SchLocTable!$A$2:$B$47,2,FALSE)," ")</f>
        <v>Marin</v>
      </c>
      <c r="B4772" s="431" t="str">
        <f>VLOOKUP(VALUE(D4772),$D$3:F$106,3,FALSE)</f>
        <v>Science</v>
      </c>
      <c r="C4772" t="s">
        <v>314</v>
      </c>
      <c r="D4772" t="s">
        <v>1342</v>
      </c>
      <c r="E4772" t="s">
        <v>696</v>
      </c>
      <c r="F4772" t="s">
        <v>324</v>
      </c>
      <c r="G4772" t="s">
        <v>319</v>
      </c>
      <c r="H4772" s="502" t="s">
        <v>1246</v>
      </c>
      <c r="I4772" s="415">
        <v>0</v>
      </c>
      <c r="J4772" s="415">
        <v>0</v>
      </c>
      <c r="K4772" s="415">
        <v>0</v>
      </c>
      <c r="L4772" s="415">
        <v>0</v>
      </c>
      <c r="M4772" s="415">
        <v>0</v>
      </c>
      <c r="N4772" s="415">
        <v>0</v>
      </c>
      <c r="O4772" s="415">
        <v>346.61</v>
      </c>
      <c r="P4772" s="415">
        <v>814.68</v>
      </c>
      <c r="Q4772" s="481">
        <f t="shared" si="120"/>
        <v>0</v>
      </c>
    </row>
    <row r="4773" spans="1:17" x14ac:dyDescent="0.3">
      <c r="A4773" s="431" t="str">
        <f>IFERROR(VLOOKUP(RIGHT(E4773,3)+0,[1]SchLocTable!$A$2:$B$47,2,FALSE)," ")</f>
        <v>Batalla</v>
      </c>
      <c r="B4773" s="431" t="str">
        <f>VLOOKUP(VALUE(D4773),$D$3:F$106,3,FALSE)</f>
        <v>Science</v>
      </c>
      <c r="C4773" t="s">
        <v>314</v>
      </c>
      <c r="D4773" t="s">
        <v>1342</v>
      </c>
      <c r="E4773" t="s">
        <v>698</v>
      </c>
      <c r="F4773" t="s">
        <v>318</v>
      </c>
      <c r="G4773" t="s">
        <v>319</v>
      </c>
      <c r="H4773" s="502">
        <v>51140</v>
      </c>
      <c r="I4773" s="415"/>
      <c r="J4773" s="415"/>
      <c r="K4773" s="415"/>
      <c r="L4773" s="415">
        <v>0</v>
      </c>
      <c r="M4773" s="415">
        <v>0</v>
      </c>
      <c r="N4773" s="415">
        <v>1100</v>
      </c>
      <c r="O4773" s="415">
        <v>1100</v>
      </c>
      <c r="P4773" s="415">
        <v>1100</v>
      </c>
      <c r="Q4773" s="481">
        <f t="shared" si="120"/>
        <v>0</v>
      </c>
    </row>
    <row r="4774" spans="1:17" x14ac:dyDescent="0.3">
      <c r="A4774" s="431" t="str">
        <f>IFERROR(VLOOKUP(RIGHT(E4774,3)+0,[1]SchLocTable!$A$2:$B$47,2,FALSE)," ")</f>
        <v>Park City Magnet</v>
      </c>
      <c r="B4774" s="431" t="str">
        <f>VLOOKUP(VALUE(D4774),$D$3:F$106,3,FALSE)</f>
        <v>Science</v>
      </c>
      <c r="C4774" t="s">
        <v>314</v>
      </c>
      <c r="D4774" t="s">
        <v>1342</v>
      </c>
      <c r="E4774" t="s">
        <v>701</v>
      </c>
      <c r="F4774" t="s">
        <v>321</v>
      </c>
      <c r="G4774" t="s">
        <v>319</v>
      </c>
      <c r="H4774" s="502">
        <v>52917</v>
      </c>
      <c r="I4774" s="415"/>
      <c r="J4774" s="415"/>
      <c r="K4774" s="415"/>
      <c r="L4774" s="415">
        <v>0</v>
      </c>
      <c r="M4774" s="415">
        <v>0</v>
      </c>
      <c r="N4774" s="415">
        <v>10232.879999999999</v>
      </c>
      <c r="O4774" s="415">
        <v>9817.68</v>
      </c>
      <c r="P4774" s="415">
        <v>9245.67</v>
      </c>
      <c r="Q4774" s="481">
        <f t="shared" si="120"/>
        <v>0</v>
      </c>
    </row>
    <row r="4775" spans="1:17" x14ac:dyDescent="0.3">
      <c r="A4775" s="431" t="str">
        <f>IFERROR(VLOOKUP(RIGHT(E4775,3)+0,[1]SchLocTable!$A$2:$B$47,2,FALSE)," ")</f>
        <v>Tisdale</v>
      </c>
      <c r="B4775" s="431" t="str">
        <f>VLOOKUP(VALUE(D4775),$D$3:F$106,3,FALSE)</f>
        <v>Science</v>
      </c>
      <c r="C4775" t="s">
        <v>314</v>
      </c>
      <c r="D4775" t="s">
        <v>1342</v>
      </c>
      <c r="E4775" t="s">
        <v>704</v>
      </c>
      <c r="F4775" t="s">
        <v>318</v>
      </c>
      <c r="G4775" t="s">
        <v>319</v>
      </c>
      <c r="H4775" s="502" t="s">
        <v>1239</v>
      </c>
      <c r="I4775" s="415">
        <v>0</v>
      </c>
      <c r="J4775" s="415">
        <v>0</v>
      </c>
      <c r="K4775" s="415">
        <v>0</v>
      </c>
      <c r="L4775" s="415">
        <v>0</v>
      </c>
      <c r="M4775" s="415">
        <v>0</v>
      </c>
      <c r="N4775" s="415">
        <v>0</v>
      </c>
      <c r="O4775" s="415">
        <v>900</v>
      </c>
      <c r="P4775" s="415">
        <v>0</v>
      </c>
      <c r="Q4775" s="481">
        <f t="shared" si="120"/>
        <v>0</v>
      </c>
    </row>
    <row r="4776" spans="1:17" x14ac:dyDescent="0.3">
      <c r="A4776" s="431" t="str">
        <f>IFERROR(VLOOKUP(RIGHT(E4776,3)+0,[1]SchLocTable!$A$2:$B$47,2,FALSE)," ")</f>
        <v>Cross</v>
      </c>
      <c r="B4776" s="431" t="str">
        <f>VLOOKUP(VALUE(D4776),$D$3:F$106,3,FALSE)</f>
        <v>Science</v>
      </c>
      <c r="C4776" t="s">
        <v>314</v>
      </c>
      <c r="D4776" t="s">
        <v>1342</v>
      </c>
      <c r="E4776" t="s">
        <v>712</v>
      </c>
      <c r="F4776" t="s">
        <v>321</v>
      </c>
      <c r="G4776" t="s">
        <v>319</v>
      </c>
      <c r="H4776" s="502">
        <v>52917</v>
      </c>
      <c r="I4776" s="415"/>
      <c r="J4776" s="415"/>
      <c r="K4776" s="415"/>
      <c r="L4776" s="415">
        <v>0</v>
      </c>
      <c r="M4776" s="415">
        <v>0</v>
      </c>
      <c r="N4776" s="415">
        <v>14606.88</v>
      </c>
      <c r="O4776" s="415">
        <v>9817.68</v>
      </c>
      <c r="P4776" s="415">
        <v>9245.67</v>
      </c>
      <c r="Q4776" s="481">
        <f t="shared" si="120"/>
        <v>0</v>
      </c>
    </row>
    <row r="4777" spans="1:17" x14ac:dyDescent="0.3">
      <c r="A4777" s="431" t="str">
        <f>IFERROR(VLOOKUP(RIGHT(E4777,3)+0,[1]SchLocTable!$A$2:$B$47,2,FALSE)," ")</f>
        <v>Curiale</v>
      </c>
      <c r="B4777" s="431" t="str">
        <f>VLOOKUP(VALUE(D4777),$D$3:F$106,3,FALSE)</f>
        <v>Science</v>
      </c>
      <c r="C4777" t="s">
        <v>314</v>
      </c>
      <c r="D4777" t="s">
        <v>1342</v>
      </c>
      <c r="E4777" t="s">
        <v>715</v>
      </c>
      <c r="F4777" t="s">
        <v>316</v>
      </c>
      <c r="G4777" t="s">
        <v>319</v>
      </c>
      <c r="H4777" s="502" t="s">
        <v>1232</v>
      </c>
      <c r="I4777" s="415">
        <v>0</v>
      </c>
      <c r="J4777" s="415">
        <v>0</v>
      </c>
      <c r="K4777" s="415">
        <v>0</v>
      </c>
      <c r="L4777" s="415">
        <v>0</v>
      </c>
      <c r="M4777" s="415">
        <v>0</v>
      </c>
      <c r="N4777" s="415">
        <v>0</v>
      </c>
      <c r="O4777" s="415">
        <v>43627.48</v>
      </c>
      <c r="P4777" s="415">
        <v>180475.1</v>
      </c>
      <c r="Q4777" s="481">
        <f t="shared" si="120"/>
        <v>0</v>
      </c>
    </row>
    <row r="4778" spans="1:17" x14ac:dyDescent="0.3">
      <c r="A4778" s="431" t="str">
        <f>IFERROR(VLOOKUP(RIGHT(E4778,3)+0,[1]SchLocTable!$A$2:$B$47,2,FALSE)," ")</f>
        <v>Curiale</v>
      </c>
      <c r="B4778" s="431" t="str">
        <f>VLOOKUP(VALUE(D4778),$D$3:F$106,3,FALSE)</f>
        <v>Science</v>
      </c>
      <c r="C4778" t="s">
        <v>314</v>
      </c>
      <c r="D4778" t="s">
        <v>1342</v>
      </c>
      <c r="E4778" t="s">
        <v>715</v>
      </c>
      <c r="F4778" t="s">
        <v>321</v>
      </c>
      <c r="G4778" t="s">
        <v>319</v>
      </c>
      <c r="H4778" s="502" t="s">
        <v>1248</v>
      </c>
      <c r="I4778" s="415">
        <v>0</v>
      </c>
      <c r="J4778" s="415">
        <v>0</v>
      </c>
      <c r="K4778" s="415">
        <v>0</v>
      </c>
      <c r="L4778" s="415">
        <v>0</v>
      </c>
      <c r="M4778" s="415">
        <v>0</v>
      </c>
      <c r="N4778" s="415">
        <v>0</v>
      </c>
      <c r="O4778" s="415">
        <v>17888.3</v>
      </c>
      <c r="P4778" s="415">
        <v>36630.720000000001</v>
      </c>
      <c r="Q4778" s="481">
        <f t="shared" si="120"/>
        <v>0</v>
      </c>
    </row>
    <row r="4779" spans="1:17" x14ac:dyDescent="0.3">
      <c r="A4779" s="431" t="str">
        <f>IFERROR(VLOOKUP(RIGHT(E4779,3)+0,[1]SchLocTable!$A$2:$B$47,2,FALSE)," ")</f>
        <v>High Horizons Magnet</v>
      </c>
      <c r="B4779" s="431" t="str">
        <f>VLOOKUP(VALUE(D4779),$D$3:F$106,3,FALSE)</f>
        <v>Science</v>
      </c>
      <c r="C4779" t="s">
        <v>314</v>
      </c>
      <c r="D4779" t="s">
        <v>1342</v>
      </c>
      <c r="E4779" t="s">
        <v>716</v>
      </c>
      <c r="F4779" t="s">
        <v>318</v>
      </c>
      <c r="G4779" t="s">
        <v>319</v>
      </c>
      <c r="H4779" s="502">
        <v>51140</v>
      </c>
      <c r="I4779" s="415"/>
      <c r="J4779" s="415"/>
      <c r="K4779" s="415"/>
      <c r="L4779" s="415">
        <v>0</v>
      </c>
      <c r="M4779" s="415">
        <v>0</v>
      </c>
      <c r="N4779" s="415">
        <v>1100</v>
      </c>
      <c r="O4779" s="415">
        <v>1100</v>
      </c>
      <c r="P4779" s="415">
        <v>1100</v>
      </c>
      <c r="Q4779" s="481">
        <f t="shared" si="120"/>
        <v>0</v>
      </c>
    </row>
    <row r="4780" spans="1:17" x14ac:dyDescent="0.3">
      <c r="A4780" s="431" t="str">
        <f>IFERROR(VLOOKUP(RIGHT(E4780,3)+0,[1]SchLocTable!$A$2:$B$47,2,FALSE)," ")</f>
        <v>Bassick HS</v>
      </c>
      <c r="B4780" s="431" t="str">
        <f>VLOOKUP(VALUE(D4780),$D$3:F$106,3,FALSE)</f>
        <v>Science</v>
      </c>
      <c r="C4780" t="s">
        <v>314</v>
      </c>
      <c r="D4780" t="s">
        <v>1342</v>
      </c>
      <c r="E4780" t="s">
        <v>718</v>
      </c>
      <c r="F4780" t="s">
        <v>318</v>
      </c>
      <c r="G4780" t="s">
        <v>319</v>
      </c>
      <c r="H4780" s="502" t="s">
        <v>1239</v>
      </c>
      <c r="I4780" s="415">
        <v>0</v>
      </c>
      <c r="J4780" s="415">
        <v>0</v>
      </c>
      <c r="K4780" s="415">
        <v>0</v>
      </c>
      <c r="L4780" s="415">
        <v>0</v>
      </c>
      <c r="M4780" s="415">
        <v>0</v>
      </c>
      <c r="N4780" s="415">
        <v>0</v>
      </c>
      <c r="O4780" s="415">
        <v>1800</v>
      </c>
      <c r="P4780" s="415">
        <v>2700</v>
      </c>
      <c r="Q4780" s="481">
        <f t="shared" si="120"/>
        <v>0</v>
      </c>
    </row>
    <row r="4781" spans="1:17" x14ac:dyDescent="0.3">
      <c r="A4781" s="431" t="str">
        <f>IFERROR(VLOOKUP(RIGHT(E4781,3)+0,[1]SchLocTable!$A$2:$B$47,2,FALSE)," ")</f>
        <v>Bassick HS</v>
      </c>
      <c r="B4781" s="431" t="str">
        <f>VLOOKUP(VALUE(D4781),$D$3:F$106,3,FALSE)</f>
        <v>Science</v>
      </c>
      <c r="C4781" t="s">
        <v>314</v>
      </c>
      <c r="D4781" t="s">
        <v>1342</v>
      </c>
      <c r="E4781" t="s">
        <v>718</v>
      </c>
      <c r="F4781" t="s">
        <v>324</v>
      </c>
      <c r="G4781" t="s">
        <v>319</v>
      </c>
      <c r="H4781" s="502">
        <v>52385</v>
      </c>
      <c r="I4781" s="415"/>
      <c r="J4781" s="415"/>
      <c r="K4781" s="415"/>
      <c r="L4781" s="415">
        <v>0</v>
      </c>
      <c r="M4781" s="415">
        <v>0</v>
      </c>
      <c r="N4781" s="415">
        <v>124</v>
      </c>
      <c r="O4781" s="415">
        <v>2322.34</v>
      </c>
      <c r="P4781" s="415">
        <v>312.48</v>
      </c>
      <c r="Q4781" s="481">
        <f t="shared" si="120"/>
        <v>0</v>
      </c>
    </row>
    <row r="4782" spans="1:17" x14ac:dyDescent="0.3">
      <c r="A4782" s="431" t="str">
        <f>IFERROR(VLOOKUP(RIGHT(E4782,3)+0,[1]SchLocTable!$A$2:$B$47,2,FALSE)," ")</f>
        <v>Bassick HS</v>
      </c>
      <c r="B4782" s="431" t="str">
        <f>VLOOKUP(VALUE(D4782),$D$3:F$106,3,FALSE)</f>
        <v>Science</v>
      </c>
      <c r="C4782" t="s">
        <v>314</v>
      </c>
      <c r="D4782" t="s">
        <v>1342</v>
      </c>
      <c r="E4782" t="s">
        <v>718</v>
      </c>
      <c r="F4782" t="s">
        <v>329</v>
      </c>
      <c r="G4782" t="s">
        <v>319</v>
      </c>
      <c r="H4782" s="502" t="s">
        <v>1240</v>
      </c>
      <c r="I4782" s="415">
        <v>0</v>
      </c>
      <c r="J4782" s="415">
        <v>0</v>
      </c>
      <c r="K4782" s="415">
        <v>0</v>
      </c>
      <c r="L4782" s="415">
        <v>0</v>
      </c>
      <c r="M4782" s="415">
        <v>0</v>
      </c>
      <c r="N4782" s="415">
        <v>0</v>
      </c>
      <c r="O4782" s="415">
        <v>10400</v>
      </c>
      <c r="P4782" s="415">
        <v>11375</v>
      </c>
      <c r="Q4782" s="481">
        <f t="shared" si="120"/>
        <v>0</v>
      </c>
    </row>
    <row r="4783" spans="1:17" x14ac:dyDescent="0.3">
      <c r="A4783" s="431" t="str">
        <f>IFERROR(VLOOKUP(RIGHT(E4783,3)+0,[1]SchLocTable!$A$2:$B$47,2,FALSE)," ")</f>
        <v>Central HS</v>
      </c>
      <c r="B4783" s="431" t="str">
        <f>VLOOKUP(VALUE(D4783),$D$3:F$106,3,FALSE)</f>
        <v>Science</v>
      </c>
      <c r="C4783" t="s">
        <v>314</v>
      </c>
      <c r="D4783" t="s">
        <v>1342</v>
      </c>
      <c r="E4783" t="s">
        <v>719</v>
      </c>
      <c r="F4783" t="s">
        <v>1389</v>
      </c>
      <c r="G4783" t="s">
        <v>319</v>
      </c>
      <c r="H4783" s="502" t="s">
        <v>1390</v>
      </c>
      <c r="I4783" s="415">
        <v>0</v>
      </c>
      <c r="J4783" s="415">
        <v>0</v>
      </c>
      <c r="K4783" s="415">
        <v>0</v>
      </c>
      <c r="L4783" s="415">
        <v>0</v>
      </c>
      <c r="M4783" s="415">
        <v>0</v>
      </c>
      <c r="N4783" s="415">
        <v>0</v>
      </c>
      <c r="O4783" s="415">
        <v>0</v>
      </c>
      <c r="P4783" s="415">
        <v>308</v>
      </c>
      <c r="Q4783" s="481">
        <f t="shared" si="120"/>
        <v>0</v>
      </c>
    </row>
    <row r="4784" spans="1:17" x14ac:dyDescent="0.3">
      <c r="A4784" s="431" t="str">
        <f>IFERROR(VLOOKUP(RIGHT(E4784,3)+0,[1]SchLocTable!$A$2:$B$47,2,FALSE)," ")</f>
        <v>Batalla</v>
      </c>
      <c r="B4784" s="431" t="str">
        <f>VLOOKUP(VALUE(D4784),$D$3:F$106,3,FALSE)</f>
        <v>Social Studies</v>
      </c>
      <c r="C4784" t="s">
        <v>314</v>
      </c>
      <c r="D4784" t="s">
        <v>1343</v>
      </c>
      <c r="E4784" t="s">
        <v>727</v>
      </c>
      <c r="F4784" t="s">
        <v>334</v>
      </c>
      <c r="G4784" t="s">
        <v>319</v>
      </c>
      <c r="H4784" s="502" t="s">
        <v>1387</v>
      </c>
      <c r="I4784" s="415">
        <v>0</v>
      </c>
      <c r="J4784" s="415">
        <v>0</v>
      </c>
      <c r="K4784" s="415">
        <v>0</v>
      </c>
      <c r="L4784" s="415">
        <v>0</v>
      </c>
      <c r="M4784" s="415">
        <v>0</v>
      </c>
      <c r="N4784" s="415">
        <v>0</v>
      </c>
      <c r="O4784" s="415">
        <v>406.23</v>
      </c>
      <c r="P4784" s="415">
        <v>0</v>
      </c>
      <c r="Q4784" s="481">
        <f t="shared" si="120"/>
        <v>0</v>
      </c>
    </row>
    <row r="4785" spans="1:17" x14ac:dyDescent="0.3">
      <c r="A4785" s="431" t="str">
        <f>IFERROR(VLOOKUP(RIGHT(E4785,3)+0,[1]SchLocTable!$A$2:$B$47,2,FALSE)," ")</f>
        <v>BMA HS</v>
      </c>
      <c r="B4785" s="431" t="str">
        <f>VLOOKUP(VALUE(D4785),$D$3:F$106,3,FALSE)</f>
        <v>Social Studies</v>
      </c>
      <c r="C4785" t="s">
        <v>314</v>
      </c>
      <c r="D4785" t="s">
        <v>1343</v>
      </c>
      <c r="E4785" t="s">
        <v>729</v>
      </c>
      <c r="F4785" t="s">
        <v>329</v>
      </c>
      <c r="G4785" t="s">
        <v>319</v>
      </c>
      <c r="H4785" s="502" t="s">
        <v>1240</v>
      </c>
      <c r="I4785" s="415">
        <v>0</v>
      </c>
      <c r="J4785" s="415">
        <v>0</v>
      </c>
      <c r="K4785" s="415">
        <v>0</v>
      </c>
      <c r="L4785" s="415">
        <v>0</v>
      </c>
      <c r="M4785" s="415">
        <v>0</v>
      </c>
      <c r="N4785" s="415">
        <v>0</v>
      </c>
      <c r="O4785" s="415">
        <v>0</v>
      </c>
      <c r="P4785" s="415">
        <v>11375</v>
      </c>
      <c r="Q4785" s="481">
        <f t="shared" si="120"/>
        <v>0</v>
      </c>
    </row>
    <row r="4786" spans="1:17" x14ac:dyDescent="0.3">
      <c r="A4786" s="431" t="str">
        <f>IFERROR(VLOOKUP(RIGHT(E4786,3)+0,[1]SchLocTable!$A$2:$B$47,2,FALSE)," ")</f>
        <v>Zoo Science HS</v>
      </c>
      <c r="B4786" s="431" t="str">
        <f>VLOOKUP(VALUE(D4786),$D$3:F$106,3,FALSE)</f>
        <v>Social Studies</v>
      </c>
      <c r="C4786" t="s">
        <v>314</v>
      </c>
      <c r="D4786" t="s">
        <v>1343</v>
      </c>
      <c r="E4786" t="s">
        <v>731</v>
      </c>
      <c r="F4786" t="s">
        <v>329</v>
      </c>
      <c r="G4786" t="s">
        <v>319</v>
      </c>
      <c r="H4786" s="502" t="s">
        <v>1240</v>
      </c>
      <c r="I4786" s="415">
        <v>0</v>
      </c>
      <c r="J4786" s="415">
        <v>0</v>
      </c>
      <c r="K4786" s="415">
        <v>0</v>
      </c>
      <c r="L4786" s="415">
        <v>0</v>
      </c>
      <c r="M4786" s="415">
        <v>0</v>
      </c>
      <c r="N4786" s="415">
        <v>0</v>
      </c>
      <c r="O4786" s="415">
        <v>0</v>
      </c>
      <c r="P4786" s="415">
        <v>11375</v>
      </c>
      <c r="Q4786" s="481">
        <f t="shared" si="120"/>
        <v>0</v>
      </c>
    </row>
    <row r="4787" spans="1:17" x14ac:dyDescent="0.3">
      <c r="A4787" s="431" t="str">
        <f>IFERROR(VLOOKUP(RIGHT(E4787,3)+0,[1]SchLocTable!$A$2:$B$47,2,FALSE)," ")</f>
        <v>Tisdale</v>
      </c>
      <c r="B4787" s="431" t="str">
        <f>VLOOKUP(VALUE(D4787),$D$3:F$106,3,FALSE)</f>
        <v>Social Studies</v>
      </c>
      <c r="C4787" t="s">
        <v>314</v>
      </c>
      <c r="D4787" t="s">
        <v>1343</v>
      </c>
      <c r="E4787" t="s">
        <v>733</v>
      </c>
      <c r="F4787" t="s">
        <v>324</v>
      </c>
      <c r="G4787" t="s">
        <v>319</v>
      </c>
      <c r="H4787" s="502">
        <v>52385</v>
      </c>
      <c r="I4787" s="415"/>
      <c r="J4787" s="415"/>
      <c r="K4787" s="415"/>
      <c r="L4787" s="415">
        <v>0</v>
      </c>
      <c r="M4787" s="415">
        <v>0</v>
      </c>
      <c r="N4787" s="415">
        <v>203.14</v>
      </c>
      <c r="O4787" s="415">
        <v>0</v>
      </c>
      <c r="P4787" s="415">
        <v>0</v>
      </c>
      <c r="Q4787" s="481">
        <f t="shared" si="120"/>
        <v>0</v>
      </c>
    </row>
    <row r="4788" spans="1:17" x14ac:dyDescent="0.3">
      <c r="A4788" s="431" t="str">
        <f>IFERROR(VLOOKUP(RIGHT(E4788,3)+0,[1]SchLocTable!$A$2:$B$47,2,FALSE)," ")</f>
        <v>Claytor</v>
      </c>
      <c r="B4788" s="431" t="str">
        <f>VLOOKUP(VALUE(D4788),$D$3:F$106,3,FALSE)</f>
        <v>Social Studies</v>
      </c>
      <c r="C4788" t="s">
        <v>314</v>
      </c>
      <c r="D4788" t="s">
        <v>1343</v>
      </c>
      <c r="E4788" t="s">
        <v>737</v>
      </c>
      <c r="F4788" t="s">
        <v>318</v>
      </c>
      <c r="G4788" t="s">
        <v>319</v>
      </c>
      <c r="H4788" s="502">
        <v>51140</v>
      </c>
      <c r="I4788" s="415"/>
      <c r="J4788" s="415"/>
      <c r="K4788" s="415"/>
      <c r="L4788" s="415">
        <v>0</v>
      </c>
      <c r="M4788" s="415">
        <v>0</v>
      </c>
      <c r="N4788" s="415">
        <v>900</v>
      </c>
      <c r="O4788" s="415">
        <v>900</v>
      </c>
      <c r="P4788" s="415">
        <v>0</v>
      </c>
      <c r="Q4788" s="481">
        <f t="shared" si="120"/>
        <v>0</v>
      </c>
    </row>
    <row r="4789" spans="1:17" x14ac:dyDescent="0.3">
      <c r="A4789" s="431" t="str">
        <f>IFERROR(VLOOKUP(RIGHT(E4789,3)+0,[1]SchLocTable!$A$2:$B$47,2,FALSE)," ")</f>
        <v>Curiale</v>
      </c>
      <c r="B4789" s="431" t="str">
        <f>VLOOKUP(VALUE(D4789),$D$3:F$106,3,FALSE)</f>
        <v>Social Studies</v>
      </c>
      <c r="C4789" t="s">
        <v>314</v>
      </c>
      <c r="D4789" t="s">
        <v>1343</v>
      </c>
      <c r="E4789" t="s">
        <v>744</v>
      </c>
      <c r="F4789" t="s">
        <v>329</v>
      </c>
      <c r="G4789" t="s">
        <v>319</v>
      </c>
      <c r="H4789" s="502" t="s">
        <v>1240</v>
      </c>
      <c r="I4789" s="415">
        <v>0</v>
      </c>
      <c r="J4789" s="415">
        <v>0</v>
      </c>
      <c r="K4789" s="415">
        <v>0</v>
      </c>
      <c r="L4789" s="415">
        <v>0</v>
      </c>
      <c r="M4789" s="415">
        <v>0</v>
      </c>
      <c r="N4789" s="415">
        <v>0</v>
      </c>
      <c r="O4789" s="415">
        <v>0</v>
      </c>
      <c r="P4789" s="415">
        <v>11375</v>
      </c>
      <c r="Q4789" s="481">
        <f t="shared" si="120"/>
        <v>0</v>
      </c>
    </row>
    <row r="4790" spans="1:17" x14ac:dyDescent="0.3">
      <c r="A4790" s="431" t="str">
        <f>IFERROR(VLOOKUP(RIGHT(E4790,3)+0,[1]SchLocTable!$A$2:$B$47,2,FALSE)," ")</f>
        <v>Black Rock</v>
      </c>
      <c r="B4790" s="431" t="str">
        <f>VLOOKUP(VALUE(D4790),$D$3:F$106,3,FALSE)</f>
        <v>Social Studies</v>
      </c>
      <c r="C4790" t="s">
        <v>314</v>
      </c>
      <c r="D4790" t="s">
        <v>1343</v>
      </c>
      <c r="E4790" t="s">
        <v>1378</v>
      </c>
      <c r="F4790" t="s">
        <v>316</v>
      </c>
      <c r="G4790" t="s">
        <v>319</v>
      </c>
      <c r="H4790" s="502" t="s">
        <v>1232</v>
      </c>
      <c r="I4790" s="415">
        <v>0</v>
      </c>
      <c r="J4790" s="415">
        <v>0</v>
      </c>
      <c r="K4790" s="415">
        <v>0</v>
      </c>
      <c r="L4790" s="415">
        <v>0</v>
      </c>
      <c r="M4790" s="415">
        <v>0</v>
      </c>
      <c r="N4790" s="415">
        <v>0</v>
      </c>
      <c r="O4790" s="415">
        <v>0</v>
      </c>
      <c r="P4790" s="415">
        <v>49740.08</v>
      </c>
      <c r="Q4790" s="481">
        <f t="shared" si="120"/>
        <v>0</v>
      </c>
    </row>
    <row r="4791" spans="1:17" x14ac:dyDescent="0.3">
      <c r="A4791" s="431" t="str">
        <f>IFERROR(VLOOKUP(RIGHT(E4791,3)+0,[1]SchLocTable!$A$2:$B$47,2,FALSE)," ")</f>
        <v>Black Rock</v>
      </c>
      <c r="B4791" s="431" t="str">
        <f>VLOOKUP(VALUE(D4791),$D$3:F$106,3,FALSE)</f>
        <v>Social Studies</v>
      </c>
      <c r="C4791" t="s">
        <v>314</v>
      </c>
      <c r="D4791" t="s">
        <v>1343</v>
      </c>
      <c r="E4791" t="s">
        <v>1378</v>
      </c>
      <c r="F4791" t="s">
        <v>321</v>
      </c>
      <c r="G4791" t="s">
        <v>319</v>
      </c>
      <c r="H4791" s="502" t="s">
        <v>1248</v>
      </c>
      <c r="I4791" s="415">
        <v>0</v>
      </c>
      <c r="J4791" s="415">
        <v>0</v>
      </c>
      <c r="K4791" s="415">
        <v>0</v>
      </c>
      <c r="L4791" s="415">
        <v>0</v>
      </c>
      <c r="M4791" s="415">
        <v>0</v>
      </c>
      <c r="N4791" s="415">
        <v>0</v>
      </c>
      <c r="O4791" s="415">
        <v>0</v>
      </c>
      <c r="P4791" s="415">
        <v>22186.29</v>
      </c>
      <c r="Q4791" s="481">
        <f t="shared" si="120"/>
        <v>0</v>
      </c>
    </row>
    <row r="4792" spans="1:17" x14ac:dyDescent="0.3">
      <c r="A4792" s="431" t="str">
        <f>IFERROR(VLOOKUP(RIGHT(E4792,3)+0,[1]SchLocTable!$A$2:$B$47,2,FALSE)," ")</f>
        <v>Black Rock</v>
      </c>
      <c r="B4792" s="431" t="str">
        <f>VLOOKUP(VALUE(D4792),$D$3:F$106,3,FALSE)</f>
        <v>Social Studies</v>
      </c>
      <c r="C4792" t="s">
        <v>314</v>
      </c>
      <c r="D4792" t="s">
        <v>1343</v>
      </c>
      <c r="E4792" t="s">
        <v>1378</v>
      </c>
      <c r="F4792" t="s">
        <v>320</v>
      </c>
      <c r="G4792" t="s">
        <v>319</v>
      </c>
      <c r="H4792" s="502" t="s">
        <v>1245</v>
      </c>
      <c r="I4792" s="415">
        <v>0</v>
      </c>
      <c r="J4792" s="415">
        <v>0</v>
      </c>
      <c r="K4792" s="415">
        <v>0</v>
      </c>
      <c r="L4792" s="415">
        <v>0</v>
      </c>
      <c r="M4792" s="415">
        <v>0</v>
      </c>
      <c r="N4792" s="415">
        <v>0</v>
      </c>
      <c r="O4792" s="415">
        <v>0</v>
      </c>
      <c r="P4792" s="415">
        <v>637.73</v>
      </c>
      <c r="Q4792" s="481">
        <f t="shared" si="120"/>
        <v>0</v>
      </c>
    </row>
    <row r="4793" spans="1:17" x14ac:dyDescent="0.3">
      <c r="A4793" s="431" t="str">
        <f>IFERROR(VLOOKUP(RIGHT(E4793,3)+0,[1]SchLocTable!$A$2:$B$47,2,FALSE)," ")</f>
        <v xml:space="preserve"> </v>
      </c>
      <c r="B4793" s="431" t="str">
        <f>VLOOKUP(VALUE(D4793),$D$3:F$106,3,FALSE)</f>
        <v>Physical Education</v>
      </c>
      <c r="C4793" t="s">
        <v>314</v>
      </c>
      <c r="D4793" t="s">
        <v>1344</v>
      </c>
      <c r="E4793" t="s">
        <v>749</v>
      </c>
      <c r="F4793" t="s">
        <v>560</v>
      </c>
      <c r="G4793" t="s">
        <v>319</v>
      </c>
      <c r="H4793" s="502">
        <v>51404</v>
      </c>
      <c r="I4793" s="415"/>
      <c r="J4793" s="415"/>
      <c r="K4793" s="415"/>
      <c r="L4793" s="415">
        <v>0</v>
      </c>
      <c r="M4793" s="415">
        <v>0</v>
      </c>
      <c r="N4793" s="415">
        <v>250</v>
      </c>
      <c r="O4793" s="415">
        <v>0</v>
      </c>
      <c r="P4793" s="415">
        <v>0</v>
      </c>
      <c r="Q4793" s="481">
        <f t="shared" si="120"/>
        <v>0</v>
      </c>
    </row>
    <row r="4794" spans="1:17" x14ac:dyDescent="0.3">
      <c r="A4794" s="431" t="str">
        <f>IFERROR(VLOOKUP(RIGHT(E4794,3)+0,[1]SchLocTable!$A$2:$B$47,2,FALSE)," ")</f>
        <v>Columbus</v>
      </c>
      <c r="B4794" s="431" t="str">
        <f>VLOOKUP(VALUE(D4794),$D$3:F$106,3,FALSE)</f>
        <v>Physical Education</v>
      </c>
      <c r="C4794" t="s">
        <v>314</v>
      </c>
      <c r="D4794" t="s">
        <v>1344</v>
      </c>
      <c r="E4794" t="s">
        <v>755</v>
      </c>
      <c r="F4794" t="s">
        <v>318</v>
      </c>
      <c r="G4794" t="s">
        <v>319</v>
      </c>
      <c r="H4794" s="502">
        <v>51140</v>
      </c>
      <c r="I4794" s="415"/>
      <c r="J4794" s="415"/>
      <c r="K4794" s="415"/>
      <c r="L4794" s="415">
        <v>0</v>
      </c>
      <c r="M4794" s="415">
        <v>0</v>
      </c>
      <c r="N4794" s="415">
        <v>1300</v>
      </c>
      <c r="O4794" s="415">
        <v>1300</v>
      </c>
      <c r="P4794" s="415">
        <v>1300</v>
      </c>
      <c r="Q4794" s="481">
        <f t="shared" si="120"/>
        <v>0</v>
      </c>
    </row>
    <row r="4795" spans="1:17" x14ac:dyDescent="0.3">
      <c r="A4795" s="431" t="str">
        <f>IFERROR(VLOOKUP(RIGHT(E4795,3)+0,[1]SchLocTable!$A$2:$B$47,2,FALSE)," ")</f>
        <v>Columbus</v>
      </c>
      <c r="B4795" s="431" t="str">
        <f>VLOOKUP(VALUE(D4795),$D$3:F$106,3,FALSE)</f>
        <v>Physical Education</v>
      </c>
      <c r="C4795" t="s">
        <v>314</v>
      </c>
      <c r="D4795" t="s">
        <v>1344</v>
      </c>
      <c r="E4795" t="s">
        <v>755</v>
      </c>
      <c r="F4795" t="s">
        <v>329</v>
      </c>
      <c r="G4795" t="s">
        <v>319</v>
      </c>
      <c r="H4795" s="502">
        <v>51154</v>
      </c>
      <c r="I4795" s="415"/>
      <c r="J4795" s="415"/>
      <c r="K4795" s="415"/>
      <c r="L4795" s="415">
        <v>0</v>
      </c>
      <c r="M4795" s="415">
        <v>0</v>
      </c>
      <c r="N4795" s="415">
        <v>11375</v>
      </c>
      <c r="O4795" s="415">
        <v>0</v>
      </c>
      <c r="P4795" s="415">
        <v>0</v>
      </c>
      <c r="Q4795" s="481">
        <f t="shared" si="120"/>
        <v>0</v>
      </c>
    </row>
    <row r="4796" spans="1:17" x14ac:dyDescent="0.3">
      <c r="A4796" s="431" t="str">
        <f>IFERROR(VLOOKUP(RIGHT(E4796,3)+0,[1]SchLocTable!$A$2:$B$47,2,FALSE)," ")</f>
        <v>Edison</v>
      </c>
      <c r="B4796" s="431" t="str">
        <f>VLOOKUP(VALUE(D4796),$D$3:F$106,3,FALSE)</f>
        <v>Physical Education</v>
      </c>
      <c r="C4796" t="s">
        <v>314</v>
      </c>
      <c r="D4796" t="s">
        <v>1344</v>
      </c>
      <c r="E4796" t="s">
        <v>756</v>
      </c>
      <c r="F4796" t="s">
        <v>560</v>
      </c>
      <c r="G4796" t="s">
        <v>319</v>
      </c>
      <c r="H4796" s="502" t="s">
        <v>1244</v>
      </c>
      <c r="I4796" s="415">
        <v>0</v>
      </c>
      <c r="J4796" s="415">
        <v>0</v>
      </c>
      <c r="K4796" s="415">
        <v>0</v>
      </c>
      <c r="L4796" s="415">
        <v>0</v>
      </c>
      <c r="M4796" s="415">
        <v>0</v>
      </c>
      <c r="N4796" s="415">
        <v>0</v>
      </c>
      <c r="O4796" s="415">
        <v>250</v>
      </c>
      <c r="P4796" s="415">
        <v>250</v>
      </c>
      <c r="Q4796" s="481">
        <f t="shared" si="120"/>
        <v>0</v>
      </c>
    </row>
    <row r="4797" spans="1:17" x14ac:dyDescent="0.3">
      <c r="A4797" s="431" t="str">
        <f>IFERROR(VLOOKUP(RIGHT(E4797,3)+0,[1]SchLocTable!$A$2:$B$47,2,FALSE)," ")</f>
        <v>Central HS</v>
      </c>
      <c r="B4797" s="431" t="str">
        <f>VLOOKUP(VALUE(D4797),$D$3:F$106,3,FALSE)</f>
        <v>Physical Education</v>
      </c>
      <c r="C4797" t="s">
        <v>314</v>
      </c>
      <c r="D4797" t="s">
        <v>1344</v>
      </c>
      <c r="E4797" t="s">
        <v>781</v>
      </c>
      <c r="F4797" t="s">
        <v>560</v>
      </c>
      <c r="G4797" t="s">
        <v>319</v>
      </c>
      <c r="H4797" s="502" t="s">
        <v>1244</v>
      </c>
      <c r="I4797" s="415">
        <v>0</v>
      </c>
      <c r="J4797" s="415">
        <v>0</v>
      </c>
      <c r="K4797" s="415">
        <v>0</v>
      </c>
      <c r="L4797" s="415">
        <v>0</v>
      </c>
      <c r="M4797" s="415">
        <v>0</v>
      </c>
      <c r="N4797" s="415">
        <v>0</v>
      </c>
      <c r="O4797" s="415">
        <v>275</v>
      </c>
      <c r="P4797" s="415">
        <v>150</v>
      </c>
      <c r="Q4797" s="481">
        <f t="shared" si="120"/>
        <v>0</v>
      </c>
    </row>
    <row r="4798" spans="1:17" x14ac:dyDescent="0.3">
      <c r="A4798" s="431" t="str">
        <f>IFERROR(VLOOKUP(RIGHT(E4798,3)+0,[1]SchLocTable!$A$2:$B$47,2,FALSE)," ")</f>
        <v>Harding HS</v>
      </c>
      <c r="B4798" s="431" t="str">
        <f>VLOOKUP(VALUE(D4798),$D$3:F$106,3,FALSE)</f>
        <v>Health</v>
      </c>
      <c r="C4798" t="s">
        <v>314</v>
      </c>
      <c r="D4798" t="s">
        <v>1396</v>
      </c>
      <c r="E4798" t="s">
        <v>787</v>
      </c>
      <c r="F4798" t="s">
        <v>318</v>
      </c>
      <c r="G4798" t="s">
        <v>319</v>
      </c>
      <c r="H4798" s="502" t="s">
        <v>1239</v>
      </c>
      <c r="I4798" s="415">
        <v>0</v>
      </c>
      <c r="J4798" s="415">
        <v>0</v>
      </c>
      <c r="K4798" s="415">
        <v>0</v>
      </c>
      <c r="L4798" s="415">
        <v>0</v>
      </c>
      <c r="M4798" s="415">
        <v>0</v>
      </c>
      <c r="N4798" s="415">
        <v>0</v>
      </c>
      <c r="O4798" s="415">
        <v>2400</v>
      </c>
      <c r="P4798" s="415">
        <v>2400</v>
      </c>
      <c r="Q4798" s="481">
        <f t="shared" si="120"/>
        <v>0</v>
      </c>
    </row>
    <row r="4799" spans="1:17" x14ac:dyDescent="0.3">
      <c r="A4799" s="431" t="str">
        <f>IFERROR(VLOOKUP(RIGHT(E4799,3)+0,[1]SchLocTable!$A$2:$B$47,2,FALSE)," ")</f>
        <v>Harding HS</v>
      </c>
      <c r="B4799" s="431" t="str">
        <f>VLOOKUP(VALUE(D4799),$D$3:F$106,3,FALSE)</f>
        <v>Health</v>
      </c>
      <c r="C4799" t="s">
        <v>314</v>
      </c>
      <c r="D4799" t="s">
        <v>1396</v>
      </c>
      <c r="E4799" t="s">
        <v>787</v>
      </c>
      <c r="F4799" t="s">
        <v>329</v>
      </c>
      <c r="G4799" t="s">
        <v>319</v>
      </c>
      <c r="H4799" s="502" t="s">
        <v>1240</v>
      </c>
      <c r="I4799" s="415">
        <v>0</v>
      </c>
      <c r="J4799" s="415">
        <v>0</v>
      </c>
      <c r="K4799" s="415">
        <v>0</v>
      </c>
      <c r="L4799" s="415">
        <v>0</v>
      </c>
      <c r="M4799" s="415">
        <v>0</v>
      </c>
      <c r="N4799" s="415">
        <v>0</v>
      </c>
      <c r="O4799" s="415">
        <v>11375</v>
      </c>
      <c r="P4799" s="415">
        <v>0</v>
      </c>
      <c r="Q4799" s="501">
        <f t="shared" ref="Q4799:Q4862" si="121">J4799-I4799</f>
        <v>0</v>
      </c>
    </row>
    <row r="4800" spans="1:17" x14ac:dyDescent="0.3">
      <c r="A4800" s="431" t="str">
        <f>IFERROR(VLOOKUP(RIGHT(E4800,3)+0,[1]SchLocTable!$A$2:$B$47,2,FALSE)," ")</f>
        <v>Harding HS</v>
      </c>
      <c r="B4800" s="431" t="str">
        <f>VLOOKUP(VALUE(D4800),$D$3:F$106,3,FALSE)</f>
        <v>Family/Consumer Science</v>
      </c>
      <c r="C4800" t="s">
        <v>314</v>
      </c>
      <c r="D4800" t="s">
        <v>1402</v>
      </c>
      <c r="E4800" t="s">
        <v>1386</v>
      </c>
      <c r="F4800" t="s">
        <v>316</v>
      </c>
      <c r="G4800" t="s">
        <v>319</v>
      </c>
      <c r="H4800" s="502" t="s">
        <v>1232</v>
      </c>
      <c r="I4800" s="415">
        <v>0</v>
      </c>
      <c r="J4800" s="415">
        <v>0</v>
      </c>
      <c r="K4800" s="415">
        <v>0</v>
      </c>
      <c r="L4800" s="415">
        <v>0</v>
      </c>
      <c r="M4800" s="415">
        <v>0</v>
      </c>
      <c r="N4800" s="415">
        <v>0</v>
      </c>
      <c r="O4800" s="415">
        <v>0</v>
      </c>
      <c r="P4800" s="415">
        <v>56302.05</v>
      </c>
      <c r="Q4800" s="501">
        <f t="shared" si="121"/>
        <v>0</v>
      </c>
    </row>
    <row r="4801" spans="1:17" x14ac:dyDescent="0.3">
      <c r="A4801" s="431" t="str">
        <f>IFERROR(VLOOKUP(RIGHT(E4801,3)+0,[1]SchLocTable!$A$2:$B$47,2,FALSE)," ")</f>
        <v>Harding HS</v>
      </c>
      <c r="B4801" s="431" t="str">
        <f>VLOOKUP(VALUE(D4801),$D$3:F$106,3,FALSE)</f>
        <v>Family/Consumer Science</v>
      </c>
      <c r="C4801" t="s">
        <v>314</v>
      </c>
      <c r="D4801" t="s">
        <v>1402</v>
      </c>
      <c r="E4801" t="s">
        <v>1386</v>
      </c>
      <c r="F4801" t="s">
        <v>321</v>
      </c>
      <c r="G4801" t="s">
        <v>319</v>
      </c>
      <c r="H4801" s="502" t="s">
        <v>1248</v>
      </c>
      <c r="I4801" s="415">
        <v>0</v>
      </c>
      <c r="J4801" s="415">
        <v>0</v>
      </c>
      <c r="K4801" s="415">
        <v>0</v>
      </c>
      <c r="L4801" s="415">
        <v>0</v>
      </c>
      <c r="M4801" s="415">
        <v>0</v>
      </c>
      <c r="N4801" s="415">
        <v>0</v>
      </c>
      <c r="O4801" s="415">
        <v>0</v>
      </c>
      <c r="P4801" s="415">
        <v>27385.05</v>
      </c>
      <c r="Q4801" s="501">
        <f t="shared" si="121"/>
        <v>0</v>
      </c>
    </row>
    <row r="4802" spans="1:17" x14ac:dyDescent="0.3">
      <c r="A4802" s="431" t="str">
        <f>IFERROR(VLOOKUP(RIGHT(E4802,3)+0,[1]SchLocTable!$A$2:$B$47,2,FALSE)," ")</f>
        <v>Harding HS</v>
      </c>
      <c r="B4802" s="431" t="str">
        <f>VLOOKUP(VALUE(D4802),$D$3:F$106,3,FALSE)</f>
        <v>Family/Consumer Science</v>
      </c>
      <c r="C4802" t="s">
        <v>314</v>
      </c>
      <c r="D4802" t="s">
        <v>1402</v>
      </c>
      <c r="E4802" t="s">
        <v>1386</v>
      </c>
      <c r="F4802" t="s">
        <v>320</v>
      </c>
      <c r="G4802" t="s">
        <v>319</v>
      </c>
      <c r="H4802" s="502" t="s">
        <v>1245</v>
      </c>
      <c r="I4802" s="415">
        <v>0</v>
      </c>
      <c r="J4802" s="415">
        <v>0</v>
      </c>
      <c r="K4802" s="415">
        <v>0</v>
      </c>
      <c r="L4802" s="415">
        <v>0</v>
      </c>
      <c r="M4802" s="415">
        <v>0</v>
      </c>
      <c r="N4802" s="415">
        <v>0</v>
      </c>
      <c r="O4802" s="415">
        <v>0</v>
      </c>
      <c r="P4802" s="415">
        <v>713.84</v>
      </c>
      <c r="Q4802" s="501">
        <f t="shared" si="121"/>
        <v>0</v>
      </c>
    </row>
    <row r="4803" spans="1:17" x14ac:dyDescent="0.3">
      <c r="A4803" s="431" t="str">
        <f>IFERROR(VLOOKUP(RIGHT(E4803,3)+0,[1]SchLocTable!$A$2:$B$47,2,FALSE)," ")</f>
        <v>Bassick HS</v>
      </c>
      <c r="B4803" s="431" t="str">
        <f>VLOOKUP(VALUE(D4803),$D$3:F$106,3,FALSE)</f>
        <v>Technology Education</v>
      </c>
      <c r="C4803" t="s">
        <v>314</v>
      </c>
      <c r="D4803" t="s">
        <v>1397</v>
      </c>
      <c r="E4803" t="s">
        <v>794</v>
      </c>
      <c r="F4803" t="s">
        <v>329</v>
      </c>
      <c r="G4803" t="s">
        <v>319</v>
      </c>
      <c r="H4803" s="502" t="s">
        <v>1240</v>
      </c>
      <c r="I4803" s="415">
        <v>0</v>
      </c>
      <c r="J4803" s="415">
        <v>0</v>
      </c>
      <c r="K4803" s="415">
        <v>0</v>
      </c>
      <c r="L4803" s="415">
        <v>0</v>
      </c>
      <c r="M4803" s="415">
        <v>0</v>
      </c>
      <c r="N4803" s="415">
        <v>0</v>
      </c>
      <c r="O4803" s="415">
        <v>11375</v>
      </c>
      <c r="P4803" s="415">
        <v>0</v>
      </c>
      <c r="Q4803" s="501">
        <f t="shared" si="121"/>
        <v>0</v>
      </c>
    </row>
    <row r="4804" spans="1:17" x14ac:dyDescent="0.3">
      <c r="A4804" s="431" t="str">
        <f>IFERROR(VLOOKUP(RIGHT(E4804,3)+0,[1]SchLocTable!$A$2:$B$47,2,FALSE)," ")</f>
        <v>Central HS</v>
      </c>
      <c r="B4804" s="431" t="str">
        <f>VLOOKUP(VALUE(D4804),$D$3:F$106,3,FALSE)</f>
        <v>Technology Education</v>
      </c>
      <c r="C4804" t="s">
        <v>314</v>
      </c>
      <c r="D4804" t="s">
        <v>1397</v>
      </c>
      <c r="E4804" t="s">
        <v>795</v>
      </c>
      <c r="F4804" t="s">
        <v>318</v>
      </c>
      <c r="G4804" t="s">
        <v>319</v>
      </c>
      <c r="H4804" s="502" t="s">
        <v>1239</v>
      </c>
      <c r="I4804" s="415">
        <v>0</v>
      </c>
      <c r="J4804" s="415">
        <v>0</v>
      </c>
      <c r="K4804" s="415">
        <v>0</v>
      </c>
      <c r="L4804" s="415">
        <v>0</v>
      </c>
      <c r="M4804" s="415">
        <v>0</v>
      </c>
      <c r="N4804" s="415">
        <v>0</v>
      </c>
      <c r="O4804" s="415">
        <v>0</v>
      </c>
      <c r="P4804" s="415">
        <v>1300</v>
      </c>
      <c r="Q4804" s="501">
        <f t="shared" si="121"/>
        <v>0</v>
      </c>
    </row>
    <row r="4805" spans="1:17" x14ac:dyDescent="0.3">
      <c r="A4805" s="431" t="str">
        <f>IFERROR(VLOOKUP(RIGHT(E4805,3)+0,[1]SchLocTable!$A$2:$B$47,2,FALSE)," ")</f>
        <v xml:space="preserve"> </v>
      </c>
      <c r="B4805" s="431" t="str">
        <f>VLOOKUP(VALUE(D4805),$D$3:F$106,3,FALSE)</f>
        <v>Talented &amp; Gifted</v>
      </c>
      <c r="C4805" t="s">
        <v>314</v>
      </c>
      <c r="D4805" t="s">
        <v>1345</v>
      </c>
      <c r="E4805" t="s">
        <v>802</v>
      </c>
      <c r="F4805" t="s">
        <v>321</v>
      </c>
      <c r="G4805" t="s">
        <v>319</v>
      </c>
      <c r="H4805" s="502" t="s">
        <v>1248</v>
      </c>
      <c r="I4805" s="415">
        <v>0</v>
      </c>
      <c r="J4805" s="415">
        <v>0</v>
      </c>
      <c r="K4805" s="415">
        <v>0</v>
      </c>
      <c r="L4805" s="415">
        <v>0</v>
      </c>
      <c r="M4805" s="415">
        <v>0</v>
      </c>
      <c r="N4805" s="415">
        <v>0</v>
      </c>
      <c r="O4805" s="415">
        <v>0</v>
      </c>
      <c r="P4805" s="415">
        <v>22186.29</v>
      </c>
      <c r="Q4805" s="501">
        <f t="shared" si="121"/>
        <v>0</v>
      </c>
    </row>
    <row r="4806" spans="1:17" x14ac:dyDescent="0.3">
      <c r="A4806" s="431" t="str">
        <f>IFERROR(VLOOKUP(RIGHT(E4806,3)+0,[1]SchLocTable!$A$2:$B$47,2,FALSE)," ")</f>
        <v xml:space="preserve"> </v>
      </c>
      <c r="B4806" s="431" t="str">
        <f>VLOOKUP(VALUE(D4806),$D$3:F$106,3,FALSE)</f>
        <v>Talented &amp; Gifted</v>
      </c>
      <c r="C4806" t="s">
        <v>314</v>
      </c>
      <c r="D4806" t="s">
        <v>1345</v>
      </c>
      <c r="E4806" t="s">
        <v>802</v>
      </c>
      <c r="F4806" t="s">
        <v>318</v>
      </c>
      <c r="G4806" t="s">
        <v>319</v>
      </c>
      <c r="H4806" s="502" t="s">
        <v>1239</v>
      </c>
      <c r="I4806" s="415">
        <v>0</v>
      </c>
      <c r="J4806" s="415">
        <v>0</v>
      </c>
      <c r="K4806" s="415">
        <v>0</v>
      </c>
      <c r="L4806" s="415">
        <v>0</v>
      </c>
      <c r="M4806" s="415">
        <v>0</v>
      </c>
      <c r="N4806" s="415">
        <v>0</v>
      </c>
      <c r="O4806" s="415">
        <v>0</v>
      </c>
      <c r="P4806" s="415">
        <v>2600</v>
      </c>
      <c r="Q4806" s="501">
        <f t="shared" si="121"/>
        <v>0</v>
      </c>
    </row>
    <row r="4807" spans="1:17" x14ac:dyDescent="0.3">
      <c r="A4807" s="431" t="str">
        <f>IFERROR(VLOOKUP(RIGHT(E4807,3)+0,[1]SchLocTable!$A$2:$B$47,2,FALSE)," ")</f>
        <v xml:space="preserve"> </v>
      </c>
      <c r="B4807" s="431" t="str">
        <f>VLOOKUP(VALUE(D4807),$D$3:F$106,3,FALSE)</f>
        <v>Talented &amp; Gifted</v>
      </c>
      <c r="C4807" t="s">
        <v>314</v>
      </c>
      <c r="D4807" t="s">
        <v>1345</v>
      </c>
      <c r="E4807" t="s">
        <v>802</v>
      </c>
      <c r="F4807" t="s">
        <v>329</v>
      </c>
      <c r="G4807" t="s">
        <v>319</v>
      </c>
      <c r="H4807" s="502" t="s">
        <v>1240</v>
      </c>
      <c r="I4807" s="415">
        <v>0</v>
      </c>
      <c r="J4807" s="415">
        <v>0</v>
      </c>
      <c r="K4807" s="415">
        <v>0</v>
      </c>
      <c r="L4807" s="415">
        <v>0</v>
      </c>
      <c r="M4807" s="415">
        <v>0</v>
      </c>
      <c r="N4807" s="415">
        <v>0</v>
      </c>
      <c r="O4807" s="415">
        <v>0</v>
      </c>
      <c r="P4807" s="415">
        <v>11375</v>
      </c>
      <c r="Q4807" s="501">
        <f t="shared" si="121"/>
        <v>0</v>
      </c>
    </row>
    <row r="4808" spans="1:17" x14ac:dyDescent="0.3">
      <c r="A4808" s="431" t="str">
        <f>IFERROR(VLOOKUP(RIGHT(E4808,3)+0,[1]SchLocTable!$A$2:$B$47,2,FALSE)," ")</f>
        <v>Claytor</v>
      </c>
      <c r="B4808" s="431" t="str">
        <f>VLOOKUP(VALUE(D4808),$D$3:F$106,3,FALSE)</f>
        <v>Talented &amp; Gifted</v>
      </c>
      <c r="C4808" t="s">
        <v>314</v>
      </c>
      <c r="D4808" t="s">
        <v>1345</v>
      </c>
      <c r="E4808" t="s">
        <v>1346</v>
      </c>
      <c r="F4808" t="s">
        <v>316</v>
      </c>
      <c r="G4808" t="s">
        <v>319</v>
      </c>
      <c r="H4808" s="502">
        <v>51000</v>
      </c>
      <c r="I4808" s="415"/>
      <c r="J4808" s="415"/>
      <c r="K4808" s="415"/>
      <c r="L4808" s="415">
        <v>0</v>
      </c>
      <c r="M4808" s="415">
        <v>0</v>
      </c>
      <c r="N4808" s="415">
        <v>73503.039999999994</v>
      </c>
      <c r="O4808" s="415">
        <v>69222.92</v>
      </c>
      <c r="P4808" s="415">
        <v>68144.960000000006</v>
      </c>
      <c r="Q4808" s="501">
        <f t="shared" si="121"/>
        <v>0</v>
      </c>
    </row>
    <row r="4809" spans="1:17" x14ac:dyDescent="0.3">
      <c r="A4809" s="431" t="str">
        <f>IFERROR(VLOOKUP(RIGHT(E4809,3)+0,[1]SchLocTable!$A$2:$B$47,2,FALSE)," ")</f>
        <v>Claytor</v>
      </c>
      <c r="B4809" s="431" t="str">
        <f>VLOOKUP(VALUE(D4809),$D$3:F$106,3,FALSE)</f>
        <v>Talented &amp; Gifted</v>
      </c>
      <c r="C4809" t="s">
        <v>314</v>
      </c>
      <c r="D4809" t="s">
        <v>1345</v>
      </c>
      <c r="E4809" t="s">
        <v>1346</v>
      </c>
      <c r="F4809" t="s">
        <v>321</v>
      </c>
      <c r="G4809" t="s">
        <v>319</v>
      </c>
      <c r="H4809" s="502">
        <v>52917</v>
      </c>
      <c r="I4809" s="415"/>
      <c r="J4809" s="415"/>
      <c r="K4809" s="415"/>
      <c r="L4809" s="415">
        <v>0</v>
      </c>
      <c r="M4809" s="415">
        <v>0</v>
      </c>
      <c r="N4809" s="415">
        <v>10232.879999999999</v>
      </c>
      <c r="O4809" s="415">
        <v>9817.68</v>
      </c>
      <c r="P4809" s="415">
        <v>9245.67</v>
      </c>
      <c r="Q4809" s="501">
        <f t="shared" si="121"/>
        <v>0</v>
      </c>
    </row>
    <row r="4810" spans="1:17" x14ac:dyDescent="0.3">
      <c r="A4810" s="431" t="str">
        <f>IFERROR(VLOOKUP(RIGHT(E4810,3)+0,[1]SchLocTable!$A$2:$B$47,2,FALSE)," ")</f>
        <v>Claytor</v>
      </c>
      <c r="B4810" s="431" t="str">
        <f>VLOOKUP(VALUE(D4810),$D$3:F$106,3,FALSE)</f>
        <v>Talented &amp; Gifted</v>
      </c>
      <c r="C4810" t="s">
        <v>314</v>
      </c>
      <c r="D4810" t="s">
        <v>1345</v>
      </c>
      <c r="E4810" t="s">
        <v>1346</v>
      </c>
      <c r="F4810" t="s">
        <v>320</v>
      </c>
      <c r="G4810" t="s">
        <v>319</v>
      </c>
      <c r="H4810" s="502">
        <v>52360</v>
      </c>
      <c r="I4810" s="415"/>
      <c r="J4810" s="415"/>
      <c r="K4810" s="415"/>
      <c r="L4810" s="415">
        <v>0</v>
      </c>
      <c r="M4810" s="415">
        <v>0</v>
      </c>
      <c r="N4810" s="415">
        <v>1025.8399999999999</v>
      </c>
      <c r="O4810" s="415">
        <v>966.44</v>
      </c>
      <c r="P4810" s="415">
        <v>953.47</v>
      </c>
      <c r="Q4810" s="501">
        <f t="shared" si="121"/>
        <v>0</v>
      </c>
    </row>
    <row r="4811" spans="1:17" x14ac:dyDescent="0.3">
      <c r="A4811" s="431" t="str">
        <f>IFERROR(VLOOKUP(RIGHT(E4811,3)+0,[1]SchLocTable!$A$2:$B$47,2,FALSE)," ")</f>
        <v>Winthrop</v>
      </c>
      <c r="B4811" s="431" t="str">
        <f>VLOOKUP(VALUE(D4811),$D$3:F$106,3,FALSE)</f>
        <v>Talented &amp; Gifted</v>
      </c>
      <c r="C4811" t="s">
        <v>314</v>
      </c>
      <c r="D4811" t="s">
        <v>1345</v>
      </c>
      <c r="E4811" t="s">
        <v>804</v>
      </c>
      <c r="F4811" t="s">
        <v>334</v>
      </c>
      <c r="G4811" t="s">
        <v>319</v>
      </c>
      <c r="H4811" s="502" t="s">
        <v>1387</v>
      </c>
      <c r="I4811" s="415">
        <v>0</v>
      </c>
      <c r="J4811" s="415">
        <v>0</v>
      </c>
      <c r="K4811" s="415">
        <v>0</v>
      </c>
      <c r="L4811" s="415">
        <v>0</v>
      </c>
      <c r="M4811" s="415">
        <v>0</v>
      </c>
      <c r="N4811" s="415">
        <v>0</v>
      </c>
      <c r="O4811" s="415">
        <v>1255.6199999999999</v>
      </c>
      <c r="P4811" s="415">
        <v>0</v>
      </c>
      <c r="Q4811" s="501">
        <f t="shared" si="121"/>
        <v>0</v>
      </c>
    </row>
    <row r="4812" spans="1:17" x14ac:dyDescent="0.3">
      <c r="A4812" s="431" t="str">
        <f>IFERROR(VLOOKUP(RIGHT(E4812,3)+0,[1]SchLocTable!$A$2:$B$47,2,FALSE)," ")</f>
        <v xml:space="preserve"> </v>
      </c>
      <c r="B4812" s="431" t="str">
        <f>VLOOKUP(VALUE(D4812),$D$3:F$106,3,FALSE)</f>
        <v>Special Education</v>
      </c>
      <c r="C4812" t="s">
        <v>314</v>
      </c>
      <c r="D4812" t="s">
        <v>1347</v>
      </c>
      <c r="E4812" t="s">
        <v>807</v>
      </c>
      <c r="F4812" t="s">
        <v>324</v>
      </c>
      <c r="G4812" t="s">
        <v>319</v>
      </c>
      <c r="H4812" s="502">
        <v>52385</v>
      </c>
      <c r="I4812" s="415"/>
      <c r="J4812" s="415"/>
      <c r="K4812" s="415"/>
      <c r="L4812" s="415">
        <v>0</v>
      </c>
      <c r="M4812" s="415">
        <v>0</v>
      </c>
      <c r="N4812" s="415">
        <v>563.97</v>
      </c>
      <c r="O4812" s="415">
        <v>0</v>
      </c>
      <c r="P4812" s="415">
        <v>0</v>
      </c>
      <c r="Q4812" s="501">
        <f t="shared" si="121"/>
        <v>0</v>
      </c>
    </row>
    <row r="4813" spans="1:17" x14ac:dyDescent="0.3">
      <c r="A4813" s="431" t="str">
        <f>IFERROR(VLOOKUP(RIGHT(E4813,3)+0,[1]SchLocTable!$A$2:$B$47,2,FALSE)," ")</f>
        <v xml:space="preserve"> </v>
      </c>
      <c r="B4813" s="431" t="str">
        <f>VLOOKUP(VALUE(D4813),$D$3:F$106,3,FALSE)</f>
        <v>Special Education</v>
      </c>
      <c r="C4813" t="s">
        <v>314</v>
      </c>
      <c r="D4813" t="s">
        <v>1347</v>
      </c>
      <c r="E4813" t="s">
        <v>807</v>
      </c>
      <c r="F4813" t="s">
        <v>533</v>
      </c>
      <c r="G4813" t="s">
        <v>319</v>
      </c>
      <c r="H4813" s="502">
        <v>52397</v>
      </c>
      <c r="I4813" s="415"/>
      <c r="J4813" s="415"/>
      <c r="K4813" s="415"/>
      <c r="L4813" s="415">
        <v>0</v>
      </c>
      <c r="M4813" s="415">
        <v>0</v>
      </c>
      <c r="N4813" s="415">
        <v>3383</v>
      </c>
      <c r="O4813" s="415">
        <v>0</v>
      </c>
      <c r="P4813" s="415">
        <v>0</v>
      </c>
      <c r="Q4813" s="501">
        <f t="shared" si="121"/>
        <v>0</v>
      </c>
    </row>
    <row r="4814" spans="1:17" x14ac:dyDescent="0.3">
      <c r="A4814" s="431" t="str">
        <f>IFERROR(VLOOKUP(RIGHT(E4814,3)+0,[1]SchLocTable!$A$2:$B$47,2,FALSE)," ")</f>
        <v xml:space="preserve"> </v>
      </c>
      <c r="B4814" s="431" t="str">
        <f>VLOOKUP(VALUE(D4814),$D$3:F$106,3,FALSE)</f>
        <v>Special Education</v>
      </c>
      <c r="C4814" t="s">
        <v>314</v>
      </c>
      <c r="D4814" t="s">
        <v>1347</v>
      </c>
      <c r="E4814" t="s">
        <v>811</v>
      </c>
      <c r="F4814" t="s">
        <v>324</v>
      </c>
      <c r="G4814" t="s">
        <v>319</v>
      </c>
      <c r="H4814" s="502">
        <v>52385</v>
      </c>
      <c r="I4814" s="415"/>
      <c r="J4814" s="415"/>
      <c r="K4814" s="415"/>
      <c r="L4814" s="415">
        <v>0</v>
      </c>
      <c r="M4814" s="415">
        <v>0</v>
      </c>
      <c r="N4814" s="415">
        <v>11.93</v>
      </c>
      <c r="O4814" s="415">
        <v>0</v>
      </c>
      <c r="P4814" s="415">
        <v>0</v>
      </c>
      <c r="Q4814" s="501">
        <f t="shared" si="121"/>
        <v>0</v>
      </c>
    </row>
    <row r="4815" spans="1:17" x14ac:dyDescent="0.3">
      <c r="A4815" s="431" t="str">
        <f>IFERROR(VLOOKUP(RIGHT(E4815,3)+0,[1]SchLocTable!$A$2:$B$47,2,FALSE)," ")</f>
        <v>Barnum</v>
      </c>
      <c r="B4815" s="431" t="str">
        <f>VLOOKUP(VALUE(D4815),$D$3:F$106,3,FALSE)</f>
        <v>Special Education</v>
      </c>
      <c r="C4815" t="s">
        <v>314</v>
      </c>
      <c r="D4815" t="s">
        <v>1347</v>
      </c>
      <c r="E4815" t="s">
        <v>812</v>
      </c>
      <c r="F4815" t="s">
        <v>329</v>
      </c>
      <c r="G4815" t="s">
        <v>319</v>
      </c>
      <c r="H4815" s="502" t="s">
        <v>1240</v>
      </c>
      <c r="I4815" s="415">
        <v>0</v>
      </c>
      <c r="J4815" s="415">
        <v>0</v>
      </c>
      <c r="K4815" s="415">
        <v>0</v>
      </c>
      <c r="L4815" s="415">
        <v>0</v>
      </c>
      <c r="M4815" s="415">
        <v>0</v>
      </c>
      <c r="N4815" s="415">
        <v>0</v>
      </c>
      <c r="O4815" s="415">
        <v>0</v>
      </c>
      <c r="P4815" s="415">
        <v>11050</v>
      </c>
      <c r="Q4815" s="501">
        <f t="shared" si="121"/>
        <v>0</v>
      </c>
    </row>
    <row r="4816" spans="1:17" x14ac:dyDescent="0.3">
      <c r="A4816" s="431" t="str">
        <f>IFERROR(VLOOKUP(RIGHT(E4816,3)+0,[1]SchLocTable!$A$2:$B$47,2,FALSE)," ")</f>
        <v>Bryant</v>
      </c>
      <c r="B4816" s="431" t="str">
        <f>VLOOKUP(VALUE(D4816),$D$3:F$106,3,FALSE)</f>
        <v>Special Education</v>
      </c>
      <c r="C4816" t="s">
        <v>314</v>
      </c>
      <c r="D4816" t="s">
        <v>1347</v>
      </c>
      <c r="E4816" t="s">
        <v>815</v>
      </c>
      <c r="F4816" t="s">
        <v>329</v>
      </c>
      <c r="G4816" t="s">
        <v>319</v>
      </c>
      <c r="H4816" s="502" t="s">
        <v>1240</v>
      </c>
      <c r="I4816" s="415">
        <v>0</v>
      </c>
      <c r="J4816" s="415">
        <v>0</v>
      </c>
      <c r="K4816" s="415">
        <v>0</v>
      </c>
      <c r="L4816" s="415">
        <v>0</v>
      </c>
      <c r="M4816" s="415">
        <v>0</v>
      </c>
      <c r="N4816" s="415">
        <v>0</v>
      </c>
      <c r="O4816" s="415">
        <v>13975</v>
      </c>
      <c r="P4816" s="415">
        <v>0</v>
      </c>
      <c r="Q4816" s="501">
        <f t="shared" si="121"/>
        <v>0</v>
      </c>
    </row>
    <row r="4817" spans="1:17" x14ac:dyDescent="0.3">
      <c r="A4817" s="431" t="str">
        <f>IFERROR(VLOOKUP(RIGHT(E4817,3)+0,[1]SchLocTable!$A$2:$B$47,2,FALSE)," ")</f>
        <v>Edison</v>
      </c>
      <c r="B4817" s="431" t="str">
        <f>VLOOKUP(VALUE(D4817),$D$3:F$106,3,FALSE)</f>
        <v>Special Education</v>
      </c>
      <c r="C4817" t="s">
        <v>314</v>
      </c>
      <c r="D4817" t="s">
        <v>1347</v>
      </c>
      <c r="E4817" t="s">
        <v>817</v>
      </c>
      <c r="F4817" t="s">
        <v>334</v>
      </c>
      <c r="G4817" t="s">
        <v>319</v>
      </c>
      <c r="H4817" s="502" t="s">
        <v>1387</v>
      </c>
      <c r="I4817" s="415">
        <v>0</v>
      </c>
      <c r="J4817" s="415">
        <v>0</v>
      </c>
      <c r="K4817" s="415">
        <v>0</v>
      </c>
      <c r="L4817" s="415">
        <v>0</v>
      </c>
      <c r="M4817" s="415">
        <v>0</v>
      </c>
      <c r="N4817" s="415">
        <v>0</v>
      </c>
      <c r="O4817" s="415">
        <v>231</v>
      </c>
      <c r="P4817" s="415">
        <v>0</v>
      </c>
      <c r="Q4817" s="501">
        <f t="shared" si="121"/>
        <v>0</v>
      </c>
    </row>
    <row r="4818" spans="1:17" x14ac:dyDescent="0.3">
      <c r="A4818" s="431" t="str">
        <f>IFERROR(VLOOKUP(RIGHT(E4818,3)+0,[1]SchLocTable!$A$2:$B$47,2,FALSE)," ")</f>
        <v>Hooker</v>
      </c>
      <c r="B4818" s="431" t="str">
        <f>VLOOKUP(VALUE(D4818),$D$3:F$106,3,FALSE)</f>
        <v>Special Education</v>
      </c>
      <c r="C4818" t="s">
        <v>314</v>
      </c>
      <c r="D4818" t="s">
        <v>1347</v>
      </c>
      <c r="E4818" t="s">
        <v>821</v>
      </c>
      <c r="F4818" t="s">
        <v>324</v>
      </c>
      <c r="G4818" t="s">
        <v>319</v>
      </c>
      <c r="H4818" s="502">
        <v>52385</v>
      </c>
      <c r="I4818" s="415"/>
      <c r="J4818" s="415"/>
      <c r="K4818" s="415"/>
      <c r="L4818" s="415">
        <v>0</v>
      </c>
      <c r="M4818" s="415">
        <v>0</v>
      </c>
      <c r="N4818" s="415">
        <v>2606.11</v>
      </c>
      <c r="O4818" s="415">
        <v>0</v>
      </c>
      <c r="P4818" s="415">
        <v>0</v>
      </c>
      <c r="Q4818" s="501">
        <f t="shared" si="121"/>
        <v>0</v>
      </c>
    </row>
    <row r="4819" spans="1:17" x14ac:dyDescent="0.3">
      <c r="A4819" s="431" t="str">
        <f>IFERROR(VLOOKUP(RIGHT(E4819,3)+0,[1]SchLocTable!$A$2:$B$47,2,FALSE)," ")</f>
        <v>Batalla</v>
      </c>
      <c r="B4819" s="431" t="str">
        <f>VLOOKUP(VALUE(D4819),$D$3:F$106,3,FALSE)</f>
        <v>Special Education</v>
      </c>
      <c r="C4819" t="s">
        <v>314</v>
      </c>
      <c r="D4819" t="s">
        <v>1347</v>
      </c>
      <c r="E4819" t="s">
        <v>822</v>
      </c>
      <c r="F4819" t="s">
        <v>329</v>
      </c>
      <c r="G4819" t="s">
        <v>319</v>
      </c>
      <c r="H4819" s="502" t="s">
        <v>1240</v>
      </c>
      <c r="I4819" s="415">
        <v>0</v>
      </c>
      <c r="J4819" s="415">
        <v>0</v>
      </c>
      <c r="K4819" s="415">
        <v>0</v>
      </c>
      <c r="L4819" s="415">
        <v>0</v>
      </c>
      <c r="M4819" s="415">
        <v>0</v>
      </c>
      <c r="N4819" s="415">
        <v>0</v>
      </c>
      <c r="O4819" s="415">
        <v>11375</v>
      </c>
      <c r="P4819" s="415">
        <v>0</v>
      </c>
      <c r="Q4819" s="501">
        <f t="shared" si="121"/>
        <v>0</v>
      </c>
    </row>
    <row r="4820" spans="1:17" x14ac:dyDescent="0.3">
      <c r="A4820" s="431" t="str">
        <f>IFERROR(VLOOKUP(RIGHT(E4820,3)+0,[1]SchLocTable!$A$2:$B$47,2,FALSE)," ")</f>
        <v>Winthrop</v>
      </c>
      <c r="B4820" s="431" t="str">
        <f>VLOOKUP(VALUE(D4820),$D$3:F$106,3,FALSE)</f>
        <v>Special Education</v>
      </c>
      <c r="C4820" t="s">
        <v>314</v>
      </c>
      <c r="D4820" t="s">
        <v>1347</v>
      </c>
      <c r="E4820" t="s">
        <v>834</v>
      </c>
      <c r="F4820" t="s">
        <v>324</v>
      </c>
      <c r="G4820" t="s">
        <v>319</v>
      </c>
      <c r="H4820" s="502">
        <v>52385</v>
      </c>
      <c r="I4820" s="415"/>
      <c r="J4820" s="415"/>
      <c r="K4820" s="415"/>
      <c r="L4820" s="415">
        <v>0</v>
      </c>
      <c r="M4820" s="415">
        <v>0</v>
      </c>
      <c r="N4820" s="415">
        <v>163.06</v>
      </c>
      <c r="O4820" s="415">
        <v>0</v>
      </c>
      <c r="P4820" s="415">
        <v>0</v>
      </c>
      <c r="Q4820" s="501">
        <f t="shared" si="121"/>
        <v>0</v>
      </c>
    </row>
    <row r="4821" spans="1:17" x14ac:dyDescent="0.3">
      <c r="A4821" s="431" t="str">
        <f>IFERROR(VLOOKUP(RIGHT(E4821,3)+0,[1]SchLocTable!$A$2:$B$47,2,FALSE)," ")</f>
        <v>Discovery</v>
      </c>
      <c r="B4821" s="431" t="str">
        <f>VLOOKUP(VALUE(D4821),$D$3:F$106,3,FALSE)</f>
        <v>Special Education</v>
      </c>
      <c r="C4821" t="s">
        <v>314</v>
      </c>
      <c r="D4821" t="s">
        <v>1347</v>
      </c>
      <c r="E4821" t="s">
        <v>1309</v>
      </c>
      <c r="F4821" t="s">
        <v>318</v>
      </c>
      <c r="G4821" t="s">
        <v>319</v>
      </c>
      <c r="H4821" s="502" t="s">
        <v>1239</v>
      </c>
      <c r="I4821" s="415">
        <v>0</v>
      </c>
      <c r="J4821" s="415">
        <v>0</v>
      </c>
      <c r="K4821" s="415">
        <v>0</v>
      </c>
      <c r="L4821" s="415">
        <v>0</v>
      </c>
      <c r="M4821" s="415">
        <v>0</v>
      </c>
      <c r="N4821" s="415">
        <v>0</v>
      </c>
      <c r="O4821" s="415">
        <v>0</v>
      </c>
      <c r="P4821" s="415">
        <v>1300</v>
      </c>
      <c r="Q4821" s="501">
        <f t="shared" si="121"/>
        <v>0</v>
      </c>
    </row>
    <row r="4822" spans="1:17" x14ac:dyDescent="0.3">
      <c r="A4822" s="431" t="str">
        <f>IFERROR(VLOOKUP(RIGHT(E4822,3)+0,[1]SchLocTable!$A$2:$B$47,2,FALSE)," ")</f>
        <v>Dunbar</v>
      </c>
      <c r="B4822" s="431" t="str">
        <f>VLOOKUP(VALUE(D4822),$D$3:F$106,3,FALSE)</f>
        <v>Special Education</v>
      </c>
      <c r="C4822" t="s">
        <v>314</v>
      </c>
      <c r="D4822" t="s">
        <v>1347</v>
      </c>
      <c r="E4822" t="s">
        <v>837</v>
      </c>
      <c r="F4822" t="s">
        <v>533</v>
      </c>
      <c r="G4822" t="s">
        <v>319</v>
      </c>
      <c r="H4822" s="502">
        <v>52397</v>
      </c>
      <c r="I4822" s="415"/>
      <c r="J4822" s="415"/>
      <c r="K4822" s="415"/>
      <c r="L4822" s="415">
        <v>0</v>
      </c>
      <c r="M4822" s="415">
        <v>0</v>
      </c>
      <c r="N4822" s="415">
        <v>3816</v>
      </c>
      <c r="O4822" s="415">
        <v>0</v>
      </c>
      <c r="P4822" s="415">
        <v>0</v>
      </c>
      <c r="Q4822" s="501">
        <f t="shared" si="121"/>
        <v>0</v>
      </c>
    </row>
    <row r="4823" spans="1:17" x14ac:dyDescent="0.3">
      <c r="A4823" s="431" t="str">
        <f>IFERROR(VLOOKUP(RIGHT(E4823,3)+0,[1]SchLocTable!$A$2:$B$47,2,FALSE)," ")</f>
        <v>Curiale</v>
      </c>
      <c r="B4823" s="431" t="str">
        <f>VLOOKUP(VALUE(D4823),$D$3:F$106,3,FALSE)</f>
        <v>Special Education</v>
      </c>
      <c r="C4823" t="s">
        <v>314</v>
      </c>
      <c r="D4823" t="s">
        <v>1347</v>
      </c>
      <c r="E4823" t="s">
        <v>838</v>
      </c>
      <c r="F4823" t="s">
        <v>329</v>
      </c>
      <c r="G4823" t="s">
        <v>319</v>
      </c>
      <c r="H4823" s="502" t="s">
        <v>1240</v>
      </c>
      <c r="I4823" s="415">
        <v>0</v>
      </c>
      <c r="J4823" s="415">
        <v>0</v>
      </c>
      <c r="K4823" s="415">
        <v>0</v>
      </c>
      <c r="L4823" s="415">
        <v>0</v>
      </c>
      <c r="M4823" s="415">
        <v>0</v>
      </c>
      <c r="N4823" s="415">
        <v>0</v>
      </c>
      <c r="O4823" s="415">
        <v>11375</v>
      </c>
      <c r="P4823" s="415">
        <v>0</v>
      </c>
      <c r="Q4823" s="501">
        <f t="shared" si="121"/>
        <v>0</v>
      </c>
    </row>
    <row r="4824" spans="1:17" x14ac:dyDescent="0.3">
      <c r="A4824" s="431" t="str">
        <f>IFERROR(VLOOKUP(RIGHT(E4824,3)+0,[1]SchLocTable!$A$2:$B$47,2,FALSE)," ")</f>
        <v>Skane</v>
      </c>
      <c r="B4824" s="431" t="str">
        <f>VLOOKUP(VALUE(D4824),$D$3:F$106,3,FALSE)</f>
        <v>Special Education</v>
      </c>
      <c r="C4824" t="s">
        <v>314</v>
      </c>
      <c r="D4824" t="s">
        <v>1347</v>
      </c>
      <c r="E4824" t="s">
        <v>839</v>
      </c>
      <c r="F4824" t="s">
        <v>324</v>
      </c>
      <c r="G4824" t="s">
        <v>319</v>
      </c>
      <c r="H4824" s="502">
        <v>52385</v>
      </c>
      <c r="I4824" s="415"/>
      <c r="J4824" s="415"/>
      <c r="K4824" s="415"/>
      <c r="L4824" s="415">
        <v>0</v>
      </c>
      <c r="M4824" s="415">
        <v>0</v>
      </c>
      <c r="N4824" s="415">
        <v>15.5</v>
      </c>
      <c r="O4824" s="415">
        <v>0</v>
      </c>
      <c r="P4824" s="415">
        <v>0</v>
      </c>
      <c r="Q4824" s="501">
        <f t="shared" si="121"/>
        <v>0</v>
      </c>
    </row>
    <row r="4825" spans="1:17" x14ac:dyDescent="0.3">
      <c r="A4825" s="431" t="str">
        <f>IFERROR(VLOOKUP(RIGHT(E4825,3)+0,[1]SchLocTable!$A$2:$B$47,2,FALSE)," ")</f>
        <v>Skane</v>
      </c>
      <c r="B4825" s="431" t="str">
        <f>VLOOKUP(VALUE(D4825),$D$3:F$106,3,FALSE)</f>
        <v>Special Education</v>
      </c>
      <c r="C4825" t="s">
        <v>314</v>
      </c>
      <c r="D4825" t="s">
        <v>1347</v>
      </c>
      <c r="E4825" t="s">
        <v>839</v>
      </c>
      <c r="F4825" t="s">
        <v>329</v>
      </c>
      <c r="G4825" t="s">
        <v>319</v>
      </c>
      <c r="H4825" s="502">
        <v>51154</v>
      </c>
      <c r="I4825" s="415"/>
      <c r="J4825" s="415"/>
      <c r="K4825" s="415"/>
      <c r="L4825" s="415">
        <v>0</v>
      </c>
      <c r="M4825" s="415">
        <v>0</v>
      </c>
      <c r="N4825" s="415">
        <v>11375</v>
      </c>
      <c r="O4825" s="415">
        <v>0</v>
      </c>
      <c r="P4825" s="415">
        <v>0</v>
      </c>
      <c r="Q4825" s="501">
        <f t="shared" si="121"/>
        <v>0</v>
      </c>
    </row>
    <row r="4826" spans="1:17" x14ac:dyDescent="0.3">
      <c r="A4826" s="431" t="str">
        <f>IFERROR(VLOOKUP(RIGHT(E4826,3)+0,[1]SchLocTable!$A$2:$B$47,2,FALSE)," ")</f>
        <v>Multicultural Magnet</v>
      </c>
      <c r="B4826" s="431" t="str">
        <f>VLOOKUP(VALUE(D4826),$D$3:F$106,3,FALSE)</f>
        <v>Special Education</v>
      </c>
      <c r="C4826" t="s">
        <v>314</v>
      </c>
      <c r="D4826" t="s">
        <v>1347</v>
      </c>
      <c r="E4826" t="s">
        <v>841</v>
      </c>
      <c r="F4826" t="s">
        <v>318</v>
      </c>
      <c r="G4826" t="s">
        <v>319</v>
      </c>
      <c r="H4826" s="502" t="s">
        <v>1239</v>
      </c>
      <c r="I4826" s="415">
        <v>0</v>
      </c>
      <c r="J4826" s="415">
        <v>0</v>
      </c>
      <c r="K4826" s="415">
        <v>0</v>
      </c>
      <c r="L4826" s="415">
        <v>0</v>
      </c>
      <c r="M4826" s="415">
        <v>0</v>
      </c>
      <c r="N4826" s="415">
        <v>0</v>
      </c>
      <c r="O4826" s="415">
        <v>0</v>
      </c>
      <c r="P4826" s="415">
        <v>2600</v>
      </c>
      <c r="Q4826" s="501">
        <f t="shared" si="121"/>
        <v>0</v>
      </c>
    </row>
    <row r="4827" spans="1:17" x14ac:dyDescent="0.3">
      <c r="A4827" s="431" t="str">
        <f>IFERROR(VLOOKUP(RIGHT(E4827,3)+0,[1]SchLocTable!$A$2:$B$47,2,FALSE)," ")</f>
        <v>Multicultural Magnet</v>
      </c>
      <c r="B4827" s="431" t="str">
        <f>VLOOKUP(VALUE(D4827),$D$3:F$106,3,FALSE)</f>
        <v>Special Education</v>
      </c>
      <c r="C4827" t="s">
        <v>314</v>
      </c>
      <c r="D4827" t="s">
        <v>1347</v>
      </c>
      <c r="E4827" t="s">
        <v>841</v>
      </c>
      <c r="F4827" t="s">
        <v>329</v>
      </c>
      <c r="G4827" t="s">
        <v>319</v>
      </c>
      <c r="H4827" s="502" t="s">
        <v>1240</v>
      </c>
      <c r="I4827" s="415">
        <v>0</v>
      </c>
      <c r="J4827" s="415">
        <v>0</v>
      </c>
      <c r="K4827" s="415">
        <v>0</v>
      </c>
      <c r="L4827" s="415">
        <v>0</v>
      </c>
      <c r="M4827" s="415">
        <v>0</v>
      </c>
      <c r="N4827" s="415">
        <v>0</v>
      </c>
      <c r="O4827" s="415">
        <v>0</v>
      </c>
      <c r="P4827" s="415">
        <v>11375</v>
      </c>
      <c r="Q4827" s="501">
        <f t="shared" si="121"/>
        <v>0</v>
      </c>
    </row>
    <row r="4828" spans="1:17" x14ac:dyDescent="0.3">
      <c r="A4828" s="431" t="str">
        <f>IFERROR(VLOOKUP(RIGHT(E4828,3)+0,[1]SchLocTable!$A$2:$B$47,2,FALSE)," ")</f>
        <v>Bassick HS</v>
      </c>
      <c r="B4828" s="431" t="str">
        <f>VLOOKUP(VALUE(D4828),$D$3:F$106,3,FALSE)</f>
        <v>Special Education</v>
      </c>
      <c r="C4828" t="s">
        <v>314</v>
      </c>
      <c r="D4828" t="s">
        <v>1347</v>
      </c>
      <c r="E4828" t="s">
        <v>842</v>
      </c>
      <c r="F4828" t="s">
        <v>533</v>
      </c>
      <c r="G4828" t="s">
        <v>319</v>
      </c>
      <c r="H4828" s="502">
        <v>52397</v>
      </c>
      <c r="I4828" s="415"/>
      <c r="J4828" s="415"/>
      <c r="K4828" s="415"/>
      <c r="L4828" s="415">
        <v>0</v>
      </c>
      <c r="M4828" s="415">
        <v>0</v>
      </c>
      <c r="N4828" s="415">
        <v>7502</v>
      </c>
      <c r="O4828" s="415">
        <v>0</v>
      </c>
      <c r="P4828" s="415">
        <v>0</v>
      </c>
      <c r="Q4828" s="501">
        <f t="shared" si="121"/>
        <v>0</v>
      </c>
    </row>
    <row r="4829" spans="1:17" x14ac:dyDescent="0.3">
      <c r="A4829" s="431" t="str">
        <f>IFERROR(VLOOKUP(RIGHT(E4829,3)+0,[1]SchLocTable!$A$2:$B$47,2,FALSE)," ")</f>
        <v>Harding HS</v>
      </c>
      <c r="B4829" s="431" t="str">
        <f>VLOOKUP(VALUE(D4829),$D$3:F$106,3,FALSE)</f>
        <v>Special Education</v>
      </c>
      <c r="C4829" t="s">
        <v>314</v>
      </c>
      <c r="D4829" t="s">
        <v>1347</v>
      </c>
      <c r="E4829" t="s">
        <v>844</v>
      </c>
      <c r="F4829" t="s">
        <v>324</v>
      </c>
      <c r="G4829" t="s">
        <v>319</v>
      </c>
      <c r="H4829" s="502" t="s">
        <v>1246</v>
      </c>
      <c r="I4829" s="415">
        <v>0</v>
      </c>
      <c r="J4829" s="415">
        <v>0</v>
      </c>
      <c r="K4829" s="415">
        <v>0</v>
      </c>
      <c r="L4829" s="415">
        <v>0</v>
      </c>
      <c r="M4829" s="415">
        <v>0</v>
      </c>
      <c r="N4829" s="415">
        <v>0</v>
      </c>
      <c r="O4829" s="415">
        <v>0</v>
      </c>
      <c r="P4829" s="415">
        <v>909.54</v>
      </c>
      <c r="Q4829" s="501">
        <f t="shared" si="121"/>
        <v>0</v>
      </c>
    </row>
    <row r="4830" spans="1:17" x14ac:dyDescent="0.3">
      <c r="A4830" s="431" t="str">
        <f>IFERROR(VLOOKUP(RIGHT(E4830,3)+0,[1]SchLocTable!$A$2:$B$47,2,FALSE)," ")</f>
        <v>Harding HS</v>
      </c>
      <c r="B4830" s="431" t="str">
        <f>VLOOKUP(VALUE(D4830),$D$3:F$106,3,FALSE)</f>
        <v>Special Education</v>
      </c>
      <c r="C4830" t="s">
        <v>314</v>
      </c>
      <c r="D4830" t="s">
        <v>1347</v>
      </c>
      <c r="E4830" t="s">
        <v>844</v>
      </c>
      <c r="F4830" t="s">
        <v>329</v>
      </c>
      <c r="G4830" t="s">
        <v>319</v>
      </c>
      <c r="H4830" s="502" t="s">
        <v>1240</v>
      </c>
      <c r="I4830" s="415">
        <v>0</v>
      </c>
      <c r="J4830" s="415">
        <v>0</v>
      </c>
      <c r="K4830" s="415">
        <v>0</v>
      </c>
      <c r="L4830" s="415">
        <v>0</v>
      </c>
      <c r="M4830" s="415">
        <v>0</v>
      </c>
      <c r="N4830" s="415">
        <v>0</v>
      </c>
      <c r="O4830" s="415">
        <v>0</v>
      </c>
      <c r="P4830" s="415">
        <v>6175</v>
      </c>
      <c r="Q4830" s="501">
        <f t="shared" si="121"/>
        <v>0</v>
      </c>
    </row>
    <row r="4831" spans="1:17" x14ac:dyDescent="0.3">
      <c r="A4831" s="431" t="str">
        <f>IFERROR(VLOOKUP(RIGHT(E4831,3)+0,[1]SchLocTable!$A$2:$B$47,2,FALSE)," ")</f>
        <v>Skane</v>
      </c>
      <c r="B4831" s="431" t="str">
        <f>VLOOKUP(VALUE(D4831),$D$3:F$106,3,FALSE)</f>
        <v>SPED Administrators</v>
      </c>
      <c r="C4831" t="s">
        <v>314</v>
      </c>
      <c r="D4831" t="s">
        <v>1403</v>
      </c>
      <c r="E4831" t="s">
        <v>847</v>
      </c>
      <c r="F4831" t="s">
        <v>334</v>
      </c>
      <c r="G4831" t="s">
        <v>319</v>
      </c>
      <c r="H4831" s="502" t="s">
        <v>1387</v>
      </c>
      <c r="I4831" s="415">
        <v>0</v>
      </c>
      <c r="J4831" s="415">
        <v>0</v>
      </c>
      <c r="K4831" s="415">
        <v>0</v>
      </c>
      <c r="L4831" s="415">
        <v>0</v>
      </c>
      <c r="M4831" s="415">
        <v>0</v>
      </c>
      <c r="N4831" s="415">
        <v>0</v>
      </c>
      <c r="O4831" s="415">
        <v>0</v>
      </c>
      <c r="P4831" s="415">
        <v>1750</v>
      </c>
      <c r="Q4831" s="501">
        <f t="shared" si="121"/>
        <v>0</v>
      </c>
    </row>
    <row r="4832" spans="1:17" x14ac:dyDescent="0.3">
      <c r="A4832" s="431" t="str">
        <f>IFERROR(VLOOKUP(RIGHT(E4832,3)+0,[1]SchLocTable!$A$2:$B$47,2,FALSE)," ")</f>
        <v>Skane</v>
      </c>
      <c r="B4832" s="431" t="str">
        <f>VLOOKUP(VALUE(D4832),$D$3:F$106,3,FALSE)</f>
        <v>SPED Administrators</v>
      </c>
      <c r="C4832" t="s">
        <v>314</v>
      </c>
      <c r="D4832" t="s">
        <v>1403</v>
      </c>
      <c r="E4832" t="s">
        <v>847</v>
      </c>
      <c r="F4832" t="s">
        <v>329</v>
      </c>
      <c r="G4832" t="s">
        <v>319</v>
      </c>
      <c r="H4832" s="502" t="s">
        <v>1240</v>
      </c>
      <c r="I4832" s="415">
        <v>0</v>
      </c>
      <c r="J4832" s="415">
        <v>0</v>
      </c>
      <c r="K4832" s="415">
        <v>0</v>
      </c>
      <c r="L4832" s="415">
        <v>0</v>
      </c>
      <c r="M4832" s="415">
        <v>0</v>
      </c>
      <c r="N4832" s="415">
        <v>0</v>
      </c>
      <c r="O4832" s="415">
        <v>0</v>
      </c>
      <c r="P4832" s="415">
        <v>49866</v>
      </c>
      <c r="Q4832" s="501">
        <f t="shared" si="121"/>
        <v>0</v>
      </c>
    </row>
    <row r="4833" spans="1:17" x14ac:dyDescent="0.3">
      <c r="A4833" s="431" t="str">
        <f>IFERROR(VLOOKUP(RIGHT(E4833,3)+0,[1]SchLocTable!$A$2:$B$47,2,FALSE)," ")</f>
        <v>Batalla</v>
      </c>
      <c r="B4833" s="431" t="str">
        <f>VLOOKUP(VALUE(D4833),$D$3:F$106,3,FALSE)</f>
        <v>SPED Aides</v>
      </c>
      <c r="C4833" t="s">
        <v>314</v>
      </c>
      <c r="D4833" t="s">
        <v>1348</v>
      </c>
      <c r="E4833" t="s">
        <v>858</v>
      </c>
      <c r="F4833" t="s">
        <v>419</v>
      </c>
      <c r="G4833" t="s">
        <v>319</v>
      </c>
      <c r="H4833" s="502">
        <v>51318</v>
      </c>
      <c r="I4833" s="415"/>
      <c r="J4833" s="415"/>
      <c r="K4833" s="415"/>
      <c r="L4833" s="415">
        <v>0</v>
      </c>
      <c r="M4833" s="415">
        <v>0</v>
      </c>
      <c r="N4833" s="415">
        <v>100.27</v>
      </c>
      <c r="O4833" s="415">
        <v>0</v>
      </c>
      <c r="P4833" s="415">
        <v>0</v>
      </c>
      <c r="Q4833" s="501">
        <f t="shared" si="121"/>
        <v>0</v>
      </c>
    </row>
    <row r="4834" spans="1:17" x14ac:dyDescent="0.3">
      <c r="A4834" s="431" t="str">
        <f>IFERROR(VLOOKUP(RIGHT(E4834,3)+0,[1]SchLocTable!$A$2:$B$47,2,FALSE)," ")</f>
        <v>Batalla</v>
      </c>
      <c r="B4834" s="431" t="str">
        <f>VLOOKUP(VALUE(D4834),$D$3:F$106,3,FALSE)</f>
        <v>SPED Aides</v>
      </c>
      <c r="C4834" t="s">
        <v>314</v>
      </c>
      <c r="D4834" t="s">
        <v>1348</v>
      </c>
      <c r="E4834" t="s">
        <v>858</v>
      </c>
      <c r="F4834" t="s">
        <v>533</v>
      </c>
      <c r="G4834" t="s">
        <v>319</v>
      </c>
      <c r="H4834" s="502">
        <v>52397</v>
      </c>
      <c r="I4834" s="415"/>
      <c r="J4834" s="415"/>
      <c r="K4834" s="415"/>
      <c r="L4834" s="415">
        <v>0</v>
      </c>
      <c r="M4834" s="415">
        <v>0</v>
      </c>
      <c r="N4834" s="415">
        <v>812</v>
      </c>
      <c r="O4834" s="415">
        <v>0</v>
      </c>
      <c r="P4834" s="415">
        <v>0</v>
      </c>
      <c r="Q4834" s="501">
        <f t="shared" si="121"/>
        <v>0</v>
      </c>
    </row>
    <row r="4835" spans="1:17" x14ac:dyDescent="0.3">
      <c r="A4835" s="431" t="str">
        <f>IFERROR(VLOOKUP(RIGHT(E4835,3)+0,[1]SchLocTable!$A$2:$B$47,2,FALSE)," ")</f>
        <v>Park City Magnet</v>
      </c>
      <c r="B4835" s="431" t="str">
        <f>VLOOKUP(VALUE(D4835),$D$3:F$106,3,FALSE)</f>
        <v>SPED Aides</v>
      </c>
      <c r="C4835" t="s">
        <v>314</v>
      </c>
      <c r="D4835" t="s">
        <v>1348</v>
      </c>
      <c r="E4835" t="s">
        <v>859</v>
      </c>
      <c r="F4835" t="s">
        <v>329</v>
      </c>
      <c r="G4835" t="s">
        <v>319</v>
      </c>
      <c r="H4835" s="502" t="s">
        <v>1240</v>
      </c>
      <c r="I4835" s="415">
        <v>0</v>
      </c>
      <c r="J4835" s="415">
        <v>0</v>
      </c>
      <c r="K4835" s="415">
        <v>0</v>
      </c>
      <c r="L4835" s="415">
        <v>0</v>
      </c>
      <c r="M4835" s="415">
        <v>0</v>
      </c>
      <c r="N4835" s="415">
        <v>0</v>
      </c>
      <c r="O4835" s="415">
        <v>5303.21</v>
      </c>
      <c r="P4835" s="415">
        <v>6651.23</v>
      </c>
      <c r="Q4835" s="501">
        <f t="shared" si="121"/>
        <v>0</v>
      </c>
    </row>
    <row r="4836" spans="1:17" x14ac:dyDescent="0.3">
      <c r="A4836" s="431" t="str">
        <f>IFERROR(VLOOKUP(RIGHT(E4836,3)+0,[1]SchLocTable!$A$2:$B$47,2,FALSE)," ")</f>
        <v>Madison</v>
      </c>
      <c r="B4836" s="431" t="str">
        <f>VLOOKUP(VALUE(D4836),$D$3:F$106,3,FALSE)</f>
        <v>SPED Aides</v>
      </c>
      <c r="C4836" t="s">
        <v>314</v>
      </c>
      <c r="D4836" t="s">
        <v>1348</v>
      </c>
      <c r="E4836" t="s">
        <v>860</v>
      </c>
      <c r="F4836" t="s">
        <v>360</v>
      </c>
      <c r="G4836" t="s">
        <v>319</v>
      </c>
      <c r="H4836" s="502">
        <v>52920</v>
      </c>
      <c r="I4836" s="415"/>
      <c r="J4836" s="415"/>
      <c r="K4836" s="415"/>
      <c r="L4836" s="415">
        <v>0</v>
      </c>
      <c r="M4836" s="415">
        <v>0</v>
      </c>
      <c r="N4836" s="415">
        <v>375</v>
      </c>
      <c r="O4836" s="415">
        <v>500</v>
      </c>
      <c r="P4836" s="415">
        <v>250</v>
      </c>
      <c r="Q4836" s="501">
        <f t="shared" si="121"/>
        <v>0</v>
      </c>
    </row>
    <row r="4837" spans="1:17" x14ac:dyDescent="0.3">
      <c r="A4837" s="431" t="str">
        <f>IFERROR(VLOOKUP(RIGHT(E4837,3)+0,[1]SchLocTable!$A$2:$B$47,2,FALSE)," ")</f>
        <v>Madison</v>
      </c>
      <c r="B4837" s="431" t="str">
        <f>VLOOKUP(VALUE(D4837),$D$3:F$106,3,FALSE)</f>
        <v>SPED Aides</v>
      </c>
      <c r="C4837" t="s">
        <v>314</v>
      </c>
      <c r="D4837" t="s">
        <v>1348</v>
      </c>
      <c r="E4837" t="s">
        <v>860</v>
      </c>
      <c r="F4837" t="s">
        <v>329</v>
      </c>
      <c r="G4837" t="s">
        <v>319</v>
      </c>
      <c r="H4837" s="502" t="s">
        <v>1240</v>
      </c>
      <c r="I4837" s="415">
        <v>0</v>
      </c>
      <c r="J4837" s="415">
        <v>0</v>
      </c>
      <c r="K4837" s="415">
        <v>0</v>
      </c>
      <c r="L4837" s="415">
        <v>0</v>
      </c>
      <c r="M4837" s="415">
        <v>0</v>
      </c>
      <c r="N4837" s="415">
        <v>0</v>
      </c>
      <c r="O4837" s="415">
        <v>0</v>
      </c>
      <c r="P4837" s="415">
        <v>21425.53</v>
      </c>
      <c r="Q4837" s="501">
        <f t="shared" si="121"/>
        <v>0</v>
      </c>
    </row>
    <row r="4838" spans="1:17" x14ac:dyDescent="0.3">
      <c r="A4838" s="431" t="str">
        <f>IFERROR(VLOOKUP(RIGHT(E4838,3)+0,[1]SchLocTable!$A$2:$B$47,2,FALSE)," ")</f>
        <v>Claytor</v>
      </c>
      <c r="B4838" s="431" t="str">
        <f>VLOOKUP(VALUE(D4838),$D$3:F$106,3,FALSE)</f>
        <v>SPED Aides</v>
      </c>
      <c r="C4838" t="s">
        <v>314</v>
      </c>
      <c r="D4838" t="s">
        <v>1348</v>
      </c>
      <c r="E4838" t="s">
        <v>867</v>
      </c>
      <c r="F4838" t="s">
        <v>360</v>
      </c>
      <c r="G4838" t="s">
        <v>319</v>
      </c>
      <c r="H4838" s="502" t="s">
        <v>1249</v>
      </c>
      <c r="I4838" s="415">
        <v>0</v>
      </c>
      <c r="J4838" s="415">
        <v>0</v>
      </c>
      <c r="K4838" s="415">
        <v>0</v>
      </c>
      <c r="L4838" s="415">
        <v>0</v>
      </c>
      <c r="M4838" s="415">
        <v>0</v>
      </c>
      <c r="N4838" s="415">
        <v>0</v>
      </c>
      <c r="O4838" s="415">
        <v>500</v>
      </c>
      <c r="P4838" s="415">
        <v>500</v>
      </c>
      <c r="Q4838" s="501">
        <f t="shared" si="121"/>
        <v>0</v>
      </c>
    </row>
    <row r="4839" spans="1:17" x14ac:dyDescent="0.3">
      <c r="A4839" s="431" t="str">
        <f>IFERROR(VLOOKUP(RIGHT(E4839,3)+0,[1]SchLocTable!$A$2:$B$47,2,FALSE)," ")</f>
        <v>Claytor</v>
      </c>
      <c r="B4839" s="431" t="str">
        <f>VLOOKUP(VALUE(D4839),$D$3:F$106,3,FALSE)</f>
        <v>SPED Aides</v>
      </c>
      <c r="C4839" t="s">
        <v>314</v>
      </c>
      <c r="D4839" t="s">
        <v>1348</v>
      </c>
      <c r="E4839" t="s">
        <v>867</v>
      </c>
      <c r="F4839" t="s">
        <v>419</v>
      </c>
      <c r="G4839" t="s">
        <v>319</v>
      </c>
      <c r="H4839" s="502" t="s">
        <v>1243</v>
      </c>
      <c r="I4839" s="415">
        <v>0</v>
      </c>
      <c r="J4839" s="415">
        <v>0</v>
      </c>
      <c r="K4839" s="415">
        <v>0</v>
      </c>
      <c r="L4839" s="415">
        <v>0</v>
      </c>
      <c r="M4839" s="415">
        <v>0</v>
      </c>
      <c r="N4839" s="415">
        <v>0</v>
      </c>
      <c r="O4839" s="415">
        <v>200.85</v>
      </c>
      <c r="P4839" s="415">
        <v>100.43</v>
      </c>
      <c r="Q4839" s="501">
        <f t="shared" si="121"/>
        <v>0</v>
      </c>
    </row>
    <row r="4840" spans="1:17" x14ac:dyDescent="0.3">
      <c r="A4840" s="431" t="str">
        <f>IFERROR(VLOOKUP(RIGHT(E4840,3)+0,[1]SchLocTable!$A$2:$B$47,2,FALSE)," ")</f>
        <v>Claytor</v>
      </c>
      <c r="B4840" s="431" t="str">
        <f>VLOOKUP(VALUE(D4840),$D$3:F$106,3,FALSE)</f>
        <v>SPED Aides</v>
      </c>
      <c r="C4840" t="s">
        <v>314</v>
      </c>
      <c r="D4840" t="s">
        <v>1348</v>
      </c>
      <c r="E4840" t="s">
        <v>867</v>
      </c>
      <c r="F4840" t="s">
        <v>324</v>
      </c>
      <c r="G4840" t="s">
        <v>319</v>
      </c>
      <c r="H4840" s="502" t="s">
        <v>1246</v>
      </c>
      <c r="I4840" s="415">
        <v>0</v>
      </c>
      <c r="J4840" s="415">
        <v>0</v>
      </c>
      <c r="K4840" s="415">
        <v>0</v>
      </c>
      <c r="L4840" s="415">
        <v>0</v>
      </c>
      <c r="M4840" s="415">
        <v>0</v>
      </c>
      <c r="N4840" s="415">
        <v>0</v>
      </c>
      <c r="O4840" s="415">
        <v>210.4</v>
      </c>
      <c r="P4840" s="415">
        <v>873.97</v>
      </c>
      <c r="Q4840" s="501">
        <f t="shared" si="121"/>
        <v>0</v>
      </c>
    </row>
    <row r="4841" spans="1:17" x14ac:dyDescent="0.3">
      <c r="A4841" s="431" t="str">
        <f>IFERROR(VLOOKUP(RIGHT(E4841,3)+0,[1]SchLocTable!$A$2:$B$47,2,FALSE)," ")</f>
        <v>Claytor</v>
      </c>
      <c r="B4841" s="431" t="str">
        <f>VLOOKUP(VALUE(D4841),$D$3:F$106,3,FALSE)</f>
        <v>SPED Aides</v>
      </c>
      <c r="C4841" t="s">
        <v>314</v>
      </c>
      <c r="D4841" t="s">
        <v>1348</v>
      </c>
      <c r="E4841" t="s">
        <v>867</v>
      </c>
      <c r="F4841" t="s">
        <v>329</v>
      </c>
      <c r="G4841" t="s">
        <v>319</v>
      </c>
      <c r="H4841" s="502" t="s">
        <v>1240</v>
      </c>
      <c r="I4841" s="415">
        <v>0</v>
      </c>
      <c r="J4841" s="415">
        <v>0</v>
      </c>
      <c r="K4841" s="415">
        <v>0</v>
      </c>
      <c r="L4841" s="415">
        <v>0</v>
      </c>
      <c r="M4841" s="415">
        <v>0</v>
      </c>
      <c r="N4841" s="415">
        <v>0</v>
      </c>
      <c r="O4841" s="415">
        <v>2467.37</v>
      </c>
      <c r="P4841" s="415">
        <v>0</v>
      </c>
      <c r="Q4841" s="501">
        <f t="shared" si="121"/>
        <v>0</v>
      </c>
    </row>
    <row r="4842" spans="1:17" x14ac:dyDescent="0.3">
      <c r="A4842" s="431" t="str">
        <f>IFERROR(VLOOKUP(RIGHT(E4842,3)+0,[1]SchLocTable!$A$2:$B$47,2,FALSE)," ")</f>
        <v>Winthrop</v>
      </c>
      <c r="B4842" s="431" t="str">
        <f>VLOOKUP(VALUE(D4842),$D$3:F$106,3,FALSE)</f>
        <v>SPED Aides</v>
      </c>
      <c r="C4842" t="s">
        <v>314</v>
      </c>
      <c r="D4842" t="s">
        <v>1348</v>
      </c>
      <c r="E4842" t="s">
        <v>869</v>
      </c>
      <c r="F4842" t="s">
        <v>329</v>
      </c>
      <c r="G4842" t="s">
        <v>319</v>
      </c>
      <c r="H4842" s="502" t="s">
        <v>1240</v>
      </c>
      <c r="I4842" s="415">
        <v>0</v>
      </c>
      <c r="J4842" s="415">
        <v>0</v>
      </c>
      <c r="K4842" s="415">
        <v>0</v>
      </c>
      <c r="L4842" s="415">
        <v>0</v>
      </c>
      <c r="M4842" s="415">
        <v>0</v>
      </c>
      <c r="N4842" s="415">
        <v>0</v>
      </c>
      <c r="O4842" s="415">
        <v>0</v>
      </c>
      <c r="P4842" s="415">
        <v>2044.76</v>
      </c>
      <c r="Q4842" s="501">
        <f t="shared" si="121"/>
        <v>0</v>
      </c>
    </row>
    <row r="4843" spans="1:17" x14ac:dyDescent="0.3">
      <c r="A4843" s="431" t="str">
        <f>IFERROR(VLOOKUP(RIGHT(E4843,3)+0,[1]SchLocTable!$A$2:$B$47,2,FALSE)," ")</f>
        <v>Multicultural Magnet</v>
      </c>
      <c r="B4843" s="431" t="str">
        <f>VLOOKUP(VALUE(D4843),$D$3:F$106,3,FALSE)</f>
        <v>SPED Aides</v>
      </c>
      <c r="C4843" t="s">
        <v>314</v>
      </c>
      <c r="D4843" t="s">
        <v>1348</v>
      </c>
      <c r="E4843" t="s">
        <v>877</v>
      </c>
      <c r="F4843" t="s">
        <v>360</v>
      </c>
      <c r="G4843" t="s">
        <v>319</v>
      </c>
      <c r="H4843" s="502">
        <v>52920</v>
      </c>
      <c r="I4843" s="415"/>
      <c r="J4843" s="415"/>
      <c r="K4843" s="415"/>
      <c r="L4843" s="415">
        <v>0</v>
      </c>
      <c r="M4843" s="415">
        <v>0</v>
      </c>
      <c r="N4843" s="415">
        <v>125</v>
      </c>
      <c r="O4843" s="415">
        <v>458.35</v>
      </c>
      <c r="P4843" s="415">
        <v>500</v>
      </c>
      <c r="Q4843" s="501">
        <f t="shared" si="121"/>
        <v>0</v>
      </c>
    </row>
    <row r="4844" spans="1:17" x14ac:dyDescent="0.3">
      <c r="A4844" s="431" t="str">
        <f>IFERROR(VLOOKUP(RIGHT(E4844,3)+0,[1]SchLocTable!$A$2:$B$47,2,FALSE)," ")</f>
        <v>Multicultural Magnet</v>
      </c>
      <c r="B4844" s="431" t="str">
        <f>VLOOKUP(VALUE(D4844),$D$3:F$106,3,FALSE)</f>
        <v>SPED Aides</v>
      </c>
      <c r="C4844" t="s">
        <v>314</v>
      </c>
      <c r="D4844" t="s">
        <v>1348</v>
      </c>
      <c r="E4844" t="s">
        <v>877</v>
      </c>
      <c r="F4844" t="s">
        <v>324</v>
      </c>
      <c r="G4844" t="s">
        <v>319</v>
      </c>
      <c r="H4844" s="502">
        <v>52385</v>
      </c>
      <c r="I4844" s="415"/>
      <c r="J4844" s="415"/>
      <c r="K4844" s="415"/>
      <c r="L4844" s="415">
        <v>0</v>
      </c>
      <c r="M4844" s="415">
        <v>0</v>
      </c>
      <c r="N4844" s="415">
        <v>1248.48</v>
      </c>
      <c r="O4844" s="415">
        <v>0</v>
      </c>
      <c r="P4844" s="415">
        <v>0</v>
      </c>
      <c r="Q4844" s="501">
        <f t="shared" si="121"/>
        <v>0</v>
      </c>
    </row>
    <row r="4845" spans="1:17" x14ac:dyDescent="0.3">
      <c r="A4845" s="431" t="str">
        <f>IFERROR(VLOOKUP(RIGHT(E4845,3)+0,[1]SchLocTable!$A$2:$B$47,2,FALSE)," ")</f>
        <v>Multicultural Magnet</v>
      </c>
      <c r="B4845" s="431" t="str">
        <f>VLOOKUP(VALUE(D4845),$D$3:F$106,3,FALSE)</f>
        <v>SPED Aides</v>
      </c>
      <c r="C4845" t="s">
        <v>314</v>
      </c>
      <c r="D4845" t="s">
        <v>1348</v>
      </c>
      <c r="E4845" t="s">
        <v>877</v>
      </c>
      <c r="F4845" t="s">
        <v>329</v>
      </c>
      <c r="G4845" t="s">
        <v>319</v>
      </c>
      <c r="H4845" s="502" t="s">
        <v>1240</v>
      </c>
      <c r="I4845" s="415">
        <v>0</v>
      </c>
      <c r="J4845" s="415">
        <v>0</v>
      </c>
      <c r="K4845" s="415">
        <v>0</v>
      </c>
      <c r="L4845" s="415">
        <v>0</v>
      </c>
      <c r="M4845" s="415">
        <v>0</v>
      </c>
      <c r="N4845" s="415">
        <v>0</v>
      </c>
      <c r="O4845" s="415">
        <v>1455.78</v>
      </c>
      <c r="P4845" s="415">
        <v>0</v>
      </c>
      <c r="Q4845" s="501">
        <f t="shared" si="121"/>
        <v>0</v>
      </c>
    </row>
    <row r="4846" spans="1:17" x14ac:dyDescent="0.3">
      <c r="A4846" s="431" t="str">
        <f>IFERROR(VLOOKUP(RIGHT(E4846,3)+0,[1]SchLocTable!$A$2:$B$47,2,FALSE)," ")</f>
        <v>Central HS</v>
      </c>
      <c r="B4846" s="431" t="str">
        <f>VLOOKUP(VALUE(D4846),$D$3:F$106,3,FALSE)</f>
        <v>SPED Aides</v>
      </c>
      <c r="C4846" t="s">
        <v>314</v>
      </c>
      <c r="D4846" t="s">
        <v>1348</v>
      </c>
      <c r="E4846" t="s">
        <v>879</v>
      </c>
      <c r="F4846" t="s">
        <v>452</v>
      </c>
      <c r="G4846" t="s">
        <v>319</v>
      </c>
      <c r="H4846" s="502">
        <v>51108</v>
      </c>
      <c r="I4846" s="415"/>
      <c r="J4846" s="415"/>
      <c r="K4846" s="415"/>
      <c r="L4846" s="415">
        <v>0</v>
      </c>
      <c r="M4846" s="415">
        <v>0</v>
      </c>
      <c r="N4846" s="415">
        <v>119.38</v>
      </c>
      <c r="O4846" s="415">
        <v>0</v>
      </c>
      <c r="P4846" s="415">
        <v>401.85</v>
      </c>
      <c r="Q4846" s="501">
        <f t="shared" si="121"/>
        <v>0</v>
      </c>
    </row>
    <row r="4847" spans="1:17" x14ac:dyDescent="0.3">
      <c r="A4847" s="431" t="str">
        <f>IFERROR(VLOOKUP(RIGHT(E4847,3)+0,[1]SchLocTable!$A$2:$B$47,2,FALSE)," ")</f>
        <v>Central HS</v>
      </c>
      <c r="B4847" s="431" t="str">
        <f>VLOOKUP(VALUE(D4847),$D$3:F$106,3,FALSE)</f>
        <v>SPED Aides</v>
      </c>
      <c r="C4847" t="s">
        <v>314</v>
      </c>
      <c r="D4847" t="s">
        <v>1348</v>
      </c>
      <c r="E4847" t="s">
        <v>879</v>
      </c>
      <c r="F4847" t="s">
        <v>427</v>
      </c>
      <c r="G4847" t="s">
        <v>319</v>
      </c>
      <c r="H4847" s="502">
        <v>51106</v>
      </c>
      <c r="I4847" s="415"/>
      <c r="J4847" s="415"/>
      <c r="K4847" s="415"/>
      <c r="L4847" s="415">
        <v>0</v>
      </c>
      <c r="M4847" s="415">
        <v>0</v>
      </c>
      <c r="N4847" s="415">
        <v>95.49</v>
      </c>
      <c r="O4847" s="415">
        <v>247.12</v>
      </c>
      <c r="P4847" s="415">
        <v>231.68</v>
      </c>
      <c r="Q4847" s="501">
        <f t="shared" si="121"/>
        <v>0</v>
      </c>
    </row>
    <row r="4848" spans="1:17" x14ac:dyDescent="0.3">
      <c r="A4848" s="431" t="str">
        <f>IFERROR(VLOOKUP(RIGHT(E4848,3)+0,[1]SchLocTable!$A$2:$B$47,2,FALSE)," ")</f>
        <v>Central HS</v>
      </c>
      <c r="B4848" s="431" t="str">
        <f>VLOOKUP(VALUE(D4848),$D$3:F$106,3,FALSE)</f>
        <v>SPED Aides</v>
      </c>
      <c r="C4848" t="s">
        <v>314</v>
      </c>
      <c r="D4848" t="s">
        <v>1348</v>
      </c>
      <c r="E4848" t="s">
        <v>879</v>
      </c>
      <c r="F4848" t="s">
        <v>533</v>
      </c>
      <c r="G4848" t="s">
        <v>319</v>
      </c>
      <c r="H4848" s="502">
        <v>52397</v>
      </c>
      <c r="I4848" s="415"/>
      <c r="J4848" s="415"/>
      <c r="K4848" s="415"/>
      <c r="L4848" s="415">
        <v>0</v>
      </c>
      <c r="M4848" s="415">
        <v>0</v>
      </c>
      <c r="N4848" s="415">
        <v>2000</v>
      </c>
      <c r="O4848" s="415">
        <v>0</v>
      </c>
      <c r="P4848" s="415">
        <v>0</v>
      </c>
      <c r="Q4848" s="501">
        <f t="shared" si="121"/>
        <v>0</v>
      </c>
    </row>
    <row r="4849" spans="1:17" x14ac:dyDescent="0.3">
      <c r="A4849" s="431" t="str">
        <f>IFERROR(VLOOKUP(RIGHT(E4849,3)+0,[1]SchLocTable!$A$2:$B$47,2,FALSE)," ")</f>
        <v>Central HS</v>
      </c>
      <c r="B4849" s="431" t="str">
        <f>VLOOKUP(VALUE(D4849),$D$3:F$106,3,FALSE)</f>
        <v>Hearing</v>
      </c>
      <c r="C4849" t="s">
        <v>314</v>
      </c>
      <c r="D4849" t="s">
        <v>1349</v>
      </c>
      <c r="E4849" t="s">
        <v>1350</v>
      </c>
      <c r="F4849" t="s">
        <v>316</v>
      </c>
      <c r="G4849" t="s">
        <v>319</v>
      </c>
      <c r="H4849" s="502">
        <v>51000</v>
      </c>
      <c r="I4849" s="415"/>
      <c r="J4849" s="415"/>
      <c r="K4849" s="415"/>
      <c r="L4849" s="415">
        <v>0</v>
      </c>
      <c r="M4849" s="415">
        <v>0</v>
      </c>
      <c r="N4849" s="415">
        <v>56169.36</v>
      </c>
      <c r="O4849" s="415">
        <v>96106.92</v>
      </c>
      <c r="P4849" s="415">
        <v>94593.98</v>
      </c>
      <c r="Q4849" s="501">
        <f t="shared" si="121"/>
        <v>0</v>
      </c>
    </row>
    <row r="4850" spans="1:17" x14ac:dyDescent="0.3">
      <c r="A4850" s="431" t="str">
        <f>IFERROR(VLOOKUP(RIGHT(E4850,3)+0,[1]SchLocTable!$A$2:$B$47,2,FALSE)," ")</f>
        <v>Central HS</v>
      </c>
      <c r="B4850" s="431" t="str">
        <f>VLOOKUP(VALUE(D4850),$D$3:F$106,3,FALSE)</f>
        <v>Hearing</v>
      </c>
      <c r="C4850" t="s">
        <v>314</v>
      </c>
      <c r="D4850" t="s">
        <v>1349</v>
      </c>
      <c r="E4850" t="s">
        <v>1350</v>
      </c>
      <c r="F4850" t="s">
        <v>321</v>
      </c>
      <c r="G4850" t="s">
        <v>319</v>
      </c>
      <c r="H4850" s="502" t="s">
        <v>1248</v>
      </c>
      <c r="I4850" s="415">
        <v>0</v>
      </c>
      <c r="J4850" s="415">
        <v>0</v>
      </c>
      <c r="K4850" s="415">
        <v>0</v>
      </c>
      <c r="L4850" s="415">
        <v>0</v>
      </c>
      <c r="M4850" s="415">
        <v>0</v>
      </c>
      <c r="N4850" s="415">
        <v>0</v>
      </c>
      <c r="O4850" s="415">
        <v>9817.68</v>
      </c>
      <c r="P4850" s="415">
        <v>9245.67</v>
      </c>
      <c r="Q4850" s="501">
        <f t="shared" si="121"/>
        <v>0</v>
      </c>
    </row>
    <row r="4851" spans="1:17" x14ac:dyDescent="0.3">
      <c r="A4851" s="431" t="str">
        <f>IFERROR(VLOOKUP(RIGHT(E4851,3)+0,[1]SchLocTable!$A$2:$B$47,2,FALSE)," ")</f>
        <v>Central HS</v>
      </c>
      <c r="B4851" s="431" t="str">
        <f>VLOOKUP(VALUE(D4851),$D$3:F$106,3,FALSE)</f>
        <v>Hearing</v>
      </c>
      <c r="C4851" t="s">
        <v>314</v>
      </c>
      <c r="D4851" t="s">
        <v>1349</v>
      </c>
      <c r="E4851" t="s">
        <v>1350</v>
      </c>
      <c r="F4851" t="s">
        <v>318</v>
      </c>
      <c r="G4851" t="s">
        <v>319</v>
      </c>
      <c r="H4851" s="502" t="s">
        <v>1239</v>
      </c>
      <c r="I4851" s="415">
        <v>0</v>
      </c>
      <c r="J4851" s="415">
        <v>0</v>
      </c>
      <c r="K4851" s="415">
        <v>0</v>
      </c>
      <c r="L4851" s="415">
        <v>0</v>
      </c>
      <c r="M4851" s="415">
        <v>0</v>
      </c>
      <c r="N4851" s="415">
        <v>0</v>
      </c>
      <c r="O4851" s="415">
        <v>2600</v>
      </c>
      <c r="P4851" s="415">
        <v>1300</v>
      </c>
      <c r="Q4851" s="501">
        <f t="shared" si="121"/>
        <v>0</v>
      </c>
    </row>
    <row r="4852" spans="1:17" x14ac:dyDescent="0.3">
      <c r="A4852" s="431" t="str">
        <f>IFERROR(VLOOKUP(RIGHT(E4852,3)+0,[1]SchLocTable!$A$2:$B$47,2,FALSE)," ")</f>
        <v>Central HS</v>
      </c>
      <c r="B4852" s="431" t="str">
        <f>VLOOKUP(VALUE(D4852),$D$3:F$106,3,FALSE)</f>
        <v>Hearing</v>
      </c>
      <c r="C4852" t="s">
        <v>314</v>
      </c>
      <c r="D4852" t="s">
        <v>1349</v>
      </c>
      <c r="E4852" t="s">
        <v>1350</v>
      </c>
      <c r="F4852" t="s">
        <v>320</v>
      </c>
      <c r="G4852" t="s">
        <v>319</v>
      </c>
      <c r="H4852" s="502">
        <v>52360</v>
      </c>
      <c r="I4852" s="415"/>
      <c r="J4852" s="415"/>
      <c r="K4852" s="415"/>
      <c r="L4852" s="415">
        <v>0</v>
      </c>
      <c r="M4852" s="415">
        <v>0</v>
      </c>
      <c r="N4852" s="415">
        <v>814.45</v>
      </c>
      <c r="O4852" s="415">
        <v>0</v>
      </c>
      <c r="P4852" s="415">
        <v>0</v>
      </c>
      <c r="Q4852" s="501">
        <f t="shared" si="121"/>
        <v>0</v>
      </c>
    </row>
    <row r="4853" spans="1:17" x14ac:dyDescent="0.3">
      <c r="A4853" s="431" t="str">
        <f>IFERROR(VLOOKUP(RIGHT(E4853,3)+0,[1]SchLocTable!$A$2:$B$47,2,FALSE)," ")</f>
        <v>Central HS</v>
      </c>
      <c r="B4853" s="431" t="str">
        <f>VLOOKUP(VALUE(D4853),$D$3:F$106,3,FALSE)</f>
        <v>Hearing</v>
      </c>
      <c r="C4853" t="s">
        <v>314</v>
      </c>
      <c r="D4853" t="s">
        <v>1349</v>
      </c>
      <c r="E4853" t="s">
        <v>1350</v>
      </c>
      <c r="F4853" t="s">
        <v>329</v>
      </c>
      <c r="G4853" t="s">
        <v>319</v>
      </c>
      <c r="H4853" s="502" t="s">
        <v>1240</v>
      </c>
      <c r="I4853" s="415">
        <v>0</v>
      </c>
      <c r="J4853" s="415">
        <v>0</v>
      </c>
      <c r="K4853" s="415">
        <v>0</v>
      </c>
      <c r="L4853" s="415">
        <v>0</v>
      </c>
      <c r="M4853" s="415">
        <v>0</v>
      </c>
      <c r="N4853" s="415">
        <v>0</v>
      </c>
      <c r="O4853" s="415">
        <v>11375</v>
      </c>
      <c r="P4853" s="415">
        <v>0</v>
      </c>
      <c r="Q4853" s="501">
        <f t="shared" si="121"/>
        <v>0</v>
      </c>
    </row>
    <row r="4854" spans="1:17" x14ac:dyDescent="0.3">
      <c r="A4854" s="431" t="str">
        <f>IFERROR(VLOOKUP(RIGHT(E4854,3)+0,[1]SchLocTable!$A$2:$B$47,2,FALSE)," ")</f>
        <v xml:space="preserve"> </v>
      </c>
      <c r="B4854" s="431" t="str">
        <f>VLOOKUP(VALUE(D4854),$D$3:F$106,3,FALSE)</f>
        <v>Aquaculture Support Staff</v>
      </c>
      <c r="C4854" t="s">
        <v>314</v>
      </c>
      <c r="D4854" t="s">
        <v>1351</v>
      </c>
      <c r="E4854" t="s">
        <v>903</v>
      </c>
      <c r="F4854" t="s">
        <v>419</v>
      </c>
      <c r="G4854" t="s">
        <v>319</v>
      </c>
      <c r="H4854" s="502">
        <v>51318</v>
      </c>
      <c r="I4854" s="415"/>
      <c r="J4854" s="415"/>
      <c r="K4854" s="415"/>
      <c r="L4854" s="415">
        <v>0</v>
      </c>
      <c r="M4854" s="415">
        <v>0</v>
      </c>
      <c r="N4854" s="415">
        <v>210.09</v>
      </c>
      <c r="O4854" s="415">
        <v>1110.46</v>
      </c>
      <c r="P4854" s="415">
        <v>0</v>
      </c>
      <c r="Q4854" s="501">
        <f t="shared" si="121"/>
        <v>0</v>
      </c>
    </row>
    <row r="4855" spans="1:17" x14ac:dyDescent="0.3">
      <c r="A4855" s="431" t="str">
        <f>IFERROR(VLOOKUP(RIGHT(E4855,3)+0,[1]SchLocTable!$A$2:$B$47,2,FALSE)," ")</f>
        <v xml:space="preserve"> </v>
      </c>
      <c r="B4855" s="431" t="str">
        <f>VLOOKUP(VALUE(D4855),$D$3:F$106,3,FALSE)</f>
        <v>Aquaculture Support Staff</v>
      </c>
      <c r="C4855" t="s">
        <v>314</v>
      </c>
      <c r="D4855" t="s">
        <v>1351</v>
      </c>
      <c r="E4855" t="s">
        <v>903</v>
      </c>
      <c r="F4855" t="s">
        <v>329</v>
      </c>
      <c r="G4855" t="s">
        <v>319</v>
      </c>
      <c r="H4855" s="502">
        <v>51154</v>
      </c>
      <c r="I4855" s="415"/>
      <c r="J4855" s="415"/>
      <c r="K4855" s="415"/>
      <c r="L4855" s="415">
        <v>0</v>
      </c>
      <c r="M4855" s="415">
        <v>0</v>
      </c>
      <c r="N4855" s="415">
        <v>8660.83</v>
      </c>
      <c r="O4855" s="415">
        <v>20057.68</v>
      </c>
      <c r="P4855" s="415">
        <v>0</v>
      </c>
      <c r="Q4855" s="501">
        <f t="shared" si="121"/>
        <v>0</v>
      </c>
    </row>
    <row r="4856" spans="1:17" x14ac:dyDescent="0.3">
      <c r="A4856" s="431" t="str">
        <f>IFERROR(VLOOKUP(RIGHT(E4856,3)+0,[1]SchLocTable!$A$2:$B$47,2,FALSE)," ")</f>
        <v xml:space="preserve"> </v>
      </c>
      <c r="B4856" s="431" t="str">
        <f>VLOOKUP(VALUE(D4856),$D$3:F$106,3,FALSE)</f>
        <v>Aquaculture Support Staff</v>
      </c>
      <c r="C4856" t="s">
        <v>314</v>
      </c>
      <c r="D4856" t="s">
        <v>1351</v>
      </c>
      <c r="E4856" t="s">
        <v>903</v>
      </c>
      <c r="F4856" t="s">
        <v>418</v>
      </c>
      <c r="G4856" t="s">
        <v>319</v>
      </c>
      <c r="H4856" s="502">
        <v>51314</v>
      </c>
      <c r="I4856" s="415"/>
      <c r="J4856" s="415"/>
      <c r="K4856" s="415"/>
      <c r="L4856" s="415">
        <v>0</v>
      </c>
      <c r="M4856" s="415">
        <v>0</v>
      </c>
      <c r="N4856" s="415">
        <v>3390.44</v>
      </c>
      <c r="O4856" s="415">
        <v>0</v>
      </c>
      <c r="P4856" s="415">
        <v>0</v>
      </c>
      <c r="Q4856" s="501">
        <f t="shared" si="121"/>
        <v>0</v>
      </c>
    </row>
    <row r="4857" spans="1:17" x14ac:dyDescent="0.3">
      <c r="A4857" s="431" t="str">
        <f>IFERROR(VLOOKUP(RIGHT(E4857,3)+0,[1]SchLocTable!$A$2:$B$47,2,FALSE)," ")</f>
        <v xml:space="preserve"> </v>
      </c>
      <c r="B4857" s="431" t="str">
        <f>VLOOKUP(VALUE(D4857),$D$3:F$106,3,FALSE)</f>
        <v>Aquaculture Support Staff</v>
      </c>
      <c r="C4857" t="s">
        <v>314</v>
      </c>
      <c r="D4857" t="s">
        <v>1351</v>
      </c>
      <c r="E4857" t="s">
        <v>903</v>
      </c>
      <c r="F4857" t="s">
        <v>356</v>
      </c>
      <c r="G4857" t="s">
        <v>319</v>
      </c>
      <c r="H4857" s="502" t="s">
        <v>1241</v>
      </c>
      <c r="I4857" s="415">
        <v>0</v>
      </c>
      <c r="J4857" s="415">
        <v>0</v>
      </c>
      <c r="K4857" s="415">
        <v>0</v>
      </c>
      <c r="L4857" s="415">
        <v>0</v>
      </c>
      <c r="M4857" s="415">
        <v>0</v>
      </c>
      <c r="N4857" s="415">
        <v>0</v>
      </c>
      <c r="O4857" s="415">
        <v>914.17</v>
      </c>
      <c r="P4857" s="415">
        <v>914.17</v>
      </c>
      <c r="Q4857" s="501">
        <f t="shared" si="121"/>
        <v>0</v>
      </c>
    </row>
    <row r="4858" spans="1:17" x14ac:dyDescent="0.3">
      <c r="A4858" s="431" t="str">
        <f>IFERROR(VLOOKUP(RIGHT(E4858,3)+0,[1]SchLocTable!$A$2:$B$47,2,FALSE)," ")</f>
        <v xml:space="preserve"> </v>
      </c>
      <c r="B4858" s="431" t="str">
        <f>VLOOKUP(VALUE(D4858),$D$3:F$106,3,FALSE)</f>
        <v>Intramurals</v>
      </c>
      <c r="C4858" t="s">
        <v>314</v>
      </c>
      <c r="D4858" t="s">
        <v>1404</v>
      </c>
      <c r="E4858" t="s">
        <v>913</v>
      </c>
      <c r="F4858" t="s">
        <v>911</v>
      </c>
      <c r="G4858" t="s">
        <v>319</v>
      </c>
      <c r="H4858" s="502" t="s">
        <v>1405</v>
      </c>
      <c r="I4858" s="415">
        <v>0</v>
      </c>
      <c r="J4858" s="415">
        <v>0</v>
      </c>
      <c r="K4858" s="415">
        <v>0</v>
      </c>
      <c r="L4858" s="415">
        <v>0</v>
      </c>
      <c r="M4858" s="415">
        <v>0</v>
      </c>
      <c r="N4858" s="415">
        <v>0</v>
      </c>
      <c r="O4858" s="415">
        <v>0</v>
      </c>
      <c r="P4858" s="415">
        <v>18764.88</v>
      </c>
      <c r="Q4858" s="501">
        <f t="shared" si="121"/>
        <v>0</v>
      </c>
    </row>
    <row r="4859" spans="1:17" x14ac:dyDescent="0.3">
      <c r="A4859" s="431" t="str">
        <f>IFERROR(VLOOKUP(RIGHT(E4859,3)+0,[1]SchLocTable!$A$2:$B$47,2,FALSE)," ")</f>
        <v xml:space="preserve"> </v>
      </c>
      <c r="B4859" s="431" t="str">
        <f>VLOOKUP(VALUE(D4859),$D$3:F$106,3,FALSE)</f>
        <v>Intramurals</v>
      </c>
      <c r="C4859" t="s">
        <v>314</v>
      </c>
      <c r="D4859" t="s">
        <v>1404</v>
      </c>
      <c r="E4859" t="s">
        <v>913</v>
      </c>
      <c r="F4859" t="s">
        <v>392</v>
      </c>
      <c r="G4859" t="s">
        <v>319</v>
      </c>
      <c r="H4859" s="502" t="s">
        <v>1247</v>
      </c>
      <c r="I4859" s="415">
        <v>0</v>
      </c>
      <c r="J4859" s="415">
        <v>0</v>
      </c>
      <c r="K4859" s="415">
        <v>0</v>
      </c>
      <c r="L4859" s="415">
        <v>0</v>
      </c>
      <c r="M4859" s="415">
        <v>0</v>
      </c>
      <c r="N4859" s="415">
        <v>0</v>
      </c>
      <c r="O4859" s="415">
        <v>0</v>
      </c>
      <c r="P4859" s="415">
        <v>2657.95</v>
      </c>
      <c r="Q4859" s="501">
        <f t="shared" si="121"/>
        <v>0</v>
      </c>
    </row>
    <row r="4860" spans="1:17" x14ac:dyDescent="0.3">
      <c r="A4860" s="431" t="str">
        <f>IFERROR(VLOOKUP(RIGHT(E4860,3)+0,[1]SchLocTable!$A$2:$B$47,2,FALSE)," ")</f>
        <v xml:space="preserve"> </v>
      </c>
      <c r="B4860" s="431" t="str">
        <f>VLOOKUP(VALUE(D4860),$D$3:F$106,3,FALSE)</f>
        <v>Intramurals</v>
      </c>
      <c r="C4860" t="s">
        <v>314</v>
      </c>
      <c r="D4860" t="s">
        <v>1404</v>
      </c>
      <c r="E4860" t="s">
        <v>913</v>
      </c>
      <c r="F4860" t="s">
        <v>452</v>
      </c>
      <c r="G4860" t="s">
        <v>319</v>
      </c>
      <c r="H4860" s="502" t="s">
        <v>1235</v>
      </c>
      <c r="I4860" s="415">
        <v>0</v>
      </c>
      <c r="J4860" s="415">
        <v>0</v>
      </c>
      <c r="K4860" s="415">
        <v>0</v>
      </c>
      <c r="L4860" s="415">
        <v>0</v>
      </c>
      <c r="M4860" s="415">
        <v>0</v>
      </c>
      <c r="N4860" s="415">
        <v>0</v>
      </c>
      <c r="O4860" s="415">
        <v>0</v>
      </c>
      <c r="P4860" s="415">
        <v>11545.3</v>
      </c>
      <c r="Q4860" s="501">
        <f t="shared" si="121"/>
        <v>0</v>
      </c>
    </row>
    <row r="4861" spans="1:17" x14ac:dyDescent="0.3">
      <c r="A4861" s="431" t="str">
        <f>IFERROR(VLOOKUP(RIGHT(E4861,3)+0,[1]SchLocTable!$A$2:$B$47,2,FALSE)," ")</f>
        <v xml:space="preserve"> </v>
      </c>
      <c r="B4861" s="431" t="str">
        <f>VLOOKUP(VALUE(D4861),$D$3:F$106,3,FALSE)</f>
        <v>Intramurals</v>
      </c>
      <c r="C4861" t="s">
        <v>314</v>
      </c>
      <c r="D4861" t="s">
        <v>1404</v>
      </c>
      <c r="E4861" t="s">
        <v>913</v>
      </c>
      <c r="F4861" t="s">
        <v>483</v>
      </c>
      <c r="G4861" t="s">
        <v>319</v>
      </c>
      <c r="H4861" s="502" t="s">
        <v>1237</v>
      </c>
      <c r="I4861" s="415">
        <v>0</v>
      </c>
      <c r="J4861" s="415">
        <v>0</v>
      </c>
      <c r="K4861" s="415">
        <v>0</v>
      </c>
      <c r="L4861" s="415">
        <v>0</v>
      </c>
      <c r="M4861" s="415">
        <v>0</v>
      </c>
      <c r="N4861" s="415">
        <v>0</v>
      </c>
      <c r="O4861" s="415">
        <v>0</v>
      </c>
      <c r="P4861" s="415">
        <v>2132.46</v>
      </c>
      <c r="Q4861" s="501">
        <f t="shared" si="121"/>
        <v>0</v>
      </c>
    </row>
    <row r="4862" spans="1:17" x14ac:dyDescent="0.3">
      <c r="A4862" s="431" t="str">
        <f>IFERROR(VLOOKUP(RIGHT(E4862,3)+0,[1]SchLocTable!$A$2:$B$47,2,FALSE)," ")</f>
        <v xml:space="preserve"> </v>
      </c>
      <c r="B4862" s="431" t="str">
        <f>VLOOKUP(VALUE(D4862),$D$3:F$106,3,FALSE)</f>
        <v>Adult Education</v>
      </c>
      <c r="C4862" t="s">
        <v>314</v>
      </c>
      <c r="D4862" t="s">
        <v>1406</v>
      </c>
      <c r="E4862" t="s">
        <v>915</v>
      </c>
      <c r="F4862" t="s">
        <v>1207</v>
      </c>
      <c r="G4862" t="s">
        <v>319</v>
      </c>
      <c r="H4862" s="502" t="s">
        <v>1407</v>
      </c>
      <c r="I4862" s="415">
        <v>0</v>
      </c>
      <c r="J4862" s="415">
        <v>0</v>
      </c>
      <c r="K4862" s="415">
        <v>0</v>
      </c>
      <c r="L4862" s="415">
        <v>0</v>
      </c>
      <c r="M4862" s="415">
        <v>0</v>
      </c>
      <c r="N4862" s="415">
        <v>0</v>
      </c>
      <c r="O4862" s="415">
        <v>0</v>
      </c>
      <c r="P4862" s="415">
        <v>10834.34</v>
      </c>
      <c r="Q4862" s="501">
        <f t="shared" si="121"/>
        <v>0</v>
      </c>
    </row>
    <row r="4863" spans="1:17" x14ac:dyDescent="0.3">
      <c r="A4863" s="431" t="str">
        <f>IFERROR(VLOOKUP(RIGHT(E4863,3)+0,[1]SchLocTable!$A$2:$B$47,2,FALSE)," ")</f>
        <v xml:space="preserve"> </v>
      </c>
      <c r="B4863" s="431" t="str">
        <f>VLOOKUP(VALUE(D4863),$D$3:F$106,3,FALSE)</f>
        <v>Adult Education</v>
      </c>
      <c r="C4863" t="s">
        <v>314</v>
      </c>
      <c r="D4863" t="s">
        <v>1406</v>
      </c>
      <c r="E4863" t="s">
        <v>915</v>
      </c>
      <c r="F4863" t="s">
        <v>1208</v>
      </c>
      <c r="G4863" t="s">
        <v>319</v>
      </c>
      <c r="H4863" s="502" t="s">
        <v>1391</v>
      </c>
      <c r="I4863" s="415">
        <v>0</v>
      </c>
      <c r="J4863" s="415">
        <v>0</v>
      </c>
      <c r="K4863" s="415">
        <v>0</v>
      </c>
      <c r="L4863" s="415">
        <v>0</v>
      </c>
      <c r="M4863" s="415">
        <v>0</v>
      </c>
      <c r="N4863" s="415">
        <v>0</v>
      </c>
      <c r="O4863" s="415">
        <v>0</v>
      </c>
      <c r="P4863" s="415">
        <v>5361.05</v>
      </c>
      <c r="Q4863" s="501">
        <f t="shared" ref="Q4863:Q4926" si="122">J4863-I4863</f>
        <v>0</v>
      </c>
    </row>
    <row r="4864" spans="1:17" x14ac:dyDescent="0.3">
      <c r="A4864" s="431" t="str">
        <f>IFERROR(VLOOKUP(RIGHT(E4864,3)+0,[1]SchLocTable!$A$2:$B$47,2,FALSE)," ")</f>
        <v xml:space="preserve"> </v>
      </c>
      <c r="B4864" s="431" t="str">
        <f>VLOOKUP(VALUE(D4864),$D$3:F$106,3,FALSE)</f>
        <v>Adult Education</v>
      </c>
      <c r="C4864" t="s">
        <v>314</v>
      </c>
      <c r="D4864" t="s">
        <v>1406</v>
      </c>
      <c r="E4864" t="s">
        <v>915</v>
      </c>
      <c r="F4864" t="s">
        <v>912</v>
      </c>
      <c r="G4864" t="s">
        <v>319</v>
      </c>
      <c r="H4864" s="502" t="s">
        <v>1408</v>
      </c>
      <c r="I4864" s="415">
        <v>0</v>
      </c>
      <c r="J4864" s="415">
        <v>0</v>
      </c>
      <c r="K4864" s="415">
        <v>0</v>
      </c>
      <c r="L4864" s="415">
        <v>0</v>
      </c>
      <c r="M4864" s="415">
        <v>0</v>
      </c>
      <c r="N4864" s="415">
        <v>0</v>
      </c>
      <c r="O4864" s="415">
        <v>0</v>
      </c>
      <c r="P4864" s="415">
        <v>1294.31</v>
      </c>
      <c r="Q4864" s="501">
        <f t="shared" si="122"/>
        <v>0</v>
      </c>
    </row>
    <row r="4865" spans="1:17" x14ac:dyDescent="0.3">
      <c r="A4865" s="431" t="str">
        <f>IFERROR(VLOOKUP(RIGHT(E4865,3)+0,[1]SchLocTable!$A$2:$B$47,2,FALSE)," ")</f>
        <v xml:space="preserve"> </v>
      </c>
      <c r="B4865" s="431" t="str">
        <f>VLOOKUP(VALUE(D4865),$D$3:F$106,3,FALSE)</f>
        <v>Adult Ed Security</v>
      </c>
      <c r="C4865" t="s">
        <v>314</v>
      </c>
      <c r="D4865" t="s">
        <v>1423</v>
      </c>
      <c r="E4865" t="s">
        <v>932</v>
      </c>
      <c r="F4865" t="s">
        <v>427</v>
      </c>
      <c r="G4865" t="s">
        <v>319</v>
      </c>
      <c r="H4865" s="502" t="s">
        <v>1234</v>
      </c>
      <c r="I4865" s="415">
        <v>0</v>
      </c>
      <c r="J4865" s="415">
        <v>0</v>
      </c>
      <c r="K4865" s="415">
        <v>0</v>
      </c>
      <c r="L4865" s="415">
        <v>0</v>
      </c>
      <c r="M4865" s="415">
        <v>0</v>
      </c>
      <c r="N4865" s="415">
        <v>0</v>
      </c>
      <c r="O4865" s="415">
        <v>0</v>
      </c>
      <c r="P4865" s="415">
        <v>77.16</v>
      </c>
      <c r="Q4865" s="501">
        <f t="shared" si="122"/>
        <v>0</v>
      </c>
    </row>
    <row r="4866" spans="1:17" x14ac:dyDescent="0.3">
      <c r="A4866" s="431" t="str">
        <f>IFERROR(VLOOKUP(RIGHT(E4866,3)+0,[1]SchLocTable!$A$2:$B$47,2,FALSE)," ")</f>
        <v xml:space="preserve"> </v>
      </c>
      <c r="B4866" s="431" t="str">
        <f>VLOOKUP(VALUE(D4866),$D$3:F$106,3,FALSE)</f>
        <v>Fringes</v>
      </c>
      <c r="C4866" t="s">
        <v>314</v>
      </c>
      <c r="D4866" t="s">
        <v>1409</v>
      </c>
      <c r="E4866" t="s">
        <v>935</v>
      </c>
      <c r="F4866" t="s">
        <v>1410</v>
      </c>
      <c r="G4866" t="s">
        <v>319</v>
      </c>
      <c r="H4866" s="502" t="s">
        <v>1411</v>
      </c>
      <c r="I4866" s="415">
        <v>0</v>
      </c>
      <c r="J4866" s="415">
        <v>0</v>
      </c>
      <c r="K4866" s="415">
        <v>0</v>
      </c>
      <c r="L4866" s="415">
        <v>0</v>
      </c>
      <c r="M4866" s="415">
        <v>0</v>
      </c>
      <c r="N4866" s="415">
        <v>0</v>
      </c>
      <c r="O4866" s="415">
        <v>0</v>
      </c>
      <c r="P4866" s="415">
        <v>10752970.17</v>
      </c>
      <c r="Q4866" s="501">
        <f t="shared" si="122"/>
        <v>0</v>
      </c>
    </row>
    <row r="4867" spans="1:17" x14ac:dyDescent="0.3">
      <c r="A4867" s="431" t="str">
        <f>IFERROR(VLOOKUP(RIGHT(E4867,3)+0,[1]SchLocTable!$A$2:$B$47,2,FALSE)," ")</f>
        <v xml:space="preserve"> </v>
      </c>
      <c r="B4867" s="431" t="str">
        <f>VLOOKUP(VALUE(D4867),$D$3:F$106,3,FALSE)</f>
        <v>Social Workers</v>
      </c>
      <c r="C4867" t="s">
        <v>314</v>
      </c>
      <c r="D4867" t="s">
        <v>1352</v>
      </c>
      <c r="E4867" t="s">
        <v>952</v>
      </c>
      <c r="F4867" t="s">
        <v>533</v>
      </c>
      <c r="G4867" t="s">
        <v>319</v>
      </c>
      <c r="H4867" s="502">
        <v>52397</v>
      </c>
      <c r="I4867" s="415"/>
      <c r="J4867" s="415"/>
      <c r="K4867" s="415"/>
      <c r="L4867" s="415">
        <v>0</v>
      </c>
      <c r="M4867" s="415">
        <v>0</v>
      </c>
      <c r="N4867" s="415">
        <v>144</v>
      </c>
      <c r="O4867" s="415">
        <v>0</v>
      </c>
      <c r="P4867" s="415">
        <v>0</v>
      </c>
      <c r="Q4867" s="501">
        <f t="shared" si="122"/>
        <v>0</v>
      </c>
    </row>
    <row r="4868" spans="1:17" x14ac:dyDescent="0.3">
      <c r="A4868" s="431" t="str">
        <f>IFERROR(VLOOKUP(RIGHT(E4868,3)+0,[1]SchLocTable!$A$2:$B$47,2,FALSE)," ")</f>
        <v xml:space="preserve"> </v>
      </c>
      <c r="B4868" s="431" t="str">
        <f>VLOOKUP(VALUE(D4868),$D$3:F$106,3,FALSE)</f>
        <v>Social Workers</v>
      </c>
      <c r="C4868" t="s">
        <v>314</v>
      </c>
      <c r="D4868" t="s">
        <v>1352</v>
      </c>
      <c r="E4868" t="s">
        <v>952</v>
      </c>
      <c r="F4868" t="s">
        <v>329</v>
      </c>
      <c r="G4868" t="s">
        <v>319</v>
      </c>
      <c r="H4868" s="502" t="s">
        <v>1240</v>
      </c>
      <c r="I4868" s="415">
        <v>0</v>
      </c>
      <c r="J4868" s="415">
        <v>0</v>
      </c>
      <c r="K4868" s="415">
        <v>0</v>
      </c>
      <c r="L4868" s="415">
        <v>0</v>
      </c>
      <c r="M4868" s="415">
        <v>0</v>
      </c>
      <c r="N4868" s="415">
        <v>0</v>
      </c>
      <c r="O4868" s="415">
        <v>11375</v>
      </c>
      <c r="P4868" s="415">
        <v>0</v>
      </c>
      <c r="Q4868" s="501">
        <f t="shared" si="122"/>
        <v>0</v>
      </c>
    </row>
    <row r="4869" spans="1:17" x14ac:dyDescent="0.3">
      <c r="A4869" s="431" t="str">
        <f>IFERROR(VLOOKUP(RIGHT(E4869,3)+0,[1]SchLocTable!$A$2:$B$47,2,FALSE)," ")</f>
        <v>Barnum</v>
      </c>
      <c r="B4869" s="431" t="str">
        <f>VLOOKUP(VALUE(D4869),$D$3:F$106,3,FALSE)</f>
        <v>Social Workers</v>
      </c>
      <c r="C4869" t="s">
        <v>314</v>
      </c>
      <c r="D4869" t="s">
        <v>1352</v>
      </c>
      <c r="E4869" t="s">
        <v>953</v>
      </c>
      <c r="F4869" t="s">
        <v>560</v>
      </c>
      <c r="G4869" t="s">
        <v>319</v>
      </c>
      <c r="H4869" s="502">
        <v>51404</v>
      </c>
      <c r="I4869" s="415"/>
      <c r="J4869" s="415"/>
      <c r="K4869" s="415"/>
      <c r="L4869" s="415">
        <v>0</v>
      </c>
      <c r="M4869" s="415">
        <v>0</v>
      </c>
      <c r="N4869" s="415">
        <v>250</v>
      </c>
      <c r="O4869" s="415">
        <v>0</v>
      </c>
      <c r="P4869" s="415">
        <v>0</v>
      </c>
      <c r="Q4869" s="501">
        <f t="shared" si="122"/>
        <v>0</v>
      </c>
    </row>
    <row r="4870" spans="1:17" x14ac:dyDescent="0.3">
      <c r="A4870" s="431" t="str">
        <f>IFERROR(VLOOKUP(RIGHT(E4870,3)+0,[1]SchLocTable!$A$2:$B$47,2,FALSE)," ")</f>
        <v>Zoo Science HS</v>
      </c>
      <c r="B4870" s="431" t="str">
        <f>VLOOKUP(VALUE(D4870),$D$3:F$106,3,FALSE)</f>
        <v>Social Workers</v>
      </c>
      <c r="C4870" t="s">
        <v>314</v>
      </c>
      <c r="D4870" t="s">
        <v>1352</v>
      </c>
      <c r="E4870" t="s">
        <v>958</v>
      </c>
      <c r="F4870" t="s">
        <v>318</v>
      </c>
      <c r="G4870" t="s">
        <v>319</v>
      </c>
      <c r="H4870" s="502" t="s">
        <v>1239</v>
      </c>
      <c r="I4870" s="415">
        <v>0</v>
      </c>
      <c r="J4870" s="415">
        <v>0</v>
      </c>
      <c r="K4870" s="415">
        <v>0</v>
      </c>
      <c r="L4870" s="415">
        <v>0</v>
      </c>
      <c r="M4870" s="415">
        <v>0</v>
      </c>
      <c r="N4870" s="415">
        <v>0</v>
      </c>
      <c r="O4870" s="415">
        <v>0</v>
      </c>
      <c r="P4870" s="415">
        <v>2200</v>
      </c>
      <c r="Q4870" s="501">
        <f t="shared" si="122"/>
        <v>0</v>
      </c>
    </row>
    <row r="4871" spans="1:17" x14ac:dyDescent="0.3">
      <c r="A4871" s="431" t="str">
        <f>IFERROR(VLOOKUP(RIGHT(E4871,3)+0,[1]SchLocTable!$A$2:$B$47,2,FALSE)," ")</f>
        <v>Zoo Science HS</v>
      </c>
      <c r="B4871" s="431" t="str">
        <f>VLOOKUP(VALUE(D4871),$D$3:F$106,3,FALSE)</f>
        <v>Social Workers</v>
      </c>
      <c r="C4871" t="s">
        <v>314</v>
      </c>
      <c r="D4871" t="s">
        <v>1352</v>
      </c>
      <c r="E4871" t="s">
        <v>958</v>
      </c>
      <c r="F4871" t="s">
        <v>329</v>
      </c>
      <c r="G4871" t="s">
        <v>319</v>
      </c>
      <c r="H4871" s="502" t="s">
        <v>1240</v>
      </c>
      <c r="I4871" s="415">
        <v>0</v>
      </c>
      <c r="J4871" s="415">
        <v>0</v>
      </c>
      <c r="K4871" s="415">
        <v>0</v>
      </c>
      <c r="L4871" s="415">
        <v>0</v>
      </c>
      <c r="M4871" s="415">
        <v>0</v>
      </c>
      <c r="N4871" s="415">
        <v>0</v>
      </c>
      <c r="O4871" s="415">
        <v>0</v>
      </c>
      <c r="P4871" s="415">
        <v>11375</v>
      </c>
      <c r="Q4871" s="501">
        <f t="shared" si="122"/>
        <v>0</v>
      </c>
    </row>
    <row r="4872" spans="1:17" x14ac:dyDescent="0.3">
      <c r="A4872" s="431" t="str">
        <f>IFERROR(VLOOKUP(RIGHT(E4872,3)+0,[1]SchLocTable!$A$2:$B$47,2,FALSE)," ")</f>
        <v>Tisdale</v>
      </c>
      <c r="B4872" s="431" t="str">
        <f>VLOOKUP(VALUE(D4872),$D$3:F$106,3,FALSE)</f>
        <v>Social Workers</v>
      </c>
      <c r="C4872" t="s">
        <v>314</v>
      </c>
      <c r="D4872" t="s">
        <v>1352</v>
      </c>
      <c r="E4872" t="s">
        <v>960</v>
      </c>
      <c r="F4872" t="s">
        <v>324</v>
      </c>
      <c r="G4872" t="s">
        <v>319</v>
      </c>
      <c r="H4872" s="502" t="s">
        <v>1246</v>
      </c>
      <c r="I4872" s="415">
        <v>0</v>
      </c>
      <c r="J4872" s="415">
        <v>0</v>
      </c>
      <c r="K4872" s="415">
        <v>0</v>
      </c>
      <c r="L4872" s="415">
        <v>0</v>
      </c>
      <c r="M4872" s="415">
        <v>0</v>
      </c>
      <c r="N4872" s="415">
        <v>0</v>
      </c>
      <c r="O4872" s="415">
        <v>1182.96</v>
      </c>
      <c r="P4872" s="415">
        <v>1028.1199999999999</v>
      </c>
      <c r="Q4872" s="501">
        <f t="shared" si="122"/>
        <v>0</v>
      </c>
    </row>
    <row r="4873" spans="1:17" x14ac:dyDescent="0.3">
      <c r="A4873" s="431" t="str">
        <f>IFERROR(VLOOKUP(RIGHT(E4873,3)+0,[1]SchLocTable!$A$2:$B$47,2,FALSE)," ")</f>
        <v>Johnson</v>
      </c>
      <c r="B4873" s="431" t="str">
        <f>VLOOKUP(VALUE(D4873),$D$3:F$106,3,FALSE)</f>
        <v>Social Workers</v>
      </c>
      <c r="C4873" t="s">
        <v>314</v>
      </c>
      <c r="D4873" t="s">
        <v>1352</v>
      </c>
      <c r="E4873" t="s">
        <v>964</v>
      </c>
      <c r="F4873" t="s">
        <v>334</v>
      </c>
      <c r="G4873" t="s">
        <v>319</v>
      </c>
      <c r="H4873" s="502" t="s">
        <v>1387</v>
      </c>
      <c r="I4873" s="415">
        <v>0</v>
      </c>
      <c r="J4873" s="415">
        <v>0</v>
      </c>
      <c r="K4873" s="415">
        <v>0</v>
      </c>
      <c r="L4873" s="415">
        <v>0</v>
      </c>
      <c r="M4873" s="415">
        <v>0</v>
      </c>
      <c r="N4873" s="415">
        <v>0</v>
      </c>
      <c r="O4873" s="415">
        <v>258.51</v>
      </c>
      <c r="P4873" s="415">
        <v>0</v>
      </c>
      <c r="Q4873" s="501">
        <f t="shared" si="122"/>
        <v>0</v>
      </c>
    </row>
    <row r="4874" spans="1:17" x14ac:dyDescent="0.3">
      <c r="A4874" s="431" t="str">
        <f>IFERROR(VLOOKUP(RIGHT(E4874,3)+0,[1]SchLocTable!$A$2:$B$47,2,FALSE)," ")</f>
        <v>Johnson</v>
      </c>
      <c r="B4874" s="431" t="str">
        <f>VLOOKUP(VALUE(D4874),$D$3:F$106,3,FALSE)</f>
        <v>Social Workers</v>
      </c>
      <c r="C4874" t="s">
        <v>314</v>
      </c>
      <c r="D4874" t="s">
        <v>1352</v>
      </c>
      <c r="E4874" t="s">
        <v>964</v>
      </c>
      <c r="F4874" t="s">
        <v>318</v>
      </c>
      <c r="G4874" t="s">
        <v>319</v>
      </c>
      <c r="H4874" s="502" t="s">
        <v>1239</v>
      </c>
      <c r="I4874" s="415">
        <v>0</v>
      </c>
      <c r="J4874" s="415">
        <v>0</v>
      </c>
      <c r="K4874" s="415">
        <v>0</v>
      </c>
      <c r="L4874" s="415">
        <v>0</v>
      </c>
      <c r="M4874" s="415">
        <v>0</v>
      </c>
      <c r="N4874" s="415">
        <v>0</v>
      </c>
      <c r="O4874" s="415">
        <v>900</v>
      </c>
      <c r="P4874" s="415">
        <v>900</v>
      </c>
      <c r="Q4874" s="501">
        <f t="shared" si="122"/>
        <v>0</v>
      </c>
    </row>
    <row r="4875" spans="1:17" x14ac:dyDescent="0.3">
      <c r="A4875" s="431" t="str">
        <f>IFERROR(VLOOKUP(RIGHT(E4875,3)+0,[1]SchLocTable!$A$2:$B$47,2,FALSE)," ")</f>
        <v>Blackham</v>
      </c>
      <c r="B4875" s="431" t="str">
        <f>VLOOKUP(VALUE(D4875),$D$3:F$106,3,FALSE)</f>
        <v>Social Workers</v>
      </c>
      <c r="C4875" t="s">
        <v>314</v>
      </c>
      <c r="D4875" t="s">
        <v>1352</v>
      </c>
      <c r="E4875" t="s">
        <v>967</v>
      </c>
      <c r="F4875" t="s">
        <v>324</v>
      </c>
      <c r="G4875" t="s">
        <v>319</v>
      </c>
      <c r="H4875" s="502">
        <v>52385</v>
      </c>
      <c r="I4875" s="415"/>
      <c r="J4875" s="415"/>
      <c r="K4875" s="415"/>
      <c r="L4875" s="415">
        <v>0</v>
      </c>
      <c r="M4875" s="415">
        <v>0</v>
      </c>
      <c r="N4875" s="415">
        <v>210.8</v>
      </c>
      <c r="O4875" s="415">
        <v>0</v>
      </c>
      <c r="P4875" s="415">
        <v>0</v>
      </c>
      <c r="Q4875" s="501">
        <f t="shared" si="122"/>
        <v>0</v>
      </c>
    </row>
    <row r="4876" spans="1:17" x14ac:dyDescent="0.3">
      <c r="A4876" s="431" t="str">
        <f>IFERROR(VLOOKUP(RIGHT(E4876,3)+0,[1]SchLocTable!$A$2:$B$47,2,FALSE)," ")</f>
        <v>Edison</v>
      </c>
      <c r="B4876" s="431" t="str">
        <f>VLOOKUP(VALUE(D4876),$D$3:F$106,3,FALSE)</f>
        <v>Social Workers</v>
      </c>
      <c r="C4876" t="s">
        <v>314</v>
      </c>
      <c r="D4876" t="s">
        <v>1352</v>
      </c>
      <c r="E4876" t="s">
        <v>1379</v>
      </c>
      <c r="F4876" t="s">
        <v>316</v>
      </c>
      <c r="G4876" t="s">
        <v>319</v>
      </c>
      <c r="H4876" s="502" t="s">
        <v>1232</v>
      </c>
      <c r="I4876" s="415">
        <v>0</v>
      </c>
      <c r="J4876" s="415">
        <v>0</v>
      </c>
      <c r="K4876" s="415">
        <v>0</v>
      </c>
      <c r="L4876" s="415">
        <v>0</v>
      </c>
      <c r="M4876" s="415">
        <v>0</v>
      </c>
      <c r="N4876" s="415">
        <v>0</v>
      </c>
      <c r="O4876" s="415">
        <v>63606.29</v>
      </c>
      <c r="P4876" s="415">
        <v>94593.98</v>
      </c>
      <c r="Q4876" s="501">
        <f t="shared" si="122"/>
        <v>0</v>
      </c>
    </row>
    <row r="4877" spans="1:17" x14ac:dyDescent="0.3">
      <c r="A4877" s="431" t="str">
        <f>IFERROR(VLOOKUP(RIGHT(E4877,3)+0,[1]SchLocTable!$A$2:$B$47,2,FALSE)," ")</f>
        <v>Edison</v>
      </c>
      <c r="B4877" s="431" t="str">
        <f>VLOOKUP(VALUE(D4877),$D$3:F$106,3,FALSE)</f>
        <v>Social Workers</v>
      </c>
      <c r="C4877" t="s">
        <v>314</v>
      </c>
      <c r="D4877" t="s">
        <v>1352</v>
      </c>
      <c r="E4877" t="s">
        <v>1379</v>
      </c>
      <c r="F4877" t="s">
        <v>321</v>
      </c>
      <c r="G4877" t="s">
        <v>319</v>
      </c>
      <c r="H4877" s="502" t="s">
        <v>1248</v>
      </c>
      <c r="I4877" s="415">
        <v>0</v>
      </c>
      <c r="J4877" s="415">
        <v>0</v>
      </c>
      <c r="K4877" s="415">
        <v>0</v>
      </c>
      <c r="L4877" s="415">
        <v>0</v>
      </c>
      <c r="M4877" s="415">
        <v>0</v>
      </c>
      <c r="N4877" s="415">
        <v>0</v>
      </c>
      <c r="O4877" s="415">
        <v>8995.91</v>
      </c>
      <c r="P4877" s="415">
        <v>22634.639999999999</v>
      </c>
      <c r="Q4877" s="501">
        <f t="shared" si="122"/>
        <v>0</v>
      </c>
    </row>
    <row r="4878" spans="1:17" x14ac:dyDescent="0.3">
      <c r="A4878" s="431" t="str">
        <f>IFERROR(VLOOKUP(RIGHT(E4878,3)+0,[1]SchLocTable!$A$2:$B$47,2,FALSE)," ")</f>
        <v>Edison</v>
      </c>
      <c r="B4878" s="431" t="str">
        <f>VLOOKUP(VALUE(D4878),$D$3:F$106,3,FALSE)</f>
        <v>Social Workers</v>
      </c>
      <c r="C4878" t="s">
        <v>314</v>
      </c>
      <c r="D4878" t="s">
        <v>1352</v>
      </c>
      <c r="E4878" t="s">
        <v>1379</v>
      </c>
      <c r="F4878" t="s">
        <v>318</v>
      </c>
      <c r="G4878" t="s">
        <v>319</v>
      </c>
      <c r="H4878" s="502" t="s">
        <v>1239</v>
      </c>
      <c r="I4878" s="415">
        <v>0</v>
      </c>
      <c r="J4878" s="415">
        <v>0</v>
      </c>
      <c r="K4878" s="415">
        <v>0</v>
      </c>
      <c r="L4878" s="415">
        <v>0</v>
      </c>
      <c r="M4878" s="415">
        <v>0</v>
      </c>
      <c r="N4878" s="415">
        <v>0</v>
      </c>
      <c r="O4878" s="415">
        <v>1200</v>
      </c>
      <c r="P4878" s="415">
        <v>1200</v>
      </c>
      <c r="Q4878" s="501">
        <f t="shared" si="122"/>
        <v>0</v>
      </c>
    </row>
    <row r="4879" spans="1:17" x14ac:dyDescent="0.3">
      <c r="A4879" s="431" t="str">
        <f>IFERROR(VLOOKUP(RIGHT(E4879,3)+0,[1]SchLocTable!$A$2:$B$47,2,FALSE)," ")</f>
        <v>Edison</v>
      </c>
      <c r="B4879" s="431" t="str">
        <f>VLOOKUP(VALUE(D4879),$D$3:F$106,3,FALSE)</f>
        <v>Social Workers</v>
      </c>
      <c r="C4879" t="s">
        <v>314</v>
      </c>
      <c r="D4879" t="s">
        <v>1352</v>
      </c>
      <c r="E4879" t="s">
        <v>1379</v>
      </c>
      <c r="F4879" t="s">
        <v>320</v>
      </c>
      <c r="G4879" t="s">
        <v>319</v>
      </c>
      <c r="H4879" s="502" t="s">
        <v>1245</v>
      </c>
      <c r="I4879" s="415">
        <v>0</v>
      </c>
      <c r="J4879" s="415">
        <v>0</v>
      </c>
      <c r="K4879" s="415">
        <v>0</v>
      </c>
      <c r="L4879" s="415">
        <v>0</v>
      </c>
      <c r="M4879" s="415">
        <v>0</v>
      </c>
      <c r="N4879" s="415">
        <v>0</v>
      </c>
      <c r="O4879" s="415">
        <v>1070.58</v>
      </c>
      <c r="P4879" s="415">
        <v>1304.79</v>
      </c>
      <c r="Q4879" s="501">
        <f t="shared" si="122"/>
        <v>0</v>
      </c>
    </row>
    <row r="4880" spans="1:17" x14ac:dyDescent="0.3">
      <c r="A4880" s="431" t="str">
        <f>IFERROR(VLOOKUP(RIGHT(E4880,3)+0,[1]SchLocTable!$A$2:$B$47,2,FALSE)," ")</f>
        <v>Edison</v>
      </c>
      <c r="B4880" s="431" t="str">
        <f>VLOOKUP(VALUE(D4880),$D$3:F$106,3,FALSE)</f>
        <v>Social Workers</v>
      </c>
      <c r="C4880" t="s">
        <v>314</v>
      </c>
      <c r="D4880" t="s">
        <v>1352</v>
      </c>
      <c r="E4880" t="s">
        <v>1379</v>
      </c>
      <c r="F4880" t="s">
        <v>329</v>
      </c>
      <c r="G4880" t="s">
        <v>319</v>
      </c>
      <c r="H4880" s="502" t="s">
        <v>1240</v>
      </c>
      <c r="I4880" s="415">
        <v>0</v>
      </c>
      <c r="J4880" s="415">
        <v>0</v>
      </c>
      <c r="K4880" s="415">
        <v>0</v>
      </c>
      <c r="L4880" s="415">
        <v>0</v>
      </c>
      <c r="M4880" s="415">
        <v>0</v>
      </c>
      <c r="N4880" s="415">
        <v>0</v>
      </c>
      <c r="O4880" s="415">
        <v>11375</v>
      </c>
      <c r="P4880" s="415">
        <v>0</v>
      </c>
      <c r="Q4880" s="501">
        <f t="shared" si="122"/>
        <v>0</v>
      </c>
    </row>
    <row r="4881" spans="1:17" x14ac:dyDescent="0.3">
      <c r="A4881" s="431" t="str">
        <f>IFERROR(VLOOKUP(RIGHT(E4881,3)+0,[1]SchLocTable!$A$2:$B$47,2,FALSE)," ")</f>
        <v>Madison</v>
      </c>
      <c r="B4881" s="431" t="str">
        <f>VLOOKUP(VALUE(D4881),$D$3:F$106,3,FALSE)</f>
        <v>Social Workers</v>
      </c>
      <c r="C4881" t="s">
        <v>314</v>
      </c>
      <c r="D4881" t="s">
        <v>1352</v>
      </c>
      <c r="E4881" t="s">
        <v>1380</v>
      </c>
      <c r="F4881" t="s">
        <v>316</v>
      </c>
      <c r="G4881" t="s">
        <v>319</v>
      </c>
      <c r="H4881" s="502" t="s">
        <v>1232</v>
      </c>
      <c r="I4881" s="415">
        <v>0</v>
      </c>
      <c r="J4881" s="415">
        <v>0</v>
      </c>
      <c r="K4881" s="415">
        <v>0</v>
      </c>
      <c r="L4881" s="415">
        <v>0</v>
      </c>
      <c r="M4881" s="415">
        <v>0</v>
      </c>
      <c r="N4881" s="415">
        <v>0</v>
      </c>
      <c r="O4881" s="415">
        <v>96106.92</v>
      </c>
      <c r="P4881" s="415">
        <v>94593.98</v>
      </c>
      <c r="Q4881" s="501">
        <f t="shared" si="122"/>
        <v>0</v>
      </c>
    </row>
    <row r="4882" spans="1:17" x14ac:dyDescent="0.3">
      <c r="A4882" s="431" t="str">
        <f>IFERROR(VLOOKUP(RIGHT(E4882,3)+0,[1]SchLocTable!$A$2:$B$47,2,FALSE)," ")</f>
        <v>Madison</v>
      </c>
      <c r="B4882" s="431" t="str">
        <f>VLOOKUP(VALUE(D4882),$D$3:F$106,3,FALSE)</f>
        <v>Social Workers</v>
      </c>
      <c r="C4882" t="s">
        <v>314</v>
      </c>
      <c r="D4882" t="s">
        <v>1352</v>
      </c>
      <c r="E4882" t="s">
        <v>1380</v>
      </c>
      <c r="F4882" t="s">
        <v>321</v>
      </c>
      <c r="G4882" t="s">
        <v>319</v>
      </c>
      <c r="H4882" s="502" t="s">
        <v>1248</v>
      </c>
      <c r="I4882" s="415">
        <v>0</v>
      </c>
      <c r="J4882" s="415">
        <v>0</v>
      </c>
      <c r="K4882" s="415">
        <v>0</v>
      </c>
      <c r="L4882" s="415">
        <v>0</v>
      </c>
      <c r="M4882" s="415">
        <v>0</v>
      </c>
      <c r="N4882" s="415">
        <v>0</v>
      </c>
      <c r="O4882" s="415">
        <v>29077.5</v>
      </c>
      <c r="P4882" s="415">
        <v>9245.67</v>
      </c>
      <c r="Q4882" s="501">
        <f t="shared" si="122"/>
        <v>0</v>
      </c>
    </row>
    <row r="4883" spans="1:17" x14ac:dyDescent="0.3">
      <c r="A4883" s="431" t="str">
        <f>IFERROR(VLOOKUP(RIGHT(E4883,3)+0,[1]SchLocTable!$A$2:$B$47,2,FALSE)," ")</f>
        <v>Madison</v>
      </c>
      <c r="B4883" s="431" t="str">
        <f>VLOOKUP(VALUE(D4883),$D$3:F$106,3,FALSE)</f>
        <v>Social Workers</v>
      </c>
      <c r="C4883" t="s">
        <v>314</v>
      </c>
      <c r="D4883" t="s">
        <v>1352</v>
      </c>
      <c r="E4883" t="s">
        <v>1380</v>
      </c>
      <c r="F4883" t="s">
        <v>318</v>
      </c>
      <c r="G4883" t="s">
        <v>319</v>
      </c>
      <c r="H4883" s="502" t="s">
        <v>1239</v>
      </c>
      <c r="I4883" s="415">
        <v>0</v>
      </c>
      <c r="J4883" s="415">
        <v>0</v>
      </c>
      <c r="K4883" s="415">
        <v>0</v>
      </c>
      <c r="L4883" s="415">
        <v>0</v>
      </c>
      <c r="M4883" s="415">
        <v>0</v>
      </c>
      <c r="N4883" s="415">
        <v>0</v>
      </c>
      <c r="O4883" s="415">
        <v>2400</v>
      </c>
      <c r="P4883" s="415">
        <v>1100</v>
      </c>
      <c r="Q4883" s="501">
        <f t="shared" si="122"/>
        <v>0</v>
      </c>
    </row>
    <row r="4884" spans="1:17" x14ac:dyDescent="0.3">
      <c r="A4884" s="431" t="str">
        <f>IFERROR(VLOOKUP(RIGHT(E4884,3)+0,[1]SchLocTable!$A$2:$B$47,2,FALSE)," ")</f>
        <v>Madison</v>
      </c>
      <c r="B4884" s="431" t="str">
        <f>VLOOKUP(VALUE(D4884),$D$3:F$106,3,FALSE)</f>
        <v>Social Workers</v>
      </c>
      <c r="C4884" t="s">
        <v>314</v>
      </c>
      <c r="D4884" t="s">
        <v>1352</v>
      </c>
      <c r="E4884" t="s">
        <v>1380</v>
      </c>
      <c r="F4884" t="s">
        <v>320</v>
      </c>
      <c r="G4884" t="s">
        <v>319</v>
      </c>
      <c r="H4884" s="502" t="s">
        <v>1245</v>
      </c>
      <c r="I4884" s="415">
        <v>0</v>
      </c>
      <c r="J4884" s="415">
        <v>0</v>
      </c>
      <c r="K4884" s="415">
        <v>0</v>
      </c>
      <c r="L4884" s="415">
        <v>0</v>
      </c>
      <c r="M4884" s="415">
        <v>0</v>
      </c>
      <c r="N4884" s="415">
        <v>0</v>
      </c>
      <c r="O4884" s="415">
        <v>1482.86</v>
      </c>
      <c r="P4884" s="415">
        <v>1352.93</v>
      </c>
      <c r="Q4884" s="501">
        <f t="shared" si="122"/>
        <v>0</v>
      </c>
    </row>
    <row r="4885" spans="1:17" x14ac:dyDescent="0.3">
      <c r="A4885" s="431" t="str">
        <f>IFERROR(VLOOKUP(RIGHT(E4885,3)+0,[1]SchLocTable!$A$2:$B$47,2,FALSE)," ")</f>
        <v>Madison</v>
      </c>
      <c r="B4885" s="431" t="str">
        <f>VLOOKUP(VALUE(D4885),$D$3:F$106,3,FALSE)</f>
        <v>Social Workers</v>
      </c>
      <c r="C4885" t="s">
        <v>314</v>
      </c>
      <c r="D4885" t="s">
        <v>1352</v>
      </c>
      <c r="E4885" t="s">
        <v>1380</v>
      </c>
      <c r="F4885" t="s">
        <v>329</v>
      </c>
      <c r="G4885" t="s">
        <v>319</v>
      </c>
      <c r="H4885" s="502" t="s">
        <v>1240</v>
      </c>
      <c r="I4885" s="415">
        <v>0</v>
      </c>
      <c r="J4885" s="415">
        <v>0</v>
      </c>
      <c r="K4885" s="415">
        <v>0</v>
      </c>
      <c r="L4885" s="415">
        <v>0</v>
      </c>
      <c r="M4885" s="415">
        <v>0</v>
      </c>
      <c r="N4885" s="415">
        <v>0</v>
      </c>
      <c r="O4885" s="415">
        <v>11375</v>
      </c>
      <c r="P4885" s="415">
        <v>0</v>
      </c>
      <c r="Q4885" s="501">
        <f t="shared" si="122"/>
        <v>0</v>
      </c>
    </row>
    <row r="4886" spans="1:17" x14ac:dyDescent="0.3">
      <c r="A4886" s="431" t="str">
        <f>IFERROR(VLOOKUP(RIGHT(E4886,3)+0,[1]SchLocTable!$A$2:$B$47,2,FALSE)," ")</f>
        <v xml:space="preserve"> </v>
      </c>
      <c r="B4886" s="431" t="str">
        <f>VLOOKUP(VALUE(D4886),$D$3:F$106,3,FALSE)</f>
        <v>Psychologists</v>
      </c>
      <c r="C4886" t="s">
        <v>314</v>
      </c>
      <c r="D4886" t="s">
        <v>1353</v>
      </c>
      <c r="E4886" t="s">
        <v>974</v>
      </c>
      <c r="F4886" t="s">
        <v>458</v>
      </c>
      <c r="G4886" t="s">
        <v>319</v>
      </c>
      <c r="H4886" s="502">
        <v>54675</v>
      </c>
      <c r="I4886" s="415"/>
      <c r="J4886" s="415"/>
      <c r="K4886" s="415"/>
      <c r="L4886" s="415">
        <v>0</v>
      </c>
      <c r="M4886" s="415">
        <v>0</v>
      </c>
      <c r="N4886" s="415">
        <v>7783.78</v>
      </c>
      <c r="O4886" s="415">
        <v>0</v>
      </c>
      <c r="P4886" s="415">
        <v>0</v>
      </c>
      <c r="Q4886" s="501">
        <f t="shared" si="122"/>
        <v>0</v>
      </c>
    </row>
    <row r="4887" spans="1:17" x14ac:dyDescent="0.3">
      <c r="A4887" s="431" t="str">
        <f>IFERROR(VLOOKUP(RIGHT(E4887,3)+0,[1]SchLocTable!$A$2:$B$47,2,FALSE)," ")</f>
        <v xml:space="preserve"> </v>
      </c>
      <c r="B4887" s="431" t="str">
        <f>VLOOKUP(VALUE(D4887),$D$3:F$106,3,FALSE)</f>
        <v>Psychologists</v>
      </c>
      <c r="C4887" t="s">
        <v>314</v>
      </c>
      <c r="D4887" t="s">
        <v>1353</v>
      </c>
      <c r="E4887" t="s">
        <v>974</v>
      </c>
      <c r="F4887" t="s">
        <v>324</v>
      </c>
      <c r="G4887" t="s">
        <v>319</v>
      </c>
      <c r="H4887" s="502" t="s">
        <v>1246</v>
      </c>
      <c r="I4887" s="415">
        <v>0</v>
      </c>
      <c r="J4887" s="415">
        <v>0</v>
      </c>
      <c r="K4887" s="415">
        <v>0</v>
      </c>
      <c r="L4887" s="415">
        <v>0</v>
      </c>
      <c r="M4887" s="415">
        <v>0</v>
      </c>
      <c r="N4887" s="415">
        <v>0</v>
      </c>
      <c r="O4887" s="415">
        <v>0</v>
      </c>
      <c r="P4887" s="415">
        <v>504.5</v>
      </c>
      <c r="Q4887" s="501">
        <f t="shared" si="122"/>
        <v>0</v>
      </c>
    </row>
    <row r="4888" spans="1:17" x14ac:dyDescent="0.3">
      <c r="A4888" s="431" t="str">
        <f>IFERROR(VLOOKUP(RIGHT(E4888,3)+0,[1]SchLocTable!$A$2:$B$47,2,FALSE)," ")</f>
        <v>Batalla</v>
      </c>
      <c r="B4888" s="431" t="str">
        <f>VLOOKUP(VALUE(D4888),$D$3:F$106,3,FALSE)</f>
        <v>Psychologists</v>
      </c>
      <c r="C4888" t="s">
        <v>314</v>
      </c>
      <c r="D4888" t="s">
        <v>1353</v>
      </c>
      <c r="E4888" t="s">
        <v>1354</v>
      </c>
      <c r="F4888" t="s">
        <v>316</v>
      </c>
      <c r="G4888" t="s">
        <v>319</v>
      </c>
      <c r="H4888" s="502">
        <v>51000</v>
      </c>
      <c r="I4888" s="415"/>
      <c r="J4888" s="415"/>
      <c r="K4888" s="415"/>
      <c r="L4888" s="415">
        <v>0</v>
      </c>
      <c r="M4888" s="415">
        <v>0</v>
      </c>
      <c r="N4888" s="415">
        <v>93222.99</v>
      </c>
      <c r="O4888" s="415">
        <v>88897.12</v>
      </c>
      <c r="P4888" s="415">
        <v>87497.02</v>
      </c>
      <c r="Q4888" s="501">
        <f t="shared" si="122"/>
        <v>0</v>
      </c>
    </row>
    <row r="4889" spans="1:17" x14ac:dyDescent="0.3">
      <c r="A4889" s="431" t="str">
        <f>IFERROR(VLOOKUP(RIGHT(E4889,3)+0,[1]SchLocTable!$A$2:$B$47,2,FALSE)," ")</f>
        <v>Batalla</v>
      </c>
      <c r="B4889" s="431" t="str">
        <f>VLOOKUP(VALUE(D4889),$D$3:F$106,3,FALSE)</f>
        <v>Psychologists</v>
      </c>
      <c r="C4889" t="s">
        <v>314</v>
      </c>
      <c r="D4889" t="s">
        <v>1353</v>
      </c>
      <c r="E4889" t="s">
        <v>1354</v>
      </c>
      <c r="F4889" t="s">
        <v>320</v>
      </c>
      <c r="G4889" t="s">
        <v>319</v>
      </c>
      <c r="H4889" s="502">
        <v>52360</v>
      </c>
      <c r="I4889" s="415"/>
      <c r="J4889" s="415"/>
      <c r="K4889" s="415"/>
      <c r="L4889" s="415">
        <v>0</v>
      </c>
      <c r="M4889" s="415">
        <v>0</v>
      </c>
      <c r="N4889" s="415">
        <v>1351.74</v>
      </c>
      <c r="O4889" s="415">
        <v>1289</v>
      </c>
      <c r="P4889" s="415">
        <v>1268.71</v>
      </c>
      <c r="Q4889" s="501">
        <f t="shared" si="122"/>
        <v>0</v>
      </c>
    </row>
    <row r="4890" spans="1:17" x14ac:dyDescent="0.3">
      <c r="A4890" s="431" t="str">
        <f>IFERROR(VLOOKUP(RIGHT(E4890,3)+0,[1]SchLocTable!$A$2:$B$47,2,FALSE)," ")</f>
        <v>Roosevelt</v>
      </c>
      <c r="B4890" s="431" t="str">
        <f>VLOOKUP(VALUE(D4890),$D$3:F$106,3,FALSE)</f>
        <v>Psychologists</v>
      </c>
      <c r="C4890" t="s">
        <v>314</v>
      </c>
      <c r="D4890" t="s">
        <v>1353</v>
      </c>
      <c r="E4890" t="s">
        <v>981</v>
      </c>
      <c r="F4890" t="s">
        <v>316</v>
      </c>
      <c r="G4890" t="s">
        <v>319</v>
      </c>
      <c r="H4890" s="502">
        <v>51000</v>
      </c>
      <c r="I4890" s="415"/>
      <c r="J4890" s="415"/>
      <c r="K4890" s="415"/>
      <c r="L4890" s="415">
        <v>0</v>
      </c>
      <c r="M4890" s="415">
        <v>0</v>
      </c>
      <c r="N4890" s="415">
        <v>56917.9</v>
      </c>
      <c r="O4890" s="415">
        <v>52521.25</v>
      </c>
      <c r="P4890" s="415">
        <v>0</v>
      </c>
      <c r="Q4890" s="501">
        <f t="shared" si="122"/>
        <v>0</v>
      </c>
    </row>
    <row r="4891" spans="1:17" x14ac:dyDescent="0.3">
      <c r="A4891" s="431" t="str">
        <f>IFERROR(VLOOKUP(RIGHT(E4891,3)+0,[1]SchLocTable!$A$2:$B$47,2,FALSE)," ")</f>
        <v>Roosevelt</v>
      </c>
      <c r="B4891" s="431" t="str">
        <f>VLOOKUP(VALUE(D4891),$D$3:F$106,3,FALSE)</f>
        <v>Psychologists</v>
      </c>
      <c r="C4891" t="s">
        <v>314</v>
      </c>
      <c r="D4891" t="s">
        <v>1353</v>
      </c>
      <c r="E4891" t="s">
        <v>981</v>
      </c>
      <c r="F4891" t="s">
        <v>321</v>
      </c>
      <c r="G4891" t="s">
        <v>319</v>
      </c>
      <c r="H4891" s="502">
        <v>52917</v>
      </c>
      <c r="I4891" s="415"/>
      <c r="J4891" s="415"/>
      <c r="K4891" s="415"/>
      <c r="L4891" s="415">
        <v>0</v>
      </c>
      <c r="M4891" s="415">
        <v>0</v>
      </c>
      <c r="N4891" s="415">
        <v>10177.23</v>
      </c>
      <c r="O4891" s="415">
        <v>5666.88</v>
      </c>
      <c r="P4891" s="415">
        <v>0</v>
      </c>
      <c r="Q4891" s="501">
        <f t="shared" si="122"/>
        <v>0</v>
      </c>
    </row>
    <row r="4892" spans="1:17" x14ac:dyDescent="0.3">
      <c r="A4892" s="431" t="str">
        <f>IFERROR(VLOOKUP(RIGHT(E4892,3)+0,[1]SchLocTable!$A$2:$B$47,2,FALSE)," ")</f>
        <v>Roosevelt</v>
      </c>
      <c r="B4892" s="431" t="str">
        <f>VLOOKUP(VALUE(D4892),$D$3:F$106,3,FALSE)</f>
        <v>Psychologists</v>
      </c>
      <c r="C4892" t="s">
        <v>314</v>
      </c>
      <c r="D4892" t="s">
        <v>1353</v>
      </c>
      <c r="E4892" t="s">
        <v>981</v>
      </c>
      <c r="F4892" t="s">
        <v>320</v>
      </c>
      <c r="G4892" t="s">
        <v>319</v>
      </c>
      <c r="H4892" s="502">
        <v>52360</v>
      </c>
      <c r="I4892" s="415"/>
      <c r="J4892" s="415"/>
      <c r="K4892" s="415"/>
      <c r="L4892" s="415">
        <v>0</v>
      </c>
      <c r="M4892" s="415">
        <v>0</v>
      </c>
      <c r="N4892" s="415">
        <v>806.87</v>
      </c>
      <c r="O4892" s="415">
        <v>756.43</v>
      </c>
      <c r="P4892" s="415">
        <v>0</v>
      </c>
      <c r="Q4892" s="501">
        <f t="shared" si="122"/>
        <v>0</v>
      </c>
    </row>
    <row r="4893" spans="1:17" x14ac:dyDescent="0.3">
      <c r="A4893" s="431" t="str">
        <f>IFERROR(VLOOKUP(RIGHT(E4893,3)+0,[1]SchLocTable!$A$2:$B$47,2,FALSE)," ")</f>
        <v>Roosevelt</v>
      </c>
      <c r="B4893" s="431" t="str">
        <f>VLOOKUP(VALUE(D4893),$D$3:F$106,3,FALSE)</f>
        <v>Psychologists</v>
      </c>
      <c r="C4893" t="s">
        <v>314</v>
      </c>
      <c r="D4893" t="s">
        <v>1353</v>
      </c>
      <c r="E4893" t="s">
        <v>981</v>
      </c>
      <c r="F4893" t="s">
        <v>560</v>
      </c>
      <c r="G4893" t="s">
        <v>319</v>
      </c>
      <c r="H4893" s="502">
        <v>51404</v>
      </c>
      <c r="I4893" s="415"/>
      <c r="J4893" s="415"/>
      <c r="K4893" s="415"/>
      <c r="L4893" s="415">
        <v>0</v>
      </c>
      <c r="M4893" s="415">
        <v>0</v>
      </c>
      <c r="N4893" s="415">
        <v>250</v>
      </c>
      <c r="O4893" s="415">
        <v>250</v>
      </c>
      <c r="P4893" s="415">
        <v>0</v>
      </c>
      <c r="Q4893" s="501">
        <f t="shared" si="122"/>
        <v>0</v>
      </c>
    </row>
    <row r="4894" spans="1:17" x14ac:dyDescent="0.3">
      <c r="A4894" s="431" t="str">
        <f>IFERROR(VLOOKUP(RIGHT(E4894,3)+0,[1]SchLocTable!$A$2:$B$47,2,FALSE)," ")</f>
        <v>Johnson</v>
      </c>
      <c r="B4894" s="431" t="str">
        <f>VLOOKUP(VALUE(D4894),$D$3:F$106,3,FALSE)</f>
        <v>Psychologists</v>
      </c>
      <c r="C4894" t="s">
        <v>314</v>
      </c>
      <c r="D4894" t="s">
        <v>1353</v>
      </c>
      <c r="E4894" t="s">
        <v>984</v>
      </c>
      <c r="F4894" t="s">
        <v>318</v>
      </c>
      <c r="G4894" t="s">
        <v>319</v>
      </c>
      <c r="H4894" s="502" t="s">
        <v>1239</v>
      </c>
      <c r="I4894" s="415">
        <v>0</v>
      </c>
      <c r="J4894" s="415">
        <v>0</v>
      </c>
      <c r="K4894" s="415">
        <v>0</v>
      </c>
      <c r="L4894" s="415">
        <v>0</v>
      </c>
      <c r="M4894" s="415">
        <v>0</v>
      </c>
      <c r="N4894" s="415">
        <v>0</v>
      </c>
      <c r="O4894" s="415">
        <v>1800</v>
      </c>
      <c r="P4894" s="415">
        <v>0</v>
      </c>
      <c r="Q4894" s="501">
        <f t="shared" si="122"/>
        <v>0</v>
      </c>
    </row>
    <row r="4895" spans="1:17" x14ac:dyDescent="0.3">
      <c r="A4895" s="431" t="str">
        <f>IFERROR(VLOOKUP(RIGHT(E4895,3)+0,[1]SchLocTable!$A$2:$B$47,2,FALSE)," ")</f>
        <v>Johnson</v>
      </c>
      <c r="B4895" s="431" t="str">
        <f>VLOOKUP(VALUE(D4895),$D$3:F$106,3,FALSE)</f>
        <v>Psychologists</v>
      </c>
      <c r="C4895" t="s">
        <v>314</v>
      </c>
      <c r="D4895" t="s">
        <v>1353</v>
      </c>
      <c r="E4895" t="s">
        <v>984</v>
      </c>
      <c r="F4895" t="s">
        <v>560</v>
      </c>
      <c r="G4895" t="s">
        <v>319</v>
      </c>
      <c r="H4895" s="502" t="s">
        <v>1244</v>
      </c>
      <c r="I4895" s="415">
        <v>0</v>
      </c>
      <c r="J4895" s="415">
        <v>0</v>
      </c>
      <c r="K4895" s="415">
        <v>0</v>
      </c>
      <c r="L4895" s="415">
        <v>0</v>
      </c>
      <c r="M4895" s="415">
        <v>0</v>
      </c>
      <c r="N4895" s="415">
        <v>0</v>
      </c>
      <c r="O4895" s="415">
        <v>150</v>
      </c>
      <c r="P4895" s="415">
        <v>0</v>
      </c>
      <c r="Q4895" s="501">
        <f t="shared" si="122"/>
        <v>0</v>
      </c>
    </row>
    <row r="4896" spans="1:17" x14ac:dyDescent="0.3">
      <c r="A4896" s="431" t="str">
        <f>IFERROR(VLOOKUP(RIGHT(E4896,3)+0,[1]SchLocTable!$A$2:$B$47,2,FALSE)," ")</f>
        <v>Johnson</v>
      </c>
      <c r="B4896" s="431" t="str">
        <f>VLOOKUP(VALUE(D4896),$D$3:F$106,3,FALSE)</f>
        <v>Psychologists</v>
      </c>
      <c r="C4896" t="s">
        <v>314</v>
      </c>
      <c r="D4896" t="s">
        <v>1353</v>
      </c>
      <c r="E4896" t="s">
        <v>984</v>
      </c>
      <c r="F4896" t="s">
        <v>329</v>
      </c>
      <c r="G4896" t="s">
        <v>319</v>
      </c>
      <c r="H4896" s="502" t="s">
        <v>1240</v>
      </c>
      <c r="I4896" s="415">
        <v>0</v>
      </c>
      <c r="J4896" s="415">
        <v>0</v>
      </c>
      <c r="K4896" s="415">
        <v>0</v>
      </c>
      <c r="L4896" s="415">
        <v>0</v>
      </c>
      <c r="M4896" s="415">
        <v>0</v>
      </c>
      <c r="N4896" s="415">
        <v>0</v>
      </c>
      <c r="O4896" s="415">
        <v>11375</v>
      </c>
      <c r="P4896" s="415">
        <v>0</v>
      </c>
      <c r="Q4896" s="501">
        <f t="shared" si="122"/>
        <v>0</v>
      </c>
    </row>
    <row r="4897" spans="1:17" x14ac:dyDescent="0.3">
      <c r="A4897" s="431" t="str">
        <f>IFERROR(VLOOKUP(RIGHT(E4897,3)+0,[1]SchLocTable!$A$2:$B$47,2,FALSE)," ")</f>
        <v>Skane</v>
      </c>
      <c r="B4897" s="431" t="str">
        <f>VLOOKUP(VALUE(D4897),$D$3:F$106,3,FALSE)</f>
        <v>Psychologists</v>
      </c>
      <c r="C4897" t="s">
        <v>314</v>
      </c>
      <c r="D4897" t="s">
        <v>1353</v>
      </c>
      <c r="E4897" t="s">
        <v>987</v>
      </c>
      <c r="F4897" t="s">
        <v>329</v>
      </c>
      <c r="G4897" t="s">
        <v>319</v>
      </c>
      <c r="H4897" s="502" t="s">
        <v>1240</v>
      </c>
      <c r="I4897" s="415">
        <v>0</v>
      </c>
      <c r="J4897" s="415">
        <v>0</v>
      </c>
      <c r="K4897" s="415">
        <v>0</v>
      </c>
      <c r="L4897" s="415">
        <v>0</v>
      </c>
      <c r="M4897" s="415">
        <v>0</v>
      </c>
      <c r="N4897" s="415">
        <v>0</v>
      </c>
      <c r="O4897" s="415">
        <v>0</v>
      </c>
      <c r="P4897" s="415">
        <v>11375</v>
      </c>
      <c r="Q4897" s="501">
        <f t="shared" si="122"/>
        <v>0</v>
      </c>
    </row>
    <row r="4898" spans="1:17" x14ac:dyDescent="0.3">
      <c r="A4898" s="431" t="str">
        <f>IFERROR(VLOOKUP(RIGHT(E4898,3)+0,[1]SchLocTable!$A$2:$B$47,2,FALSE)," ")</f>
        <v>Bassick HS</v>
      </c>
      <c r="B4898" s="431" t="str">
        <f>VLOOKUP(VALUE(D4898),$D$3:F$106,3,FALSE)</f>
        <v>Psychologists</v>
      </c>
      <c r="C4898" t="s">
        <v>314</v>
      </c>
      <c r="D4898" t="s">
        <v>1353</v>
      </c>
      <c r="E4898" t="s">
        <v>988</v>
      </c>
      <c r="F4898" t="s">
        <v>324</v>
      </c>
      <c r="G4898" t="s">
        <v>319</v>
      </c>
      <c r="H4898" s="502">
        <v>52385</v>
      </c>
      <c r="I4898" s="415"/>
      <c r="J4898" s="415"/>
      <c r="K4898" s="415"/>
      <c r="L4898" s="415">
        <v>0</v>
      </c>
      <c r="M4898" s="415">
        <v>0</v>
      </c>
      <c r="N4898" s="415">
        <v>194.59</v>
      </c>
      <c r="O4898" s="415">
        <v>0</v>
      </c>
      <c r="P4898" s="415">
        <v>0</v>
      </c>
      <c r="Q4898" s="501">
        <f t="shared" si="122"/>
        <v>0</v>
      </c>
    </row>
    <row r="4899" spans="1:17" x14ac:dyDescent="0.3">
      <c r="A4899" s="431" t="str">
        <f>IFERROR(VLOOKUP(RIGHT(E4899,3)+0,[1]SchLocTable!$A$2:$B$47,2,FALSE)," ")</f>
        <v>Physical Science HS</v>
      </c>
      <c r="B4899" s="431" t="str">
        <f>VLOOKUP(VALUE(D4899),$D$3:F$106,3,FALSE)</f>
        <v>Psychologists</v>
      </c>
      <c r="C4899" t="s">
        <v>314</v>
      </c>
      <c r="D4899" t="s">
        <v>1353</v>
      </c>
      <c r="E4899" t="s">
        <v>1381</v>
      </c>
      <c r="F4899" t="s">
        <v>316</v>
      </c>
      <c r="G4899" t="s">
        <v>319</v>
      </c>
      <c r="H4899" s="502" t="s">
        <v>1232</v>
      </c>
      <c r="I4899" s="415">
        <v>0</v>
      </c>
      <c r="J4899" s="415">
        <v>0</v>
      </c>
      <c r="K4899" s="415">
        <v>0</v>
      </c>
      <c r="L4899" s="415">
        <v>0</v>
      </c>
      <c r="M4899" s="415">
        <v>0</v>
      </c>
      <c r="N4899" s="415">
        <v>0</v>
      </c>
      <c r="O4899" s="415">
        <v>0</v>
      </c>
      <c r="P4899" s="415">
        <v>75819.12</v>
      </c>
      <c r="Q4899" s="501">
        <f t="shared" si="122"/>
        <v>0</v>
      </c>
    </row>
    <row r="4900" spans="1:17" x14ac:dyDescent="0.3">
      <c r="A4900" s="431" t="str">
        <f>IFERROR(VLOOKUP(RIGHT(E4900,3)+0,[1]SchLocTable!$A$2:$B$47,2,FALSE)," ")</f>
        <v>Physical Science HS</v>
      </c>
      <c r="B4900" s="431" t="str">
        <f>VLOOKUP(VALUE(D4900),$D$3:F$106,3,FALSE)</f>
        <v>Psychologists</v>
      </c>
      <c r="C4900" t="s">
        <v>314</v>
      </c>
      <c r="D4900" t="s">
        <v>1353</v>
      </c>
      <c r="E4900" t="s">
        <v>1381</v>
      </c>
      <c r="F4900" t="s">
        <v>334</v>
      </c>
      <c r="G4900" t="s">
        <v>319</v>
      </c>
      <c r="H4900" s="502" t="s">
        <v>1387</v>
      </c>
      <c r="I4900" s="415">
        <v>0</v>
      </c>
      <c r="J4900" s="415">
        <v>0</v>
      </c>
      <c r="K4900" s="415">
        <v>0</v>
      </c>
      <c r="L4900" s="415">
        <v>0</v>
      </c>
      <c r="M4900" s="415">
        <v>0</v>
      </c>
      <c r="N4900" s="415">
        <v>0</v>
      </c>
      <c r="O4900" s="415">
        <v>0</v>
      </c>
      <c r="P4900" s="415">
        <v>4549.1499999999996</v>
      </c>
      <c r="Q4900" s="501">
        <f t="shared" si="122"/>
        <v>0</v>
      </c>
    </row>
    <row r="4901" spans="1:17" x14ac:dyDescent="0.3">
      <c r="A4901" s="431" t="str">
        <f>IFERROR(VLOOKUP(RIGHT(E4901,3)+0,[1]SchLocTable!$A$2:$B$47,2,FALSE)," ")</f>
        <v>Physical Science HS</v>
      </c>
      <c r="B4901" s="431" t="str">
        <f>VLOOKUP(VALUE(D4901),$D$3:F$106,3,FALSE)</f>
        <v>Psychologists</v>
      </c>
      <c r="C4901" t="s">
        <v>314</v>
      </c>
      <c r="D4901" t="s">
        <v>1353</v>
      </c>
      <c r="E4901" t="s">
        <v>1381</v>
      </c>
      <c r="F4901" t="s">
        <v>321</v>
      </c>
      <c r="G4901" t="s">
        <v>319</v>
      </c>
      <c r="H4901" s="502" t="s">
        <v>1248</v>
      </c>
      <c r="I4901" s="415">
        <v>0</v>
      </c>
      <c r="J4901" s="415">
        <v>0</v>
      </c>
      <c r="K4901" s="415">
        <v>0</v>
      </c>
      <c r="L4901" s="415">
        <v>0</v>
      </c>
      <c r="M4901" s="415">
        <v>0</v>
      </c>
      <c r="N4901" s="415">
        <v>0</v>
      </c>
      <c r="O4901" s="415">
        <v>0</v>
      </c>
      <c r="P4901" s="415">
        <v>9245.67</v>
      </c>
      <c r="Q4901" s="501">
        <f t="shared" si="122"/>
        <v>0</v>
      </c>
    </row>
    <row r="4902" spans="1:17" x14ac:dyDescent="0.3">
      <c r="A4902" s="431" t="str">
        <f>IFERROR(VLOOKUP(RIGHT(E4902,3)+0,[1]SchLocTable!$A$2:$B$47,2,FALSE)," ")</f>
        <v>Physical Science HS</v>
      </c>
      <c r="B4902" s="431" t="str">
        <f>VLOOKUP(VALUE(D4902),$D$3:F$106,3,FALSE)</f>
        <v>Psychologists</v>
      </c>
      <c r="C4902" t="s">
        <v>314</v>
      </c>
      <c r="D4902" t="s">
        <v>1353</v>
      </c>
      <c r="E4902" t="s">
        <v>1381</v>
      </c>
      <c r="F4902" t="s">
        <v>320</v>
      </c>
      <c r="G4902" t="s">
        <v>319</v>
      </c>
      <c r="H4902" s="502" t="s">
        <v>1245</v>
      </c>
      <c r="I4902" s="415">
        <v>0</v>
      </c>
      <c r="J4902" s="415">
        <v>0</v>
      </c>
      <c r="K4902" s="415">
        <v>0</v>
      </c>
      <c r="L4902" s="415">
        <v>0</v>
      </c>
      <c r="M4902" s="415">
        <v>0</v>
      </c>
      <c r="N4902" s="415">
        <v>0</v>
      </c>
      <c r="O4902" s="415">
        <v>0</v>
      </c>
      <c r="P4902" s="415">
        <v>1130.71</v>
      </c>
      <c r="Q4902" s="501">
        <f t="shared" si="122"/>
        <v>0</v>
      </c>
    </row>
    <row r="4903" spans="1:17" x14ac:dyDescent="0.3">
      <c r="A4903" s="431" t="str">
        <f>IFERROR(VLOOKUP(RIGHT(E4903,3)+0,[1]SchLocTable!$A$2:$B$47,2,FALSE)," ")</f>
        <v>Winthrop</v>
      </c>
      <c r="B4903" s="431" t="str">
        <f>VLOOKUP(VALUE(D4903),$D$3:F$106,3,FALSE)</f>
        <v>Guidance Counselors</v>
      </c>
      <c r="C4903" t="s">
        <v>314</v>
      </c>
      <c r="D4903" t="s">
        <v>1355</v>
      </c>
      <c r="E4903" t="s">
        <v>1003</v>
      </c>
      <c r="F4903" t="s">
        <v>318</v>
      </c>
      <c r="G4903" t="s">
        <v>319</v>
      </c>
      <c r="H4903" s="502">
        <v>51140</v>
      </c>
      <c r="I4903" s="415"/>
      <c r="J4903" s="415"/>
      <c r="K4903" s="415"/>
      <c r="L4903" s="415">
        <v>0</v>
      </c>
      <c r="M4903" s="415">
        <v>0</v>
      </c>
      <c r="N4903" s="415">
        <v>900</v>
      </c>
      <c r="O4903" s="415">
        <v>900</v>
      </c>
      <c r="P4903" s="415">
        <v>0</v>
      </c>
      <c r="Q4903" s="501">
        <f t="shared" si="122"/>
        <v>0</v>
      </c>
    </row>
    <row r="4904" spans="1:17" x14ac:dyDescent="0.3">
      <c r="A4904" s="431" t="str">
        <f>IFERROR(VLOOKUP(RIGHT(E4904,3)+0,[1]SchLocTable!$A$2:$B$47,2,FALSE)," ")</f>
        <v>Central HS</v>
      </c>
      <c r="B4904" s="431" t="str">
        <f>VLOOKUP(VALUE(D4904),$D$3:F$106,3,FALSE)</f>
        <v>Guidance Counselors</v>
      </c>
      <c r="C4904" t="s">
        <v>314</v>
      </c>
      <c r="D4904" t="s">
        <v>1355</v>
      </c>
      <c r="E4904" t="s">
        <v>1009</v>
      </c>
      <c r="F4904" t="s">
        <v>329</v>
      </c>
      <c r="G4904" t="s">
        <v>319</v>
      </c>
      <c r="H4904" s="502" t="s">
        <v>1240</v>
      </c>
      <c r="I4904" s="415">
        <v>0</v>
      </c>
      <c r="J4904" s="415">
        <v>0</v>
      </c>
      <c r="K4904" s="415">
        <v>0</v>
      </c>
      <c r="L4904" s="415">
        <v>0</v>
      </c>
      <c r="M4904" s="415">
        <v>0</v>
      </c>
      <c r="N4904" s="415">
        <v>0</v>
      </c>
      <c r="O4904" s="415">
        <v>11375</v>
      </c>
      <c r="P4904" s="415">
        <v>11375</v>
      </c>
      <c r="Q4904" s="501">
        <f t="shared" si="122"/>
        <v>0</v>
      </c>
    </row>
    <row r="4905" spans="1:17" x14ac:dyDescent="0.3">
      <c r="A4905" s="431" t="str">
        <f>IFERROR(VLOOKUP(RIGHT(E4905,3)+0,[1]SchLocTable!$A$2:$B$47,2,FALSE)," ")</f>
        <v>Tisdale</v>
      </c>
      <c r="B4905" s="431" t="str">
        <f>VLOOKUP(VALUE(D4905),$D$3:F$106,3,FALSE)</f>
        <v>Speech/Language</v>
      </c>
      <c r="C4905" t="s">
        <v>314</v>
      </c>
      <c r="D4905" t="s">
        <v>1356</v>
      </c>
      <c r="E4905" t="s">
        <v>1018</v>
      </c>
      <c r="F4905" t="s">
        <v>560</v>
      </c>
      <c r="G4905" t="s">
        <v>319</v>
      </c>
      <c r="H4905" s="502">
        <v>51404</v>
      </c>
      <c r="I4905" s="415"/>
      <c r="J4905" s="415"/>
      <c r="K4905" s="415"/>
      <c r="L4905" s="415">
        <v>0</v>
      </c>
      <c r="M4905" s="415">
        <v>0</v>
      </c>
      <c r="N4905" s="415">
        <v>45</v>
      </c>
      <c r="O4905" s="415">
        <v>150</v>
      </c>
      <c r="P4905" s="415">
        <v>0</v>
      </c>
      <c r="Q4905" s="501">
        <f t="shared" si="122"/>
        <v>0</v>
      </c>
    </row>
    <row r="4906" spans="1:17" x14ac:dyDescent="0.3">
      <c r="A4906" s="431" t="str">
        <f>IFERROR(VLOOKUP(RIGHT(E4906,3)+0,[1]SchLocTable!$A$2:$B$47,2,FALSE)," ")</f>
        <v>Tisdale</v>
      </c>
      <c r="B4906" s="431" t="str">
        <f>VLOOKUP(VALUE(D4906),$D$3:F$106,3,FALSE)</f>
        <v>Speech/Language</v>
      </c>
      <c r="C4906" t="s">
        <v>314</v>
      </c>
      <c r="D4906" t="s">
        <v>1356</v>
      </c>
      <c r="E4906" t="s">
        <v>1018</v>
      </c>
      <c r="F4906" t="s">
        <v>329</v>
      </c>
      <c r="G4906" t="s">
        <v>319</v>
      </c>
      <c r="H4906" s="502" t="s">
        <v>1240</v>
      </c>
      <c r="I4906" s="415">
        <v>0</v>
      </c>
      <c r="J4906" s="415">
        <v>0</v>
      </c>
      <c r="K4906" s="415">
        <v>0</v>
      </c>
      <c r="L4906" s="415">
        <v>0</v>
      </c>
      <c r="M4906" s="415">
        <v>0</v>
      </c>
      <c r="N4906" s="415">
        <v>0</v>
      </c>
      <c r="O4906" s="415">
        <v>0</v>
      </c>
      <c r="P4906" s="415">
        <v>11375</v>
      </c>
      <c r="Q4906" s="501">
        <f t="shared" si="122"/>
        <v>0</v>
      </c>
    </row>
    <row r="4907" spans="1:17" x14ac:dyDescent="0.3">
      <c r="A4907" s="431" t="str">
        <f>IFERROR(VLOOKUP(RIGHT(E4907,3)+0,[1]SchLocTable!$A$2:$B$47,2,FALSE)," ")</f>
        <v>Johnson</v>
      </c>
      <c r="B4907" s="431" t="str">
        <f>VLOOKUP(VALUE(D4907),$D$3:F$106,3,FALSE)</f>
        <v>Speech/Language</v>
      </c>
      <c r="C4907" t="s">
        <v>314</v>
      </c>
      <c r="D4907" t="s">
        <v>1356</v>
      </c>
      <c r="E4907" t="s">
        <v>1020</v>
      </c>
      <c r="F4907" t="s">
        <v>318</v>
      </c>
      <c r="G4907" t="s">
        <v>319</v>
      </c>
      <c r="H4907" s="502" t="s">
        <v>1239</v>
      </c>
      <c r="I4907" s="415">
        <v>0</v>
      </c>
      <c r="J4907" s="415">
        <v>0</v>
      </c>
      <c r="K4907" s="415">
        <v>0</v>
      </c>
      <c r="L4907" s="415">
        <v>0</v>
      </c>
      <c r="M4907" s="415">
        <v>0</v>
      </c>
      <c r="N4907" s="415">
        <v>0</v>
      </c>
      <c r="O4907" s="415">
        <v>900</v>
      </c>
      <c r="P4907" s="415">
        <v>900</v>
      </c>
      <c r="Q4907" s="501">
        <f t="shared" si="122"/>
        <v>0</v>
      </c>
    </row>
    <row r="4908" spans="1:17" x14ac:dyDescent="0.3">
      <c r="A4908" s="431" t="str">
        <f>IFERROR(VLOOKUP(RIGHT(E4908,3)+0,[1]SchLocTable!$A$2:$B$47,2,FALSE)," ")</f>
        <v>Blackham</v>
      </c>
      <c r="B4908" s="431" t="str">
        <f>VLOOKUP(VALUE(D4908),$D$3:F$106,3,FALSE)</f>
        <v>Speech/Language</v>
      </c>
      <c r="C4908" t="s">
        <v>314</v>
      </c>
      <c r="D4908" t="s">
        <v>1356</v>
      </c>
      <c r="E4908" t="s">
        <v>1357</v>
      </c>
      <c r="F4908" t="s">
        <v>316</v>
      </c>
      <c r="G4908" t="s">
        <v>319</v>
      </c>
      <c r="H4908" s="502">
        <v>51000</v>
      </c>
      <c r="I4908" s="415"/>
      <c r="J4908" s="415"/>
      <c r="K4908" s="415"/>
      <c r="L4908" s="415">
        <v>0</v>
      </c>
      <c r="M4908" s="415">
        <v>0</v>
      </c>
      <c r="N4908" s="415">
        <v>64262.400000000001</v>
      </c>
      <c r="O4908" s="415">
        <v>56917.9</v>
      </c>
      <c r="P4908" s="415">
        <v>56021.94</v>
      </c>
      <c r="Q4908" s="501">
        <f t="shared" si="122"/>
        <v>0</v>
      </c>
    </row>
    <row r="4909" spans="1:17" x14ac:dyDescent="0.3">
      <c r="A4909" s="431" t="str">
        <f>IFERROR(VLOOKUP(RIGHT(E4909,3)+0,[1]SchLocTable!$A$2:$B$47,2,FALSE)," ")</f>
        <v>Blackham</v>
      </c>
      <c r="B4909" s="431" t="str">
        <f>VLOOKUP(VALUE(D4909),$D$3:F$106,3,FALSE)</f>
        <v>Speech/Language</v>
      </c>
      <c r="C4909" t="s">
        <v>314</v>
      </c>
      <c r="D4909" t="s">
        <v>1356</v>
      </c>
      <c r="E4909" t="s">
        <v>1357</v>
      </c>
      <c r="F4909" t="s">
        <v>321</v>
      </c>
      <c r="G4909" t="s">
        <v>319</v>
      </c>
      <c r="H4909" s="502">
        <v>52917</v>
      </c>
      <c r="I4909" s="415"/>
      <c r="J4909" s="415"/>
      <c r="K4909" s="415"/>
      <c r="L4909" s="415">
        <v>0</v>
      </c>
      <c r="M4909" s="415">
        <v>0</v>
      </c>
      <c r="N4909" s="415">
        <v>10232.879999999999</v>
      </c>
      <c r="O4909" s="415">
        <v>9817.68</v>
      </c>
      <c r="P4909" s="415">
        <v>9245.67</v>
      </c>
      <c r="Q4909" s="501">
        <f t="shared" si="122"/>
        <v>0</v>
      </c>
    </row>
    <row r="4910" spans="1:17" x14ac:dyDescent="0.3">
      <c r="A4910" s="431" t="str">
        <f>IFERROR(VLOOKUP(RIGHT(E4910,3)+0,[1]SchLocTable!$A$2:$B$47,2,FALSE)," ")</f>
        <v>Blackham</v>
      </c>
      <c r="B4910" s="431" t="str">
        <f>VLOOKUP(VALUE(D4910),$D$3:F$106,3,FALSE)</f>
        <v>Speech/Language</v>
      </c>
      <c r="C4910" t="s">
        <v>314</v>
      </c>
      <c r="D4910" t="s">
        <v>1356</v>
      </c>
      <c r="E4910" t="s">
        <v>1357</v>
      </c>
      <c r="F4910" t="s">
        <v>320</v>
      </c>
      <c r="G4910" t="s">
        <v>319</v>
      </c>
      <c r="H4910" s="502">
        <v>52360</v>
      </c>
      <c r="I4910" s="415"/>
      <c r="J4910" s="415"/>
      <c r="K4910" s="415"/>
      <c r="L4910" s="415">
        <v>0</v>
      </c>
      <c r="M4910" s="415">
        <v>0</v>
      </c>
      <c r="N4910" s="415">
        <v>891.84</v>
      </c>
      <c r="O4910" s="415">
        <v>788.02</v>
      </c>
      <c r="P4910" s="415">
        <v>777.68</v>
      </c>
      <c r="Q4910" s="501">
        <f t="shared" si="122"/>
        <v>0</v>
      </c>
    </row>
    <row r="4911" spans="1:17" x14ac:dyDescent="0.3">
      <c r="A4911" s="431" t="str">
        <f>IFERROR(VLOOKUP(RIGHT(E4911,3)+0,[1]SchLocTable!$A$2:$B$47,2,FALSE)," ")</f>
        <v>Dunbar</v>
      </c>
      <c r="B4911" s="431" t="str">
        <f>VLOOKUP(VALUE(D4911),$D$3:F$106,3,FALSE)</f>
        <v>Speech/Language</v>
      </c>
      <c r="C4911" t="s">
        <v>314</v>
      </c>
      <c r="D4911" t="s">
        <v>1356</v>
      </c>
      <c r="E4911" t="s">
        <v>1382</v>
      </c>
      <c r="F4911" t="s">
        <v>316</v>
      </c>
      <c r="G4911" t="s">
        <v>319</v>
      </c>
      <c r="H4911" s="502" t="s">
        <v>1232</v>
      </c>
      <c r="I4911" s="415">
        <v>0</v>
      </c>
      <c r="J4911" s="415">
        <v>0</v>
      </c>
      <c r="K4911" s="415">
        <v>0</v>
      </c>
      <c r="L4911" s="415">
        <v>0</v>
      </c>
      <c r="M4911" s="415">
        <v>0</v>
      </c>
      <c r="N4911" s="415">
        <v>0</v>
      </c>
      <c r="O4911" s="415">
        <v>80089.17</v>
      </c>
      <c r="P4911" s="415">
        <v>94593.98</v>
      </c>
      <c r="Q4911" s="501">
        <f t="shared" si="122"/>
        <v>0</v>
      </c>
    </row>
    <row r="4912" spans="1:17" x14ac:dyDescent="0.3">
      <c r="A4912" s="431" t="str">
        <f>IFERROR(VLOOKUP(RIGHT(E4912,3)+0,[1]SchLocTable!$A$2:$B$47,2,FALSE)," ")</f>
        <v>Dunbar</v>
      </c>
      <c r="B4912" s="431" t="str">
        <f>VLOOKUP(VALUE(D4912),$D$3:F$106,3,FALSE)</f>
        <v>Speech/Language</v>
      </c>
      <c r="C4912" t="s">
        <v>314</v>
      </c>
      <c r="D4912" t="s">
        <v>1356</v>
      </c>
      <c r="E4912" t="s">
        <v>1382</v>
      </c>
      <c r="F4912" t="s">
        <v>321</v>
      </c>
      <c r="G4912" t="s">
        <v>319</v>
      </c>
      <c r="H4912" s="502" t="s">
        <v>1248</v>
      </c>
      <c r="I4912" s="415">
        <v>0</v>
      </c>
      <c r="J4912" s="415">
        <v>0</v>
      </c>
      <c r="K4912" s="415">
        <v>0</v>
      </c>
      <c r="L4912" s="415">
        <v>0</v>
      </c>
      <c r="M4912" s="415">
        <v>0</v>
      </c>
      <c r="N4912" s="415">
        <v>0</v>
      </c>
      <c r="O4912" s="415">
        <v>22446.71</v>
      </c>
      <c r="P4912" s="415">
        <v>22186.29</v>
      </c>
      <c r="Q4912" s="501">
        <f t="shared" si="122"/>
        <v>0</v>
      </c>
    </row>
    <row r="4913" spans="1:17" x14ac:dyDescent="0.3">
      <c r="A4913" s="431" t="str">
        <f>IFERROR(VLOOKUP(RIGHT(E4913,3)+0,[1]SchLocTable!$A$2:$B$47,2,FALSE)," ")</f>
        <v>Dunbar</v>
      </c>
      <c r="B4913" s="431" t="str">
        <f>VLOOKUP(VALUE(D4913),$D$3:F$106,3,FALSE)</f>
        <v>Speech/Language</v>
      </c>
      <c r="C4913" t="s">
        <v>314</v>
      </c>
      <c r="D4913" t="s">
        <v>1356</v>
      </c>
      <c r="E4913" t="s">
        <v>1382</v>
      </c>
      <c r="F4913" t="s">
        <v>318</v>
      </c>
      <c r="G4913" t="s">
        <v>319</v>
      </c>
      <c r="H4913" s="502" t="s">
        <v>1239</v>
      </c>
      <c r="I4913" s="415">
        <v>0</v>
      </c>
      <c r="J4913" s="415">
        <v>0</v>
      </c>
      <c r="K4913" s="415">
        <v>0</v>
      </c>
      <c r="L4913" s="415">
        <v>0</v>
      </c>
      <c r="M4913" s="415">
        <v>0</v>
      </c>
      <c r="N4913" s="415">
        <v>0</v>
      </c>
      <c r="O4913" s="415">
        <v>900</v>
      </c>
      <c r="P4913" s="415">
        <v>900</v>
      </c>
      <c r="Q4913" s="501">
        <f t="shared" si="122"/>
        <v>0</v>
      </c>
    </row>
    <row r="4914" spans="1:17" x14ac:dyDescent="0.3">
      <c r="A4914" s="431" t="str">
        <f>IFERROR(VLOOKUP(RIGHT(E4914,3)+0,[1]SchLocTable!$A$2:$B$47,2,FALSE)," ")</f>
        <v>Dunbar</v>
      </c>
      <c r="B4914" s="431" t="str">
        <f>VLOOKUP(VALUE(D4914),$D$3:F$106,3,FALSE)</f>
        <v>Speech/Language</v>
      </c>
      <c r="C4914" t="s">
        <v>314</v>
      </c>
      <c r="D4914" t="s">
        <v>1356</v>
      </c>
      <c r="E4914" t="s">
        <v>1382</v>
      </c>
      <c r="F4914" t="s">
        <v>320</v>
      </c>
      <c r="G4914" t="s">
        <v>319</v>
      </c>
      <c r="H4914" s="502" t="s">
        <v>1245</v>
      </c>
      <c r="I4914" s="415">
        <v>0</v>
      </c>
      <c r="J4914" s="415">
        <v>0</v>
      </c>
      <c r="K4914" s="415">
        <v>0</v>
      </c>
      <c r="L4914" s="415">
        <v>0</v>
      </c>
      <c r="M4914" s="415">
        <v>0</v>
      </c>
      <c r="N4914" s="415">
        <v>0</v>
      </c>
      <c r="O4914" s="415">
        <v>1091.4100000000001</v>
      </c>
      <c r="P4914" s="415">
        <v>1301.1600000000001</v>
      </c>
      <c r="Q4914" s="501">
        <f t="shared" si="122"/>
        <v>0</v>
      </c>
    </row>
    <row r="4915" spans="1:17" x14ac:dyDescent="0.3">
      <c r="A4915" s="431" t="str">
        <f>IFERROR(VLOOKUP(RIGHT(E4915,3)+0,[1]SchLocTable!$A$2:$B$47,2,FALSE)," ")</f>
        <v>Dunbar</v>
      </c>
      <c r="B4915" s="431" t="str">
        <f>VLOOKUP(VALUE(D4915),$D$3:F$106,3,FALSE)</f>
        <v>Speech/Language</v>
      </c>
      <c r="C4915" t="s">
        <v>314</v>
      </c>
      <c r="D4915" t="s">
        <v>1356</v>
      </c>
      <c r="E4915" t="s">
        <v>1382</v>
      </c>
      <c r="F4915" t="s">
        <v>560</v>
      </c>
      <c r="G4915" t="s">
        <v>319</v>
      </c>
      <c r="H4915" s="502" t="s">
        <v>1244</v>
      </c>
      <c r="I4915" s="415">
        <v>0</v>
      </c>
      <c r="J4915" s="415">
        <v>0</v>
      </c>
      <c r="K4915" s="415">
        <v>0</v>
      </c>
      <c r="L4915" s="415">
        <v>0</v>
      </c>
      <c r="M4915" s="415">
        <v>0</v>
      </c>
      <c r="N4915" s="415">
        <v>0</v>
      </c>
      <c r="O4915" s="415">
        <v>175</v>
      </c>
      <c r="P4915" s="415">
        <v>0</v>
      </c>
      <c r="Q4915" s="501">
        <f t="shared" si="122"/>
        <v>0</v>
      </c>
    </row>
    <row r="4916" spans="1:17" x14ac:dyDescent="0.3">
      <c r="A4916" s="431" t="str">
        <f>IFERROR(VLOOKUP(RIGHT(E4916,3)+0,[1]SchLocTable!$A$2:$B$47,2,FALSE)," ")</f>
        <v>Discovery</v>
      </c>
      <c r="B4916" s="431" t="str">
        <f>VLOOKUP(VALUE(D4916),$D$3:F$106,3,FALSE)</f>
        <v>Speech/Language</v>
      </c>
      <c r="C4916" t="s">
        <v>314</v>
      </c>
      <c r="D4916" t="s">
        <v>1356</v>
      </c>
      <c r="E4916" t="s">
        <v>1383</v>
      </c>
      <c r="F4916" t="s">
        <v>316</v>
      </c>
      <c r="G4916" t="s">
        <v>319</v>
      </c>
      <c r="H4916" s="502" t="s">
        <v>1232</v>
      </c>
      <c r="I4916" s="415">
        <v>0</v>
      </c>
      <c r="J4916" s="415">
        <v>0</v>
      </c>
      <c r="K4916" s="415">
        <v>0</v>
      </c>
      <c r="L4916" s="415">
        <v>0</v>
      </c>
      <c r="M4916" s="415">
        <v>0</v>
      </c>
      <c r="N4916" s="415">
        <v>0</v>
      </c>
      <c r="O4916" s="415">
        <v>0</v>
      </c>
      <c r="P4916" s="415">
        <v>42567.21</v>
      </c>
      <c r="Q4916" s="501">
        <f t="shared" si="122"/>
        <v>0</v>
      </c>
    </row>
    <row r="4917" spans="1:17" x14ac:dyDescent="0.3">
      <c r="A4917" s="431" t="str">
        <f>IFERROR(VLOOKUP(RIGHT(E4917,3)+0,[1]SchLocTable!$A$2:$B$47,2,FALSE)," ")</f>
        <v>Discovery</v>
      </c>
      <c r="B4917" s="431" t="str">
        <f>VLOOKUP(VALUE(D4917),$D$3:F$106,3,FALSE)</f>
        <v>Speech/Language</v>
      </c>
      <c r="C4917" t="s">
        <v>314</v>
      </c>
      <c r="D4917" t="s">
        <v>1356</v>
      </c>
      <c r="E4917" t="s">
        <v>1383</v>
      </c>
      <c r="F4917" t="s">
        <v>320</v>
      </c>
      <c r="G4917" t="s">
        <v>319</v>
      </c>
      <c r="H4917" s="502" t="s">
        <v>1245</v>
      </c>
      <c r="I4917" s="415">
        <v>0</v>
      </c>
      <c r="J4917" s="415">
        <v>0</v>
      </c>
      <c r="K4917" s="415">
        <v>0</v>
      </c>
      <c r="L4917" s="415">
        <v>0</v>
      </c>
      <c r="M4917" s="415">
        <v>0</v>
      </c>
      <c r="N4917" s="415">
        <v>0</v>
      </c>
      <c r="O4917" s="415">
        <v>0</v>
      </c>
      <c r="P4917" s="415">
        <v>617.22</v>
      </c>
      <c r="Q4917" s="501">
        <f t="shared" si="122"/>
        <v>0</v>
      </c>
    </row>
    <row r="4918" spans="1:17" x14ac:dyDescent="0.3">
      <c r="A4918" s="431" t="str">
        <f>IFERROR(VLOOKUP(RIGHT(E4918,3)+0,[1]SchLocTable!$A$2:$B$47,2,FALSE)," ")</f>
        <v>Skane</v>
      </c>
      <c r="B4918" s="431" t="str">
        <f>VLOOKUP(VALUE(D4918),$D$3:F$106,3,FALSE)</f>
        <v>Speech/Language Paras</v>
      </c>
      <c r="C4918" t="s">
        <v>314</v>
      </c>
      <c r="D4918" t="s">
        <v>1398</v>
      </c>
      <c r="E4918" t="s">
        <v>1385</v>
      </c>
      <c r="F4918" t="s">
        <v>316</v>
      </c>
      <c r="G4918" t="s">
        <v>319</v>
      </c>
      <c r="H4918" s="502" t="s">
        <v>1232</v>
      </c>
      <c r="I4918" s="415">
        <v>0</v>
      </c>
      <c r="J4918" s="415">
        <v>0</v>
      </c>
      <c r="K4918" s="415">
        <v>0</v>
      </c>
      <c r="L4918" s="415">
        <v>0</v>
      </c>
      <c r="M4918" s="415">
        <v>0</v>
      </c>
      <c r="N4918" s="415">
        <v>0</v>
      </c>
      <c r="O4918" s="415">
        <v>42227.54</v>
      </c>
      <c r="P4918" s="415">
        <v>43333.93</v>
      </c>
      <c r="Q4918" s="501">
        <f t="shared" si="122"/>
        <v>0</v>
      </c>
    </row>
    <row r="4919" spans="1:17" x14ac:dyDescent="0.3">
      <c r="A4919" s="431" t="str">
        <f>IFERROR(VLOOKUP(RIGHT(E4919,3)+0,[1]SchLocTable!$A$2:$B$47,2,FALSE)," ")</f>
        <v>Skane</v>
      </c>
      <c r="B4919" s="431" t="str">
        <f>VLOOKUP(VALUE(D4919),$D$3:F$106,3,FALSE)</f>
        <v>Speech/Language Paras</v>
      </c>
      <c r="C4919" t="s">
        <v>314</v>
      </c>
      <c r="D4919" t="s">
        <v>1398</v>
      </c>
      <c r="E4919" t="s">
        <v>1385</v>
      </c>
      <c r="F4919" t="s">
        <v>321</v>
      </c>
      <c r="G4919" t="s">
        <v>319</v>
      </c>
      <c r="H4919" s="502" t="s">
        <v>1248</v>
      </c>
      <c r="I4919" s="415">
        <v>0</v>
      </c>
      <c r="J4919" s="415">
        <v>0</v>
      </c>
      <c r="K4919" s="415">
        <v>0</v>
      </c>
      <c r="L4919" s="415">
        <v>0</v>
      </c>
      <c r="M4919" s="415">
        <v>0</v>
      </c>
      <c r="N4919" s="415">
        <v>0</v>
      </c>
      <c r="O4919" s="415">
        <v>27705.15</v>
      </c>
      <c r="P4919" s="415">
        <v>26056.799999999999</v>
      </c>
      <c r="Q4919" s="501">
        <f t="shared" si="122"/>
        <v>0</v>
      </c>
    </row>
    <row r="4920" spans="1:17" x14ac:dyDescent="0.3">
      <c r="A4920" s="431" t="str">
        <f>IFERROR(VLOOKUP(RIGHT(E4920,3)+0,[1]SchLocTable!$A$2:$B$47,2,FALSE)," ")</f>
        <v>Skane</v>
      </c>
      <c r="B4920" s="431" t="str">
        <f>VLOOKUP(VALUE(D4920),$D$3:F$106,3,FALSE)</f>
        <v>Speech/Language Paras</v>
      </c>
      <c r="C4920" t="s">
        <v>314</v>
      </c>
      <c r="D4920" t="s">
        <v>1398</v>
      </c>
      <c r="E4920" t="s">
        <v>1385</v>
      </c>
      <c r="F4920" t="s">
        <v>318</v>
      </c>
      <c r="G4920" t="s">
        <v>319</v>
      </c>
      <c r="H4920" s="502" t="s">
        <v>1239</v>
      </c>
      <c r="I4920" s="415">
        <v>0</v>
      </c>
      <c r="J4920" s="415">
        <v>0</v>
      </c>
      <c r="K4920" s="415">
        <v>0</v>
      </c>
      <c r="L4920" s="415">
        <v>0</v>
      </c>
      <c r="M4920" s="415">
        <v>0</v>
      </c>
      <c r="N4920" s="415">
        <v>0</v>
      </c>
      <c r="O4920" s="415">
        <v>1540</v>
      </c>
      <c r="P4920" s="415">
        <v>1470</v>
      </c>
      <c r="Q4920" s="501">
        <f t="shared" si="122"/>
        <v>0</v>
      </c>
    </row>
    <row r="4921" spans="1:17" x14ac:dyDescent="0.3">
      <c r="A4921" s="431" t="str">
        <f>IFERROR(VLOOKUP(RIGHT(E4921,3)+0,[1]SchLocTable!$A$2:$B$47,2,FALSE)," ")</f>
        <v>Skane</v>
      </c>
      <c r="B4921" s="431" t="str">
        <f>VLOOKUP(VALUE(D4921),$D$3:F$106,3,FALSE)</f>
        <v>Speech/Language Paras</v>
      </c>
      <c r="C4921" t="s">
        <v>314</v>
      </c>
      <c r="D4921" t="s">
        <v>1398</v>
      </c>
      <c r="E4921" t="s">
        <v>1385</v>
      </c>
      <c r="F4921" t="s">
        <v>320</v>
      </c>
      <c r="G4921" t="s">
        <v>319</v>
      </c>
      <c r="H4921" s="502" t="s">
        <v>1245</v>
      </c>
      <c r="I4921" s="415">
        <v>0</v>
      </c>
      <c r="J4921" s="415">
        <v>0</v>
      </c>
      <c r="K4921" s="415">
        <v>0</v>
      </c>
      <c r="L4921" s="415">
        <v>0</v>
      </c>
      <c r="M4921" s="415">
        <v>0</v>
      </c>
      <c r="N4921" s="415">
        <v>0</v>
      </c>
      <c r="O4921" s="415">
        <v>634.63</v>
      </c>
      <c r="P4921" s="415">
        <v>649.66</v>
      </c>
      <c r="Q4921" s="501">
        <f t="shared" si="122"/>
        <v>0</v>
      </c>
    </row>
    <row r="4922" spans="1:17" x14ac:dyDescent="0.3">
      <c r="A4922" s="431" t="str">
        <f>IFERROR(VLOOKUP(RIGHT(E4922,3)+0,[1]SchLocTable!$A$2:$B$47,2,FALSE)," ")</f>
        <v>Skane</v>
      </c>
      <c r="B4922" s="431" t="str">
        <f>VLOOKUP(VALUE(D4922),$D$3:F$106,3,FALSE)</f>
        <v>Speech/Language Paras</v>
      </c>
      <c r="C4922" t="s">
        <v>314</v>
      </c>
      <c r="D4922" t="s">
        <v>1398</v>
      </c>
      <c r="E4922" t="s">
        <v>1385</v>
      </c>
      <c r="F4922" t="s">
        <v>392</v>
      </c>
      <c r="G4922" t="s">
        <v>319</v>
      </c>
      <c r="H4922" s="502" t="s">
        <v>1247</v>
      </c>
      <c r="I4922" s="415">
        <v>0</v>
      </c>
      <c r="J4922" s="415">
        <v>0</v>
      </c>
      <c r="K4922" s="415">
        <v>0</v>
      </c>
      <c r="L4922" s="415">
        <v>0</v>
      </c>
      <c r="M4922" s="415">
        <v>0</v>
      </c>
      <c r="N4922" s="415">
        <v>0</v>
      </c>
      <c r="O4922" s="415">
        <v>7173.59</v>
      </c>
      <c r="P4922" s="415">
        <v>6375.62</v>
      </c>
      <c r="Q4922" s="501">
        <f t="shared" si="122"/>
        <v>0</v>
      </c>
    </row>
    <row r="4923" spans="1:17" x14ac:dyDescent="0.3">
      <c r="A4923" s="431" t="str">
        <f>IFERROR(VLOOKUP(RIGHT(E4923,3)+0,[1]SchLocTable!$A$2:$B$47,2,FALSE)," ")</f>
        <v xml:space="preserve"> </v>
      </c>
      <c r="B4923" s="431" t="str">
        <f>VLOOKUP(VALUE(D4923),$D$3:F$106,3,FALSE)</f>
        <v>School Nurses</v>
      </c>
      <c r="C4923" t="s">
        <v>314</v>
      </c>
      <c r="D4923" t="s">
        <v>1358</v>
      </c>
      <c r="E4923" t="s">
        <v>1035</v>
      </c>
      <c r="F4923" t="s">
        <v>1208</v>
      </c>
      <c r="G4923" t="s">
        <v>319</v>
      </c>
      <c r="H4923" s="502" t="s">
        <v>1391</v>
      </c>
      <c r="I4923" s="415">
        <v>0</v>
      </c>
      <c r="J4923" s="415">
        <v>0</v>
      </c>
      <c r="K4923" s="415">
        <v>0</v>
      </c>
      <c r="L4923" s="415">
        <v>0</v>
      </c>
      <c r="M4923" s="415">
        <v>0</v>
      </c>
      <c r="N4923" s="415">
        <v>0</v>
      </c>
      <c r="O4923" s="415">
        <v>0</v>
      </c>
      <c r="P4923" s="415">
        <v>76</v>
      </c>
      <c r="Q4923" s="501">
        <f t="shared" si="122"/>
        <v>0</v>
      </c>
    </row>
    <row r="4924" spans="1:17" x14ac:dyDescent="0.3">
      <c r="A4924" s="431" t="str">
        <f>IFERROR(VLOOKUP(RIGHT(E4924,3)+0,[1]SchLocTable!$A$2:$B$47,2,FALSE)," ")</f>
        <v xml:space="preserve"> </v>
      </c>
      <c r="B4924" s="431" t="str">
        <f>VLOOKUP(VALUE(D4924),$D$3:F$106,3,FALSE)</f>
        <v>School Nurses</v>
      </c>
      <c r="C4924" t="s">
        <v>314</v>
      </c>
      <c r="D4924" t="s">
        <v>1358</v>
      </c>
      <c r="E4924" t="s">
        <v>1037</v>
      </c>
      <c r="F4924" t="s">
        <v>360</v>
      </c>
      <c r="G4924" t="s">
        <v>319</v>
      </c>
      <c r="H4924" s="502" t="s">
        <v>1249</v>
      </c>
      <c r="I4924" s="415">
        <v>0</v>
      </c>
      <c r="J4924" s="415">
        <v>0</v>
      </c>
      <c r="K4924" s="415">
        <v>0</v>
      </c>
      <c r="L4924" s="415">
        <v>0</v>
      </c>
      <c r="M4924" s="415">
        <v>0</v>
      </c>
      <c r="N4924" s="415">
        <v>0</v>
      </c>
      <c r="O4924" s="415">
        <v>2533.34</v>
      </c>
      <c r="P4924" s="415">
        <v>2800</v>
      </c>
      <c r="Q4924" s="501">
        <f t="shared" si="122"/>
        <v>0</v>
      </c>
    </row>
    <row r="4925" spans="1:17" x14ac:dyDescent="0.3">
      <c r="A4925" s="431" t="str">
        <f>IFERROR(VLOOKUP(RIGHT(E4925,3)+0,[1]SchLocTable!$A$2:$B$47,2,FALSE)," ")</f>
        <v>Black Rock</v>
      </c>
      <c r="B4925" s="431" t="str">
        <f>VLOOKUP(VALUE(D4925),$D$3:F$106,3,FALSE)</f>
        <v>School Nurses</v>
      </c>
      <c r="C4925" t="s">
        <v>314</v>
      </c>
      <c r="D4925" t="s">
        <v>1358</v>
      </c>
      <c r="E4925" t="s">
        <v>1040</v>
      </c>
      <c r="F4925" t="s">
        <v>324</v>
      </c>
      <c r="G4925" t="s">
        <v>319</v>
      </c>
      <c r="H4925" s="502">
        <v>52385</v>
      </c>
      <c r="I4925" s="415"/>
      <c r="J4925" s="415"/>
      <c r="K4925" s="415"/>
      <c r="L4925" s="415">
        <v>0</v>
      </c>
      <c r="M4925" s="415">
        <v>0</v>
      </c>
      <c r="N4925" s="415">
        <v>1914.91</v>
      </c>
      <c r="O4925" s="415">
        <v>0</v>
      </c>
      <c r="P4925" s="415">
        <v>0</v>
      </c>
      <c r="Q4925" s="501">
        <f t="shared" si="122"/>
        <v>0</v>
      </c>
    </row>
    <row r="4926" spans="1:17" x14ac:dyDescent="0.3">
      <c r="A4926" s="431" t="str">
        <f>IFERROR(VLOOKUP(RIGHT(E4926,3)+0,[1]SchLocTable!$A$2:$B$47,2,FALSE)," ")</f>
        <v>Bryant</v>
      </c>
      <c r="B4926" s="431" t="str">
        <f>VLOOKUP(VALUE(D4926),$D$3:F$106,3,FALSE)</f>
        <v>School Nurses</v>
      </c>
      <c r="C4926" t="s">
        <v>314</v>
      </c>
      <c r="D4926" t="s">
        <v>1358</v>
      </c>
      <c r="E4926" t="s">
        <v>1041</v>
      </c>
      <c r="F4926" t="s">
        <v>1036</v>
      </c>
      <c r="G4926" t="s">
        <v>319</v>
      </c>
      <c r="H4926" s="502" t="s">
        <v>1296</v>
      </c>
      <c r="I4926" s="415">
        <v>0</v>
      </c>
      <c r="J4926" s="415">
        <v>0</v>
      </c>
      <c r="K4926" s="415">
        <v>0</v>
      </c>
      <c r="L4926" s="415">
        <v>0</v>
      </c>
      <c r="M4926" s="415">
        <v>0</v>
      </c>
      <c r="N4926" s="415">
        <v>0</v>
      </c>
      <c r="O4926" s="415">
        <v>500</v>
      </c>
      <c r="P4926" s="415">
        <v>500</v>
      </c>
      <c r="Q4926" s="501">
        <f t="shared" si="122"/>
        <v>0</v>
      </c>
    </row>
    <row r="4927" spans="1:17" x14ac:dyDescent="0.3">
      <c r="A4927" s="431" t="str">
        <f>IFERROR(VLOOKUP(RIGHT(E4927,3)+0,[1]SchLocTable!$A$2:$B$47,2,FALSE)," ")</f>
        <v>Bryant</v>
      </c>
      <c r="B4927" s="431" t="str">
        <f>VLOOKUP(VALUE(D4927),$D$3:F$106,3,FALSE)</f>
        <v>School Nurses</v>
      </c>
      <c r="C4927" t="s">
        <v>314</v>
      </c>
      <c r="D4927" t="s">
        <v>1358</v>
      </c>
      <c r="E4927" t="s">
        <v>1041</v>
      </c>
      <c r="F4927" t="s">
        <v>318</v>
      </c>
      <c r="G4927" t="s">
        <v>319</v>
      </c>
      <c r="H4927" s="502" t="s">
        <v>1239</v>
      </c>
      <c r="I4927" s="415">
        <v>0</v>
      </c>
      <c r="J4927" s="415">
        <v>0</v>
      </c>
      <c r="K4927" s="415">
        <v>0</v>
      </c>
      <c r="L4927" s="415">
        <v>0</v>
      </c>
      <c r="M4927" s="415">
        <v>0</v>
      </c>
      <c r="N4927" s="415">
        <v>0</v>
      </c>
      <c r="O4927" s="415">
        <v>495.8</v>
      </c>
      <c r="P4927" s="415">
        <v>0</v>
      </c>
      <c r="Q4927" s="501">
        <f t="shared" ref="Q4927:Q4990" si="123">J4927-I4927</f>
        <v>0</v>
      </c>
    </row>
    <row r="4928" spans="1:17" x14ac:dyDescent="0.3">
      <c r="A4928" s="431" t="str">
        <f>IFERROR(VLOOKUP(RIGHT(E4928,3)+0,[1]SchLocTable!$A$2:$B$47,2,FALSE)," ")</f>
        <v>Bryant</v>
      </c>
      <c r="B4928" s="431" t="str">
        <f>VLOOKUP(VALUE(D4928),$D$3:F$106,3,FALSE)</f>
        <v>School Nurses</v>
      </c>
      <c r="C4928" t="s">
        <v>314</v>
      </c>
      <c r="D4928" t="s">
        <v>1358</v>
      </c>
      <c r="E4928" t="s">
        <v>1041</v>
      </c>
      <c r="F4928" t="s">
        <v>419</v>
      </c>
      <c r="G4928" t="s">
        <v>319</v>
      </c>
      <c r="H4928" s="502" t="s">
        <v>1243</v>
      </c>
      <c r="I4928" s="415">
        <v>0</v>
      </c>
      <c r="J4928" s="415">
        <v>0</v>
      </c>
      <c r="K4928" s="415">
        <v>0</v>
      </c>
      <c r="L4928" s="415">
        <v>0</v>
      </c>
      <c r="M4928" s="415">
        <v>0</v>
      </c>
      <c r="N4928" s="415">
        <v>0</v>
      </c>
      <c r="O4928" s="415">
        <v>437.67</v>
      </c>
      <c r="P4928" s="415">
        <v>0</v>
      </c>
      <c r="Q4928" s="501">
        <f t="shared" si="123"/>
        <v>0</v>
      </c>
    </row>
    <row r="4929" spans="1:17" x14ac:dyDescent="0.3">
      <c r="A4929" s="431" t="str">
        <f>IFERROR(VLOOKUP(RIGHT(E4929,3)+0,[1]SchLocTable!$A$2:$B$47,2,FALSE)," ")</f>
        <v>Bryant</v>
      </c>
      <c r="B4929" s="431" t="str">
        <f>VLOOKUP(VALUE(D4929),$D$3:F$106,3,FALSE)</f>
        <v>School Nurses</v>
      </c>
      <c r="C4929" t="s">
        <v>314</v>
      </c>
      <c r="D4929" t="s">
        <v>1358</v>
      </c>
      <c r="E4929" t="s">
        <v>1041</v>
      </c>
      <c r="F4929" t="s">
        <v>329</v>
      </c>
      <c r="G4929" t="s">
        <v>319</v>
      </c>
      <c r="H4929" s="502" t="s">
        <v>1240</v>
      </c>
      <c r="I4929" s="415">
        <v>0</v>
      </c>
      <c r="J4929" s="415">
        <v>0</v>
      </c>
      <c r="K4929" s="415">
        <v>0</v>
      </c>
      <c r="L4929" s="415">
        <v>0</v>
      </c>
      <c r="M4929" s="415">
        <v>0</v>
      </c>
      <c r="N4929" s="415">
        <v>0</v>
      </c>
      <c r="O4929" s="415">
        <v>5812.48</v>
      </c>
      <c r="P4929" s="415">
        <v>0</v>
      </c>
      <c r="Q4929" s="501">
        <f t="shared" si="123"/>
        <v>0</v>
      </c>
    </row>
    <row r="4930" spans="1:17" x14ac:dyDescent="0.3">
      <c r="A4930" s="431" t="str">
        <f>IFERROR(VLOOKUP(RIGHT(E4930,3)+0,[1]SchLocTable!$A$2:$B$47,2,FALSE)," ")</f>
        <v>Columbus</v>
      </c>
      <c r="B4930" s="431" t="str">
        <f>VLOOKUP(VALUE(D4930),$D$3:F$106,3,FALSE)</f>
        <v>School Nurses</v>
      </c>
      <c r="C4930" t="s">
        <v>314</v>
      </c>
      <c r="D4930" t="s">
        <v>1358</v>
      </c>
      <c r="E4930" t="s">
        <v>1042</v>
      </c>
      <c r="F4930" t="s">
        <v>1036</v>
      </c>
      <c r="G4930" t="s">
        <v>319</v>
      </c>
      <c r="H4930" s="502" t="s">
        <v>1296</v>
      </c>
      <c r="I4930" s="415">
        <v>0</v>
      </c>
      <c r="J4930" s="415">
        <v>0</v>
      </c>
      <c r="K4930" s="415">
        <v>0</v>
      </c>
      <c r="L4930" s="415">
        <v>0</v>
      </c>
      <c r="M4930" s="415">
        <v>0</v>
      </c>
      <c r="N4930" s="415">
        <v>0</v>
      </c>
      <c r="O4930" s="415">
        <v>350</v>
      </c>
      <c r="P4930" s="415">
        <v>350</v>
      </c>
      <c r="Q4930" s="501">
        <f t="shared" si="123"/>
        <v>0</v>
      </c>
    </row>
    <row r="4931" spans="1:17" x14ac:dyDescent="0.3">
      <c r="A4931" s="431" t="str">
        <f>IFERROR(VLOOKUP(RIGHT(E4931,3)+0,[1]SchLocTable!$A$2:$B$47,2,FALSE)," ")</f>
        <v>Columbus</v>
      </c>
      <c r="B4931" s="431" t="str">
        <f>VLOOKUP(VALUE(D4931),$D$3:F$106,3,FALSE)</f>
        <v>School Nurses</v>
      </c>
      <c r="C4931" t="s">
        <v>314</v>
      </c>
      <c r="D4931" t="s">
        <v>1358</v>
      </c>
      <c r="E4931" t="s">
        <v>1042</v>
      </c>
      <c r="F4931" t="s">
        <v>316</v>
      </c>
      <c r="G4931" t="s">
        <v>319</v>
      </c>
      <c r="H4931" s="502">
        <v>51000</v>
      </c>
      <c r="I4931" s="415"/>
      <c r="J4931" s="415"/>
      <c r="K4931" s="415"/>
      <c r="L4931" s="415">
        <v>0</v>
      </c>
      <c r="M4931" s="415">
        <v>0</v>
      </c>
      <c r="N4931" s="415">
        <v>8979.7999999999993</v>
      </c>
      <c r="O4931" s="415">
        <v>70180.06</v>
      </c>
      <c r="P4931" s="415">
        <v>59907.35</v>
      </c>
      <c r="Q4931" s="501">
        <f t="shared" si="123"/>
        <v>0</v>
      </c>
    </row>
    <row r="4932" spans="1:17" x14ac:dyDescent="0.3">
      <c r="A4932" s="431" t="str">
        <f>IFERROR(VLOOKUP(RIGHT(E4932,3)+0,[1]SchLocTable!$A$2:$B$47,2,FALSE)," ")</f>
        <v>Columbus</v>
      </c>
      <c r="B4932" s="431" t="str">
        <f>VLOOKUP(VALUE(D4932),$D$3:F$106,3,FALSE)</f>
        <v>School Nurses</v>
      </c>
      <c r="C4932" t="s">
        <v>314</v>
      </c>
      <c r="D4932" t="s">
        <v>1358</v>
      </c>
      <c r="E4932" t="s">
        <v>1042</v>
      </c>
      <c r="F4932" t="s">
        <v>321</v>
      </c>
      <c r="G4932" t="s">
        <v>319</v>
      </c>
      <c r="H4932" s="502">
        <v>52917</v>
      </c>
      <c r="I4932" s="415"/>
      <c r="J4932" s="415"/>
      <c r="K4932" s="415"/>
      <c r="L4932" s="415">
        <v>0</v>
      </c>
      <c r="M4932" s="415">
        <v>0</v>
      </c>
      <c r="N4932" s="415">
        <v>1395.34</v>
      </c>
      <c r="O4932" s="415">
        <v>9326.7800000000007</v>
      </c>
      <c r="P4932" s="415">
        <v>8862.34</v>
      </c>
      <c r="Q4932" s="501">
        <f t="shared" si="123"/>
        <v>0</v>
      </c>
    </row>
    <row r="4933" spans="1:17" x14ac:dyDescent="0.3">
      <c r="A4933" s="431" t="str">
        <f>IFERROR(VLOOKUP(RIGHT(E4933,3)+0,[1]SchLocTable!$A$2:$B$47,2,FALSE)," ")</f>
        <v>Marin</v>
      </c>
      <c r="B4933" s="431" t="str">
        <f>VLOOKUP(VALUE(D4933),$D$3:F$106,3,FALSE)</f>
        <v>School Nurses</v>
      </c>
      <c r="C4933" t="s">
        <v>314</v>
      </c>
      <c r="D4933" t="s">
        <v>1358</v>
      </c>
      <c r="E4933" t="s">
        <v>1044</v>
      </c>
      <c r="F4933" t="s">
        <v>1036</v>
      </c>
      <c r="G4933" t="s">
        <v>319</v>
      </c>
      <c r="H4933" s="502">
        <v>53905</v>
      </c>
      <c r="I4933" s="415"/>
      <c r="J4933" s="415"/>
      <c r="K4933" s="415"/>
      <c r="L4933" s="415">
        <v>0</v>
      </c>
      <c r="M4933" s="415">
        <v>0</v>
      </c>
      <c r="N4933" s="415">
        <v>350</v>
      </c>
      <c r="O4933" s="415">
        <v>0</v>
      </c>
      <c r="P4933" s="415">
        <v>0</v>
      </c>
      <c r="Q4933" s="501">
        <f t="shared" si="123"/>
        <v>0</v>
      </c>
    </row>
    <row r="4934" spans="1:17" x14ac:dyDescent="0.3">
      <c r="A4934" s="431" t="str">
        <f>IFERROR(VLOOKUP(RIGHT(E4934,3)+0,[1]SchLocTable!$A$2:$B$47,2,FALSE)," ")</f>
        <v>Hallen</v>
      </c>
      <c r="B4934" s="431" t="str">
        <f>VLOOKUP(VALUE(D4934),$D$3:F$106,3,FALSE)</f>
        <v>School Nurses</v>
      </c>
      <c r="C4934" t="s">
        <v>314</v>
      </c>
      <c r="D4934" t="s">
        <v>1358</v>
      </c>
      <c r="E4934" t="s">
        <v>1046</v>
      </c>
      <c r="F4934" t="s">
        <v>360</v>
      </c>
      <c r="G4934" t="s">
        <v>319</v>
      </c>
      <c r="H4934" s="502" t="s">
        <v>1249</v>
      </c>
      <c r="I4934" s="415">
        <v>0</v>
      </c>
      <c r="J4934" s="415">
        <v>0</v>
      </c>
      <c r="K4934" s="415">
        <v>0</v>
      </c>
      <c r="L4934" s="415">
        <v>0</v>
      </c>
      <c r="M4934" s="415">
        <v>0</v>
      </c>
      <c r="N4934" s="415">
        <v>0</v>
      </c>
      <c r="O4934" s="415">
        <v>0</v>
      </c>
      <c r="P4934" s="415">
        <v>2000</v>
      </c>
      <c r="Q4934" s="501">
        <f t="shared" si="123"/>
        <v>0</v>
      </c>
    </row>
    <row r="4935" spans="1:17" x14ac:dyDescent="0.3">
      <c r="A4935" s="431" t="str">
        <f>IFERROR(VLOOKUP(RIGHT(E4935,3)+0,[1]SchLocTable!$A$2:$B$47,2,FALSE)," ")</f>
        <v>Hallen</v>
      </c>
      <c r="B4935" s="431" t="str">
        <f>VLOOKUP(VALUE(D4935),$D$3:F$106,3,FALSE)</f>
        <v>School Nurses</v>
      </c>
      <c r="C4935" t="s">
        <v>314</v>
      </c>
      <c r="D4935" t="s">
        <v>1358</v>
      </c>
      <c r="E4935" t="s">
        <v>1046</v>
      </c>
      <c r="F4935" t="s">
        <v>324</v>
      </c>
      <c r="G4935" t="s">
        <v>319</v>
      </c>
      <c r="H4935" s="502">
        <v>52385</v>
      </c>
      <c r="I4935" s="415"/>
      <c r="J4935" s="415"/>
      <c r="K4935" s="415"/>
      <c r="L4935" s="415">
        <v>0</v>
      </c>
      <c r="M4935" s="415">
        <v>0</v>
      </c>
      <c r="N4935" s="415">
        <v>1758.52</v>
      </c>
      <c r="O4935" s="415">
        <v>0</v>
      </c>
      <c r="P4935" s="415">
        <v>0</v>
      </c>
      <c r="Q4935" s="501">
        <f t="shared" si="123"/>
        <v>0</v>
      </c>
    </row>
    <row r="4936" spans="1:17" x14ac:dyDescent="0.3">
      <c r="A4936" s="431" t="str">
        <f>IFERROR(VLOOKUP(RIGHT(E4936,3)+0,[1]SchLocTable!$A$2:$B$47,2,FALSE)," ")</f>
        <v>Madison</v>
      </c>
      <c r="B4936" s="431" t="str">
        <f>VLOOKUP(VALUE(D4936),$D$3:F$106,3,FALSE)</f>
        <v>School Nurses</v>
      </c>
      <c r="C4936" t="s">
        <v>314</v>
      </c>
      <c r="D4936" t="s">
        <v>1358</v>
      </c>
      <c r="E4936" t="s">
        <v>1051</v>
      </c>
      <c r="F4936" t="s">
        <v>329</v>
      </c>
      <c r="G4936" t="s">
        <v>319</v>
      </c>
      <c r="H4936" s="502">
        <v>51154</v>
      </c>
      <c r="I4936" s="415"/>
      <c r="J4936" s="415"/>
      <c r="K4936" s="415"/>
      <c r="L4936" s="415">
        <v>0</v>
      </c>
      <c r="M4936" s="415">
        <v>0</v>
      </c>
      <c r="N4936" s="415">
        <v>2365.5100000000002</v>
      </c>
      <c r="O4936" s="415">
        <v>0</v>
      </c>
      <c r="P4936" s="415">
        <v>0</v>
      </c>
      <c r="Q4936" s="501">
        <f t="shared" si="123"/>
        <v>0</v>
      </c>
    </row>
    <row r="4937" spans="1:17" x14ac:dyDescent="0.3">
      <c r="A4937" s="431" t="str">
        <f>IFERROR(VLOOKUP(RIGHT(E4937,3)+0,[1]SchLocTable!$A$2:$B$47,2,FALSE)," ")</f>
        <v>Tisdale</v>
      </c>
      <c r="B4937" s="431" t="str">
        <f>VLOOKUP(VALUE(D4937),$D$3:F$106,3,FALSE)</f>
        <v>School Nurses</v>
      </c>
      <c r="C4937" t="s">
        <v>314</v>
      </c>
      <c r="D4937" t="s">
        <v>1358</v>
      </c>
      <c r="E4937" t="s">
        <v>1053</v>
      </c>
      <c r="F4937" t="s">
        <v>1036</v>
      </c>
      <c r="G4937" t="s">
        <v>319</v>
      </c>
      <c r="H4937" s="502" t="s">
        <v>1296</v>
      </c>
      <c r="I4937" s="415">
        <v>0</v>
      </c>
      <c r="J4937" s="415">
        <v>0</v>
      </c>
      <c r="K4937" s="415">
        <v>0</v>
      </c>
      <c r="L4937" s="415">
        <v>0</v>
      </c>
      <c r="M4937" s="415">
        <v>0</v>
      </c>
      <c r="N4937" s="415">
        <v>0</v>
      </c>
      <c r="O4937" s="415">
        <v>0</v>
      </c>
      <c r="P4937" s="415">
        <v>350</v>
      </c>
      <c r="Q4937" s="501">
        <f t="shared" si="123"/>
        <v>0</v>
      </c>
    </row>
    <row r="4938" spans="1:17" x14ac:dyDescent="0.3">
      <c r="A4938" s="431" t="str">
        <f>IFERROR(VLOOKUP(RIGHT(E4938,3)+0,[1]SchLocTable!$A$2:$B$47,2,FALSE)," ")</f>
        <v>Read</v>
      </c>
      <c r="B4938" s="431" t="str">
        <f>VLOOKUP(VALUE(D4938),$D$3:F$106,3,FALSE)</f>
        <v>School Nurses</v>
      </c>
      <c r="C4938" t="s">
        <v>314</v>
      </c>
      <c r="D4938" t="s">
        <v>1358</v>
      </c>
      <c r="E4938" t="s">
        <v>1054</v>
      </c>
      <c r="F4938" t="s">
        <v>1036</v>
      </c>
      <c r="G4938" t="s">
        <v>319</v>
      </c>
      <c r="H4938" s="502" t="s">
        <v>1296</v>
      </c>
      <c r="I4938" s="415">
        <v>0</v>
      </c>
      <c r="J4938" s="415">
        <v>0</v>
      </c>
      <c r="K4938" s="415">
        <v>0</v>
      </c>
      <c r="L4938" s="415">
        <v>0</v>
      </c>
      <c r="M4938" s="415">
        <v>0</v>
      </c>
      <c r="N4938" s="415">
        <v>0</v>
      </c>
      <c r="O4938" s="415">
        <v>350</v>
      </c>
      <c r="P4938" s="415">
        <v>350</v>
      </c>
      <c r="Q4938" s="501">
        <f t="shared" si="123"/>
        <v>0</v>
      </c>
    </row>
    <row r="4939" spans="1:17" x14ac:dyDescent="0.3">
      <c r="A4939" s="431" t="str">
        <f>IFERROR(VLOOKUP(RIGHT(E4939,3)+0,[1]SchLocTable!$A$2:$B$47,2,FALSE)," ")</f>
        <v>Read</v>
      </c>
      <c r="B4939" s="431" t="str">
        <f>VLOOKUP(VALUE(D4939),$D$3:F$106,3,FALSE)</f>
        <v>School Nurses</v>
      </c>
      <c r="C4939" t="s">
        <v>314</v>
      </c>
      <c r="D4939" t="s">
        <v>1358</v>
      </c>
      <c r="E4939" t="s">
        <v>1054</v>
      </c>
      <c r="F4939" t="s">
        <v>318</v>
      </c>
      <c r="G4939" t="s">
        <v>319</v>
      </c>
      <c r="H4939" s="502" t="s">
        <v>1239</v>
      </c>
      <c r="I4939" s="415">
        <v>0</v>
      </c>
      <c r="J4939" s="415">
        <v>0</v>
      </c>
      <c r="K4939" s="415">
        <v>0</v>
      </c>
      <c r="L4939" s="415">
        <v>0</v>
      </c>
      <c r="M4939" s="415">
        <v>0</v>
      </c>
      <c r="N4939" s="415">
        <v>0</v>
      </c>
      <c r="O4939" s="415">
        <v>1800</v>
      </c>
      <c r="P4939" s="415">
        <v>1800</v>
      </c>
      <c r="Q4939" s="501">
        <f t="shared" si="123"/>
        <v>0</v>
      </c>
    </row>
    <row r="4940" spans="1:17" x14ac:dyDescent="0.3">
      <c r="A4940" s="431" t="str">
        <f>IFERROR(VLOOKUP(RIGHT(E4940,3)+0,[1]SchLocTable!$A$2:$B$47,2,FALSE)," ")</f>
        <v>Claytor</v>
      </c>
      <c r="B4940" s="431" t="str">
        <f>VLOOKUP(VALUE(D4940),$D$3:F$106,3,FALSE)</f>
        <v>School Nurses</v>
      </c>
      <c r="C4940" t="s">
        <v>314</v>
      </c>
      <c r="D4940" t="s">
        <v>1358</v>
      </c>
      <c r="E4940" t="s">
        <v>1058</v>
      </c>
      <c r="F4940" t="s">
        <v>1036</v>
      </c>
      <c r="G4940" t="s">
        <v>319</v>
      </c>
      <c r="H4940" s="502" t="s">
        <v>1296</v>
      </c>
      <c r="I4940" s="415">
        <v>0</v>
      </c>
      <c r="J4940" s="415">
        <v>0</v>
      </c>
      <c r="K4940" s="415">
        <v>0</v>
      </c>
      <c r="L4940" s="415">
        <v>0</v>
      </c>
      <c r="M4940" s="415">
        <v>0</v>
      </c>
      <c r="N4940" s="415">
        <v>0</v>
      </c>
      <c r="O4940" s="415">
        <v>500</v>
      </c>
      <c r="P4940" s="415">
        <v>500</v>
      </c>
      <c r="Q4940" s="501">
        <f t="shared" si="123"/>
        <v>0</v>
      </c>
    </row>
    <row r="4941" spans="1:17" x14ac:dyDescent="0.3">
      <c r="A4941" s="431" t="str">
        <f>IFERROR(VLOOKUP(RIGHT(E4941,3)+0,[1]SchLocTable!$A$2:$B$47,2,FALSE)," ")</f>
        <v>Claytor</v>
      </c>
      <c r="B4941" s="431" t="str">
        <f>VLOOKUP(VALUE(D4941),$D$3:F$106,3,FALSE)</f>
        <v>School Nurses</v>
      </c>
      <c r="C4941" t="s">
        <v>314</v>
      </c>
      <c r="D4941" t="s">
        <v>1358</v>
      </c>
      <c r="E4941" t="s">
        <v>1058</v>
      </c>
      <c r="F4941" t="s">
        <v>360</v>
      </c>
      <c r="G4941" t="s">
        <v>319</v>
      </c>
      <c r="H4941" s="502" t="s">
        <v>1249</v>
      </c>
      <c r="I4941" s="415">
        <v>0</v>
      </c>
      <c r="J4941" s="415">
        <v>0</v>
      </c>
      <c r="K4941" s="415">
        <v>0</v>
      </c>
      <c r="L4941" s="415">
        <v>0</v>
      </c>
      <c r="M4941" s="415">
        <v>0</v>
      </c>
      <c r="N4941" s="415">
        <v>0</v>
      </c>
      <c r="O4941" s="415">
        <v>1166.67</v>
      </c>
      <c r="P4941" s="415">
        <v>2000</v>
      </c>
      <c r="Q4941" s="501">
        <f t="shared" si="123"/>
        <v>0</v>
      </c>
    </row>
    <row r="4942" spans="1:17" x14ac:dyDescent="0.3">
      <c r="A4942" s="431" t="str">
        <f>IFERROR(VLOOKUP(RIGHT(E4942,3)+0,[1]SchLocTable!$A$2:$B$47,2,FALSE)," ")</f>
        <v>Claytor</v>
      </c>
      <c r="B4942" s="431" t="str">
        <f>VLOOKUP(VALUE(D4942),$D$3:F$106,3,FALSE)</f>
        <v>School Nurses</v>
      </c>
      <c r="C4942" t="s">
        <v>314</v>
      </c>
      <c r="D4942" t="s">
        <v>1358</v>
      </c>
      <c r="E4942" t="s">
        <v>1058</v>
      </c>
      <c r="F4942" t="s">
        <v>324</v>
      </c>
      <c r="G4942" t="s">
        <v>319</v>
      </c>
      <c r="H4942" s="502">
        <v>52385</v>
      </c>
      <c r="I4942" s="415"/>
      <c r="J4942" s="415"/>
      <c r="K4942" s="415"/>
      <c r="L4942" s="415">
        <v>0</v>
      </c>
      <c r="M4942" s="415"/>
      <c r="N4942" s="415">
        <v>1842.17</v>
      </c>
      <c r="O4942" s="415">
        <v>0</v>
      </c>
      <c r="P4942" s="415">
        <v>0</v>
      </c>
      <c r="Q4942" s="501">
        <f t="shared" si="123"/>
        <v>0</v>
      </c>
    </row>
    <row r="4943" spans="1:17" x14ac:dyDescent="0.3">
      <c r="A4943" s="431" t="str">
        <f>IFERROR(VLOOKUP(RIGHT(E4943,3)+0,[1]SchLocTable!$A$2:$B$47,2,FALSE)," ")</f>
        <v>Discovery</v>
      </c>
      <c r="B4943" s="431" t="str">
        <f>VLOOKUP(VALUE(D4943),$D$3:F$106,3,FALSE)</f>
        <v>School Nurses</v>
      </c>
      <c r="C4943" t="s">
        <v>314</v>
      </c>
      <c r="D4943" t="s">
        <v>1358</v>
      </c>
      <c r="E4943" t="s">
        <v>1061</v>
      </c>
      <c r="F4943" t="s">
        <v>419</v>
      </c>
      <c r="G4943" t="s">
        <v>319</v>
      </c>
      <c r="H4943" s="502" t="s">
        <v>1243</v>
      </c>
      <c r="I4943" s="415">
        <v>0</v>
      </c>
      <c r="J4943" s="415">
        <v>0</v>
      </c>
      <c r="K4943" s="415">
        <v>0</v>
      </c>
      <c r="L4943" s="415">
        <v>0</v>
      </c>
      <c r="M4943" s="415">
        <v>0</v>
      </c>
      <c r="N4943" s="415">
        <v>0</v>
      </c>
      <c r="O4943" s="415">
        <v>0</v>
      </c>
      <c r="P4943" s="415">
        <v>974.12</v>
      </c>
      <c r="Q4943" s="501">
        <f t="shared" si="123"/>
        <v>0</v>
      </c>
    </row>
    <row r="4944" spans="1:17" x14ac:dyDescent="0.3">
      <c r="A4944" s="431" t="str">
        <f>IFERROR(VLOOKUP(RIGHT(E4944,3)+0,[1]SchLocTable!$A$2:$B$47,2,FALSE)," ")</f>
        <v>Discovery</v>
      </c>
      <c r="B4944" s="431" t="str">
        <f>VLOOKUP(VALUE(D4944),$D$3:F$106,3,FALSE)</f>
        <v>School Nurses</v>
      </c>
      <c r="C4944" t="s">
        <v>314</v>
      </c>
      <c r="D4944" t="s">
        <v>1358</v>
      </c>
      <c r="E4944" t="s">
        <v>1061</v>
      </c>
      <c r="F4944" t="s">
        <v>329</v>
      </c>
      <c r="G4944" t="s">
        <v>319</v>
      </c>
      <c r="H4944" s="502" t="s">
        <v>1240</v>
      </c>
      <c r="I4944" s="415">
        <v>0</v>
      </c>
      <c r="J4944" s="415">
        <v>0</v>
      </c>
      <c r="K4944" s="415">
        <v>0</v>
      </c>
      <c r="L4944" s="415">
        <v>0</v>
      </c>
      <c r="M4944" s="415">
        <v>0</v>
      </c>
      <c r="N4944" s="415">
        <v>0</v>
      </c>
      <c r="O4944" s="415">
        <v>0</v>
      </c>
      <c r="P4944" s="415">
        <v>8062.58</v>
      </c>
      <c r="Q4944" s="501">
        <f t="shared" si="123"/>
        <v>0</v>
      </c>
    </row>
    <row r="4945" spans="1:17" x14ac:dyDescent="0.3">
      <c r="A4945" s="431" t="str">
        <f>IFERROR(VLOOKUP(RIGHT(E4945,3)+0,[1]SchLocTable!$A$2:$B$47,2,FALSE)," ")</f>
        <v>Blackham</v>
      </c>
      <c r="B4945" s="431" t="str">
        <f>VLOOKUP(VALUE(D4945),$D$3:F$106,3,FALSE)</f>
        <v>School Nurses</v>
      </c>
      <c r="C4945" t="s">
        <v>314</v>
      </c>
      <c r="D4945" t="s">
        <v>1358</v>
      </c>
      <c r="E4945" t="s">
        <v>1063</v>
      </c>
      <c r="F4945" t="s">
        <v>324</v>
      </c>
      <c r="G4945" t="s">
        <v>319</v>
      </c>
      <c r="H4945" s="502" t="s">
        <v>1246</v>
      </c>
      <c r="I4945" s="415">
        <v>0</v>
      </c>
      <c r="J4945" s="415">
        <v>0</v>
      </c>
      <c r="K4945" s="415">
        <v>0</v>
      </c>
      <c r="L4945" s="415">
        <v>0</v>
      </c>
      <c r="M4945" s="415">
        <v>0</v>
      </c>
      <c r="N4945" s="415">
        <v>0</v>
      </c>
      <c r="O4945" s="415">
        <v>0</v>
      </c>
      <c r="P4945" s="415">
        <v>1710.64</v>
      </c>
      <c r="Q4945" s="501">
        <f t="shared" si="123"/>
        <v>0</v>
      </c>
    </row>
    <row r="4946" spans="1:17" x14ac:dyDescent="0.3">
      <c r="A4946" s="431" t="str">
        <f>IFERROR(VLOOKUP(RIGHT(E4946,3)+0,[1]SchLocTable!$A$2:$B$47,2,FALSE)," ")</f>
        <v>Skane</v>
      </c>
      <c r="B4946" s="431" t="str">
        <f>VLOOKUP(VALUE(D4946),$D$3:F$106,3,FALSE)</f>
        <v>School Nurses</v>
      </c>
      <c r="C4946" t="s">
        <v>314</v>
      </c>
      <c r="D4946" t="s">
        <v>1358</v>
      </c>
      <c r="E4946" t="s">
        <v>1065</v>
      </c>
      <c r="F4946" t="s">
        <v>1036</v>
      </c>
      <c r="G4946" t="s">
        <v>319</v>
      </c>
      <c r="H4946" s="502" t="s">
        <v>1296</v>
      </c>
      <c r="I4946" s="415">
        <v>0</v>
      </c>
      <c r="J4946" s="415">
        <v>0</v>
      </c>
      <c r="K4946" s="415">
        <v>0</v>
      </c>
      <c r="L4946" s="415">
        <v>0</v>
      </c>
      <c r="M4946" s="415">
        <v>0</v>
      </c>
      <c r="N4946" s="415">
        <v>0</v>
      </c>
      <c r="O4946" s="415">
        <v>0</v>
      </c>
      <c r="P4946" s="415">
        <v>350</v>
      </c>
      <c r="Q4946" s="501">
        <f t="shared" si="123"/>
        <v>0</v>
      </c>
    </row>
    <row r="4947" spans="1:17" x14ac:dyDescent="0.3">
      <c r="A4947" s="431" t="str">
        <f>IFERROR(VLOOKUP(RIGHT(E4947,3)+0,[1]SchLocTable!$A$2:$B$47,2,FALSE)," ")</f>
        <v>Skane</v>
      </c>
      <c r="B4947" s="431" t="str">
        <f>VLOOKUP(VALUE(D4947),$D$3:F$106,3,FALSE)</f>
        <v>School Nurses</v>
      </c>
      <c r="C4947" t="s">
        <v>314</v>
      </c>
      <c r="D4947" t="s">
        <v>1358</v>
      </c>
      <c r="E4947" t="s">
        <v>1065</v>
      </c>
      <c r="F4947" t="s">
        <v>318</v>
      </c>
      <c r="G4947" t="s">
        <v>319</v>
      </c>
      <c r="H4947" s="502" t="s">
        <v>1239</v>
      </c>
      <c r="I4947" s="415">
        <v>0</v>
      </c>
      <c r="J4947" s="415">
        <v>0</v>
      </c>
      <c r="K4947" s="415">
        <v>0</v>
      </c>
      <c r="L4947" s="415">
        <v>0</v>
      </c>
      <c r="M4947" s="415">
        <v>0</v>
      </c>
      <c r="N4947" s="415">
        <v>0</v>
      </c>
      <c r="O4947" s="415">
        <v>0</v>
      </c>
      <c r="P4947" s="415">
        <v>1190</v>
      </c>
      <c r="Q4947" s="501">
        <f t="shared" si="123"/>
        <v>0</v>
      </c>
    </row>
    <row r="4948" spans="1:17" x14ac:dyDescent="0.3">
      <c r="A4948" s="431" t="str">
        <f>IFERROR(VLOOKUP(RIGHT(E4948,3)+0,[1]SchLocTable!$A$2:$B$47,2,FALSE)," ")</f>
        <v>Skane</v>
      </c>
      <c r="B4948" s="431" t="str">
        <f>VLOOKUP(VALUE(D4948),$D$3:F$106,3,FALSE)</f>
        <v>School Nurses</v>
      </c>
      <c r="C4948" t="s">
        <v>314</v>
      </c>
      <c r="D4948" t="s">
        <v>1358</v>
      </c>
      <c r="E4948" t="s">
        <v>1065</v>
      </c>
      <c r="F4948" t="s">
        <v>324</v>
      </c>
      <c r="G4948" t="s">
        <v>319</v>
      </c>
      <c r="H4948" s="502" t="s">
        <v>1246</v>
      </c>
      <c r="I4948" s="415">
        <v>0</v>
      </c>
      <c r="J4948" s="415">
        <v>0</v>
      </c>
      <c r="K4948" s="415">
        <v>0</v>
      </c>
      <c r="L4948" s="415">
        <v>0</v>
      </c>
      <c r="M4948" s="415">
        <v>0</v>
      </c>
      <c r="N4948" s="415">
        <v>0</v>
      </c>
      <c r="O4948" s="415">
        <v>1705.83</v>
      </c>
      <c r="P4948" s="415">
        <v>0</v>
      </c>
      <c r="Q4948" s="501">
        <f t="shared" si="123"/>
        <v>0</v>
      </c>
    </row>
    <row r="4949" spans="1:17" x14ac:dyDescent="0.3">
      <c r="A4949" s="431" t="str">
        <f>IFERROR(VLOOKUP(RIGHT(E4949,3)+0,[1]SchLocTable!$A$2:$B$47,2,FALSE)," ")</f>
        <v>High Horizons Magnet</v>
      </c>
      <c r="B4949" s="431" t="str">
        <f>VLOOKUP(VALUE(D4949),$D$3:F$106,3,FALSE)</f>
        <v>School Nurses</v>
      </c>
      <c r="C4949" t="s">
        <v>314</v>
      </c>
      <c r="D4949" t="s">
        <v>1358</v>
      </c>
      <c r="E4949" t="s">
        <v>1066</v>
      </c>
      <c r="F4949" t="s">
        <v>360</v>
      </c>
      <c r="G4949" t="s">
        <v>319</v>
      </c>
      <c r="H4949" s="502">
        <v>52920</v>
      </c>
      <c r="I4949" s="415"/>
      <c r="J4949" s="415"/>
      <c r="K4949" s="415"/>
      <c r="L4949" s="415">
        <v>0</v>
      </c>
      <c r="M4949" s="415"/>
      <c r="N4949" s="415">
        <v>500</v>
      </c>
      <c r="O4949" s="415">
        <v>2000</v>
      </c>
      <c r="P4949" s="415">
        <v>2000</v>
      </c>
      <c r="Q4949" s="501">
        <f t="shared" si="123"/>
        <v>0</v>
      </c>
    </row>
    <row r="4950" spans="1:17" x14ac:dyDescent="0.3">
      <c r="A4950" s="431" t="str">
        <f>IFERROR(VLOOKUP(RIGHT(E4950,3)+0,[1]SchLocTable!$A$2:$B$47,2,FALSE)," ")</f>
        <v xml:space="preserve"> </v>
      </c>
      <c r="B4950" s="431" t="str">
        <f>VLOOKUP(VALUE(D4950),$D$3:F$106,3,FALSE)</f>
        <v>School Nurses</v>
      </c>
      <c r="C4950" t="s">
        <v>314</v>
      </c>
      <c r="D4950" t="s">
        <v>1358</v>
      </c>
      <c r="E4950" t="s">
        <v>1359</v>
      </c>
      <c r="F4950" t="s">
        <v>320</v>
      </c>
      <c r="G4950" t="s">
        <v>319</v>
      </c>
      <c r="H4950" s="502">
        <v>52360</v>
      </c>
      <c r="I4950" s="415"/>
      <c r="J4950" s="415"/>
      <c r="K4950" s="415"/>
      <c r="L4950" s="415">
        <v>0</v>
      </c>
      <c r="M4950" s="415"/>
      <c r="N4950" s="415">
        <v>9.4600000000000009</v>
      </c>
      <c r="O4950" s="415">
        <v>0</v>
      </c>
      <c r="P4950" s="415">
        <v>0</v>
      </c>
      <c r="Q4950" s="501">
        <f t="shared" si="123"/>
        <v>0</v>
      </c>
    </row>
    <row r="4951" spans="1:17" x14ac:dyDescent="0.3">
      <c r="A4951" s="431" t="str">
        <f>IFERROR(VLOOKUP(RIGHT(E4951,3)+0,[1]SchLocTable!$A$2:$B$47,2,FALSE)," ")</f>
        <v xml:space="preserve"> </v>
      </c>
      <c r="B4951" s="431" t="str">
        <f>VLOOKUP(VALUE(D4951),$D$3:F$106,3,FALSE)</f>
        <v>School Nurses</v>
      </c>
      <c r="C4951" t="s">
        <v>314</v>
      </c>
      <c r="D4951" t="s">
        <v>1358</v>
      </c>
      <c r="E4951" t="s">
        <v>1359</v>
      </c>
      <c r="F4951" t="s">
        <v>392</v>
      </c>
      <c r="G4951" t="s">
        <v>319</v>
      </c>
      <c r="H4951" s="502">
        <v>52504</v>
      </c>
      <c r="I4951" s="415"/>
      <c r="J4951" s="415"/>
      <c r="K4951" s="415"/>
      <c r="L4951" s="415">
        <v>0</v>
      </c>
      <c r="M4951" s="415"/>
      <c r="N4951" s="415">
        <v>124.06</v>
      </c>
      <c r="O4951" s="415">
        <v>0</v>
      </c>
      <c r="P4951" s="415">
        <v>0</v>
      </c>
      <c r="Q4951" s="501">
        <f t="shared" si="123"/>
        <v>0</v>
      </c>
    </row>
    <row r="4952" spans="1:17" x14ac:dyDescent="0.3">
      <c r="A4952" s="431" t="str">
        <f>IFERROR(VLOOKUP(RIGHT(E4952,3)+0,[1]SchLocTable!$A$2:$B$47,2,FALSE)," ")</f>
        <v xml:space="preserve"> </v>
      </c>
      <c r="B4952" s="431" t="str">
        <f>VLOOKUP(VALUE(D4952),$D$3:F$106,3,FALSE)</f>
        <v>School Nurses</v>
      </c>
      <c r="C4952" t="s">
        <v>314</v>
      </c>
      <c r="D4952" t="s">
        <v>1358</v>
      </c>
      <c r="E4952" t="s">
        <v>1359</v>
      </c>
      <c r="F4952" t="s">
        <v>452</v>
      </c>
      <c r="G4952" t="s">
        <v>319</v>
      </c>
      <c r="H4952" s="502">
        <v>51108</v>
      </c>
      <c r="I4952" s="415"/>
      <c r="J4952" s="415"/>
      <c r="K4952" s="415"/>
      <c r="L4952" s="415">
        <v>0</v>
      </c>
      <c r="M4952" s="415"/>
      <c r="N4952" s="415">
        <v>652.26</v>
      </c>
      <c r="O4952" s="415">
        <v>0</v>
      </c>
      <c r="P4952" s="415">
        <v>0</v>
      </c>
      <c r="Q4952" s="501">
        <f t="shared" si="123"/>
        <v>0</v>
      </c>
    </row>
    <row r="4953" spans="1:17" x14ac:dyDescent="0.3">
      <c r="A4953" s="431" t="str">
        <f>IFERROR(VLOOKUP(RIGHT(E4953,3)+0,[1]SchLocTable!$A$2:$B$47,2,FALSE)," ")</f>
        <v>Central HS</v>
      </c>
      <c r="B4953" s="431" t="str">
        <f>VLOOKUP(VALUE(D4953),$D$3:F$106,3,FALSE)</f>
        <v>School Nurses</v>
      </c>
      <c r="C4953" t="s">
        <v>314</v>
      </c>
      <c r="D4953" t="s">
        <v>1358</v>
      </c>
      <c r="E4953" t="s">
        <v>1068</v>
      </c>
      <c r="F4953" t="s">
        <v>334</v>
      </c>
      <c r="G4953" t="s">
        <v>319</v>
      </c>
      <c r="H4953" s="502" t="s">
        <v>1387</v>
      </c>
      <c r="I4953" s="415">
        <v>0</v>
      </c>
      <c r="J4953" s="415">
        <v>0</v>
      </c>
      <c r="K4953" s="415">
        <v>0</v>
      </c>
      <c r="L4953" s="415">
        <v>0</v>
      </c>
      <c r="M4953" s="415">
        <v>0</v>
      </c>
      <c r="N4953" s="415">
        <v>0</v>
      </c>
      <c r="O4953" s="415">
        <v>0</v>
      </c>
      <c r="P4953" s="415">
        <v>770</v>
      </c>
      <c r="Q4953" s="501">
        <f t="shared" si="123"/>
        <v>0</v>
      </c>
    </row>
    <row r="4954" spans="1:17" x14ac:dyDescent="0.3">
      <c r="A4954" s="431" t="str">
        <f>IFERROR(VLOOKUP(RIGHT(E4954,3)+0,[1]SchLocTable!$A$2:$B$47,2,FALSE)," ")</f>
        <v>Central HS</v>
      </c>
      <c r="B4954" s="431" t="str">
        <f>VLOOKUP(VALUE(D4954),$D$3:F$106,3,FALSE)</f>
        <v>School Nurses</v>
      </c>
      <c r="C4954" t="s">
        <v>314</v>
      </c>
      <c r="D4954" t="s">
        <v>1358</v>
      </c>
      <c r="E4954" t="s">
        <v>1068</v>
      </c>
      <c r="F4954" t="s">
        <v>419</v>
      </c>
      <c r="G4954" t="s">
        <v>319</v>
      </c>
      <c r="H4954" s="502" t="s">
        <v>1243</v>
      </c>
      <c r="I4954" s="415">
        <v>0</v>
      </c>
      <c r="J4954" s="415">
        <v>0</v>
      </c>
      <c r="K4954" s="415">
        <v>0</v>
      </c>
      <c r="L4954" s="415">
        <v>0</v>
      </c>
      <c r="M4954" s="415">
        <v>0</v>
      </c>
      <c r="N4954" s="415">
        <v>0</v>
      </c>
      <c r="O4954" s="415">
        <v>0</v>
      </c>
      <c r="P4954" s="415">
        <v>816.5</v>
      </c>
      <c r="Q4954" s="501">
        <f t="shared" si="123"/>
        <v>0</v>
      </c>
    </row>
    <row r="4955" spans="1:17" x14ac:dyDescent="0.3">
      <c r="A4955" s="431" t="str">
        <f>IFERROR(VLOOKUP(RIGHT(E4955,3)+0,[1]SchLocTable!$A$2:$B$47,2,FALSE)," ")</f>
        <v>Curiale</v>
      </c>
      <c r="B4955" s="431" t="str">
        <f>VLOOKUP(VALUE(D4955),$D$3:F$106,3,FALSE)</f>
        <v>School Nurses</v>
      </c>
      <c r="C4955" t="s">
        <v>314</v>
      </c>
      <c r="D4955" t="s">
        <v>1358</v>
      </c>
      <c r="E4955" t="s">
        <v>1384</v>
      </c>
      <c r="F4955" t="s">
        <v>1036</v>
      </c>
      <c r="G4955" t="s">
        <v>319</v>
      </c>
      <c r="H4955" s="502" t="s">
        <v>1296</v>
      </c>
      <c r="I4955" s="415">
        <v>0</v>
      </c>
      <c r="J4955" s="415">
        <v>0</v>
      </c>
      <c r="K4955" s="415">
        <v>0</v>
      </c>
      <c r="L4955" s="415">
        <v>0</v>
      </c>
      <c r="M4955" s="415">
        <v>0</v>
      </c>
      <c r="N4955" s="415">
        <v>0</v>
      </c>
      <c r="O4955" s="415">
        <v>0</v>
      </c>
      <c r="P4955" s="415">
        <v>500</v>
      </c>
      <c r="Q4955" s="501">
        <f t="shared" si="123"/>
        <v>0</v>
      </c>
    </row>
    <row r="4956" spans="1:17" x14ac:dyDescent="0.3">
      <c r="A4956" s="431" t="str">
        <f>IFERROR(VLOOKUP(RIGHT(E4956,3)+0,[1]SchLocTable!$A$2:$B$47,2,FALSE)," ")</f>
        <v>Curiale</v>
      </c>
      <c r="B4956" s="431" t="str">
        <f>VLOOKUP(VALUE(D4956),$D$3:F$106,3,FALSE)</f>
        <v>School Nurses</v>
      </c>
      <c r="C4956" t="s">
        <v>314</v>
      </c>
      <c r="D4956" t="s">
        <v>1358</v>
      </c>
      <c r="E4956" t="s">
        <v>1384</v>
      </c>
      <c r="F4956" t="s">
        <v>316</v>
      </c>
      <c r="G4956" t="s">
        <v>319</v>
      </c>
      <c r="H4956" s="502" t="s">
        <v>1232</v>
      </c>
      <c r="I4956" s="415">
        <v>0</v>
      </c>
      <c r="J4956" s="415">
        <v>0</v>
      </c>
      <c r="K4956" s="415">
        <v>0</v>
      </c>
      <c r="L4956" s="415">
        <v>0</v>
      </c>
      <c r="M4956" s="415">
        <v>0</v>
      </c>
      <c r="N4956" s="415">
        <v>0</v>
      </c>
      <c r="O4956" s="415">
        <v>5060.97</v>
      </c>
      <c r="P4956" s="415">
        <v>72838.16</v>
      </c>
      <c r="Q4956" s="501">
        <f t="shared" si="123"/>
        <v>0</v>
      </c>
    </row>
    <row r="4957" spans="1:17" x14ac:dyDescent="0.3">
      <c r="A4957" s="431" t="str">
        <f>IFERROR(VLOOKUP(RIGHT(E4957,3)+0,[1]SchLocTable!$A$2:$B$47,2,FALSE)," ")</f>
        <v>Curiale</v>
      </c>
      <c r="B4957" s="431" t="str">
        <f>VLOOKUP(VALUE(D4957),$D$3:F$106,3,FALSE)</f>
        <v>School Nurses</v>
      </c>
      <c r="C4957" t="s">
        <v>314</v>
      </c>
      <c r="D4957" t="s">
        <v>1358</v>
      </c>
      <c r="E4957" t="s">
        <v>1384</v>
      </c>
      <c r="F4957" t="s">
        <v>321</v>
      </c>
      <c r="G4957" t="s">
        <v>319</v>
      </c>
      <c r="H4957" s="502" t="s">
        <v>1248</v>
      </c>
      <c r="I4957" s="415">
        <v>0</v>
      </c>
      <c r="J4957" s="415">
        <v>0</v>
      </c>
      <c r="K4957" s="415">
        <v>0</v>
      </c>
      <c r="L4957" s="415">
        <v>0</v>
      </c>
      <c r="M4957" s="415">
        <v>0</v>
      </c>
      <c r="N4957" s="415">
        <v>0</v>
      </c>
      <c r="O4957" s="415">
        <v>0</v>
      </c>
      <c r="P4957" s="415">
        <v>30562.33</v>
      </c>
      <c r="Q4957" s="501">
        <f t="shared" si="123"/>
        <v>0</v>
      </c>
    </row>
    <row r="4958" spans="1:17" x14ac:dyDescent="0.3">
      <c r="A4958" s="431" t="str">
        <f>IFERROR(VLOOKUP(RIGHT(E4958,3)+0,[1]SchLocTable!$A$2:$B$47,2,FALSE)," ")</f>
        <v>Curiale</v>
      </c>
      <c r="B4958" s="431" t="str">
        <f>VLOOKUP(VALUE(D4958),$D$3:F$106,3,FALSE)</f>
        <v>School Nurses</v>
      </c>
      <c r="C4958" t="s">
        <v>314</v>
      </c>
      <c r="D4958" t="s">
        <v>1358</v>
      </c>
      <c r="E4958" t="s">
        <v>1384</v>
      </c>
      <c r="F4958" t="s">
        <v>320</v>
      </c>
      <c r="G4958" t="s">
        <v>319</v>
      </c>
      <c r="H4958" s="502" t="s">
        <v>1245</v>
      </c>
      <c r="I4958" s="415">
        <v>0</v>
      </c>
      <c r="J4958" s="415">
        <v>0</v>
      </c>
      <c r="K4958" s="415">
        <v>0</v>
      </c>
      <c r="L4958" s="415">
        <v>0</v>
      </c>
      <c r="M4958" s="415">
        <v>0</v>
      </c>
      <c r="N4958" s="415">
        <v>0</v>
      </c>
      <c r="O4958" s="415">
        <v>73.39</v>
      </c>
      <c r="P4958" s="415">
        <v>923.21</v>
      </c>
      <c r="Q4958" s="501">
        <f t="shared" si="123"/>
        <v>0</v>
      </c>
    </row>
    <row r="4959" spans="1:17" x14ac:dyDescent="0.3">
      <c r="A4959" s="431" t="str">
        <f>IFERROR(VLOOKUP(RIGHT(E4959,3)+0,[1]SchLocTable!$A$2:$B$47,2,FALSE)," ")</f>
        <v>Curiale</v>
      </c>
      <c r="B4959" s="431" t="str">
        <f>VLOOKUP(VALUE(D4959),$D$3:F$106,3,FALSE)</f>
        <v>School Nurses</v>
      </c>
      <c r="C4959" t="s">
        <v>314</v>
      </c>
      <c r="D4959" t="s">
        <v>1358</v>
      </c>
      <c r="E4959" t="s">
        <v>1384</v>
      </c>
      <c r="F4959" t="s">
        <v>392</v>
      </c>
      <c r="G4959" t="s">
        <v>319</v>
      </c>
      <c r="H4959" s="502" t="s">
        <v>1247</v>
      </c>
      <c r="I4959" s="415">
        <v>0</v>
      </c>
      <c r="J4959" s="415">
        <v>0</v>
      </c>
      <c r="K4959" s="415">
        <v>0</v>
      </c>
      <c r="L4959" s="415">
        <v>0</v>
      </c>
      <c r="M4959" s="415">
        <v>0</v>
      </c>
      <c r="N4959" s="415">
        <v>0</v>
      </c>
      <c r="O4959" s="415">
        <v>829.49</v>
      </c>
      <c r="P4959" s="415">
        <v>10489.25</v>
      </c>
      <c r="Q4959" s="501">
        <f t="shared" si="123"/>
        <v>0</v>
      </c>
    </row>
    <row r="4960" spans="1:17" x14ac:dyDescent="0.3">
      <c r="A4960" s="431" t="str">
        <f>IFERROR(VLOOKUP(RIGHT(E4960,3)+0,[1]SchLocTable!$A$2:$B$47,2,FALSE)," ")</f>
        <v xml:space="preserve"> </v>
      </c>
      <c r="B4960" s="431" t="str">
        <f>VLOOKUP(VALUE(D4960),$D$3:F$106,3,FALSE)</f>
        <v>Occupational Therapy</v>
      </c>
      <c r="C4960" t="s">
        <v>314</v>
      </c>
      <c r="D4960" t="s">
        <v>1412</v>
      </c>
      <c r="E4960" t="s">
        <v>1071</v>
      </c>
      <c r="F4960" t="s">
        <v>560</v>
      </c>
      <c r="G4960" t="s">
        <v>319</v>
      </c>
      <c r="H4960" s="502" t="s">
        <v>1244</v>
      </c>
      <c r="I4960" s="415">
        <v>0</v>
      </c>
      <c r="J4960" s="415">
        <v>0</v>
      </c>
      <c r="K4960" s="415">
        <v>0</v>
      </c>
      <c r="L4960" s="415">
        <v>0</v>
      </c>
      <c r="M4960" s="415">
        <v>0</v>
      </c>
      <c r="N4960" s="415">
        <v>0</v>
      </c>
      <c r="O4960" s="415">
        <v>0</v>
      </c>
      <c r="P4960" s="415">
        <v>2184</v>
      </c>
      <c r="Q4960" s="501">
        <f t="shared" si="123"/>
        <v>0</v>
      </c>
    </row>
    <row r="4961" spans="1:17" x14ac:dyDescent="0.3">
      <c r="A4961" s="431" t="str">
        <f>IFERROR(VLOOKUP(RIGHT(E4961,3)+0,[1]SchLocTable!$A$2:$B$47,2,FALSE)," ")</f>
        <v>Batalla</v>
      </c>
      <c r="B4961" s="431" t="str">
        <f>VLOOKUP(VALUE(D4961),$D$3:F$106,3,FALSE)</f>
        <v>Occupational Therapy</v>
      </c>
      <c r="C4961" t="s">
        <v>314</v>
      </c>
      <c r="D4961" t="s">
        <v>1412</v>
      </c>
      <c r="E4961" t="s">
        <v>1072</v>
      </c>
      <c r="F4961" t="s">
        <v>560</v>
      </c>
      <c r="G4961" t="s">
        <v>319</v>
      </c>
      <c r="H4961" s="502" t="s">
        <v>1244</v>
      </c>
      <c r="I4961" s="415">
        <v>0</v>
      </c>
      <c r="J4961" s="415">
        <v>0</v>
      </c>
      <c r="K4961" s="415">
        <v>0</v>
      </c>
      <c r="L4961" s="415">
        <v>0</v>
      </c>
      <c r="M4961" s="415">
        <v>0</v>
      </c>
      <c r="N4961" s="415">
        <v>0</v>
      </c>
      <c r="O4961" s="415">
        <v>0</v>
      </c>
      <c r="P4961" s="415">
        <v>364</v>
      </c>
      <c r="Q4961" s="501">
        <f t="shared" si="123"/>
        <v>0</v>
      </c>
    </row>
    <row r="4962" spans="1:17" x14ac:dyDescent="0.3">
      <c r="A4962" s="431" t="str">
        <f>IFERROR(VLOOKUP(RIGHT(E4962,3)+0,[1]SchLocTable!$A$2:$B$47,2,FALSE)," ")</f>
        <v>Skane</v>
      </c>
      <c r="B4962" s="431" t="str">
        <f>VLOOKUP(VALUE(D4962),$D$3:F$106,3,FALSE)</f>
        <v>Occupational Therapy</v>
      </c>
      <c r="C4962" t="s">
        <v>314</v>
      </c>
      <c r="D4962" t="s">
        <v>1412</v>
      </c>
      <c r="E4962" t="s">
        <v>1073</v>
      </c>
      <c r="F4962" t="s">
        <v>560</v>
      </c>
      <c r="G4962" t="s">
        <v>319</v>
      </c>
      <c r="H4962" s="502" t="s">
        <v>1244</v>
      </c>
      <c r="I4962" s="415">
        <v>0</v>
      </c>
      <c r="J4962" s="415">
        <v>0</v>
      </c>
      <c r="K4962" s="415">
        <v>0</v>
      </c>
      <c r="L4962" s="415">
        <v>0</v>
      </c>
      <c r="M4962" s="415">
        <v>0</v>
      </c>
      <c r="N4962" s="415">
        <v>0</v>
      </c>
      <c r="O4962" s="415">
        <v>0</v>
      </c>
      <c r="P4962" s="415">
        <v>728</v>
      </c>
      <c r="Q4962" s="501">
        <f t="shared" si="123"/>
        <v>0</v>
      </c>
    </row>
    <row r="4963" spans="1:17" x14ac:dyDescent="0.3">
      <c r="A4963" s="431" t="str">
        <f>IFERROR(VLOOKUP(RIGHT(E4963,3)+0,[1]SchLocTable!$A$2:$B$47,2,FALSE)," ")</f>
        <v xml:space="preserve"> </v>
      </c>
      <c r="B4963" s="431" t="str">
        <f>VLOOKUP(VALUE(D4963),$D$3:F$106,3,FALSE)</f>
        <v>BOE Administration Clericals</v>
      </c>
      <c r="C4963" t="s">
        <v>314</v>
      </c>
      <c r="D4963" t="s">
        <v>1424</v>
      </c>
      <c r="E4963" t="s">
        <v>1076</v>
      </c>
      <c r="F4963" t="s">
        <v>1087</v>
      </c>
      <c r="G4963" t="s">
        <v>319</v>
      </c>
      <c r="H4963" s="502" t="s">
        <v>1236</v>
      </c>
      <c r="I4963" s="415">
        <v>0</v>
      </c>
      <c r="J4963" s="415">
        <v>0</v>
      </c>
      <c r="K4963" s="415">
        <v>0</v>
      </c>
      <c r="L4963" s="415">
        <v>0</v>
      </c>
      <c r="M4963" s="415">
        <v>0</v>
      </c>
      <c r="N4963" s="415">
        <v>0</v>
      </c>
      <c r="O4963" s="415">
        <v>0</v>
      </c>
      <c r="P4963" s="415">
        <v>100.73</v>
      </c>
      <c r="Q4963" s="501">
        <f t="shared" si="123"/>
        <v>0</v>
      </c>
    </row>
    <row r="4964" spans="1:17" x14ac:dyDescent="0.3">
      <c r="A4964" s="431" t="str">
        <f>IFERROR(VLOOKUP(RIGHT(E4964,3)+0,[1]SchLocTable!$A$2:$B$47,2,FALSE)," ")</f>
        <v xml:space="preserve"> </v>
      </c>
      <c r="B4964" s="431" t="str">
        <f>VLOOKUP(VALUE(D4964),$D$3:F$106,3,FALSE)</f>
        <v>Pupil Services/Stud Assign</v>
      </c>
      <c r="C4964" t="s">
        <v>314</v>
      </c>
      <c r="D4964" t="s">
        <v>1413</v>
      </c>
      <c r="E4964" t="s">
        <v>1080</v>
      </c>
      <c r="F4964" t="s">
        <v>392</v>
      </c>
      <c r="G4964" t="s">
        <v>319</v>
      </c>
      <c r="H4964" s="502" t="s">
        <v>1247</v>
      </c>
      <c r="I4964" s="415">
        <v>0</v>
      </c>
      <c r="J4964" s="415">
        <v>0</v>
      </c>
      <c r="K4964" s="415">
        <v>0</v>
      </c>
      <c r="L4964" s="415">
        <v>0</v>
      </c>
      <c r="M4964" s="415">
        <v>0</v>
      </c>
      <c r="N4964" s="415">
        <v>0</v>
      </c>
      <c r="O4964" s="415">
        <v>0</v>
      </c>
      <c r="P4964" s="415">
        <v>7586.35</v>
      </c>
      <c r="Q4964" s="501">
        <f t="shared" si="123"/>
        <v>0</v>
      </c>
    </row>
    <row r="4965" spans="1:17" x14ac:dyDescent="0.3">
      <c r="A4965" s="431" t="str">
        <f>IFERROR(VLOOKUP(RIGHT(E4965,3)+0,[1]SchLocTable!$A$2:$B$47,2,FALSE)," ")</f>
        <v xml:space="preserve"> </v>
      </c>
      <c r="B4965" s="431" t="str">
        <f>VLOOKUP(VALUE(D4965),$D$3:F$106,3,FALSE)</f>
        <v>Pupil Services/Stud Assign</v>
      </c>
      <c r="C4965" t="s">
        <v>314</v>
      </c>
      <c r="D4965" t="s">
        <v>1413</v>
      </c>
      <c r="E4965" t="s">
        <v>1080</v>
      </c>
      <c r="F4965" t="s">
        <v>419</v>
      </c>
      <c r="G4965" t="s">
        <v>319</v>
      </c>
      <c r="H4965" s="502" t="s">
        <v>1243</v>
      </c>
      <c r="I4965" s="415">
        <v>0</v>
      </c>
      <c r="J4965" s="415">
        <v>0</v>
      </c>
      <c r="K4965" s="415">
        <v>0</v>
      </c>
      <c r="L4965" s="415">
        <v>0</v>
      </c>
      <c r="M4965" s="415">
        <v>0</v>
      </c>
      <c r="N4965" s="415">
        <v>0</v>
      </c>
      <c r="O4965" s="415">
        <v>0</v>
      </c>
      <c r="P4965" s="415">
        <v>612.16</v>
      </c>
      <c r="Q4965" s="501">
        <f t="shared" si="123"/>
        <v>0</v>
      </c>
    </row>
    <row r="4966" spans="1:17" x14ac:dyDescent="0.3">
      <c r="A4966" s="431" t="str">
        <f>IFERROR(VLOOKUP(RIGHT(E4966,3)+0,[1]SchLocTable!$A$2:$B$47,2,FALSE)," ")</f>
        <v xml:space="preserve"> </v>
      </c>
      <c r="B4966" s="431" t="str">
        <f>VLOOKUP(VALUE(D4966),$D$3:F$106,3,FALSE)</f>
        <v>Pupil Services/Stud Assign</v>
      </c>
      <c r="C4966" t="s">
        <v>314</v>
      </c>
      <c r="D4966" t="s">
        <v>1413</v>
      </c>
      <c r="E4966" t="s">
        <v>1080</v>
      </c>
      <c r="F4966" t="s">
        <v>329</v>
      </c>
      <c r="G4966" t="s">
        <v>319</v>
      </c>
      <c r="H4966" s="502" t="s">
        <v>1240</v>
      </c>
      <c r="I4966" s="415">
        <v>0</v>
      </c>
      <c r="J4966" s="415">
        <v>0</v>
      </c>
      <c r="K4966" s="415">
        <v>0</v>
      </c>
      <c r="L4966" s="415">
        <v>0</v>
      </c>
      <c r="M4966" s="415">
        <v>0</v>
      </c>
      <c r="N4966" s="415">
        <v>0</v>
      </c>
      <c r="O4966" s="415">
        <v>0</v>
      </c>
      <c r="P4966" s="415">
        <v>8839.92</v>
      </c>
      <c r="Q4966" s="501">
        <f t="shared" si="123"/>
        <v>0</v>
      </c>
    </row>
    <row r="4967" spans="1:17" x14ac:dyDescent="0.3">
      <c r="A4967" s="431" t="str">
        <f>IFERROR(VLOOKUP(RIGHT(E4967,3)+0,[1]SchLocTable!$A$2:$B$47,2,FALSE)," ")</f>
        <v xml:space="preserve"> </v>
      </c>
      <c r="B4967" s="431" t="str">
        <f>VLOOKUP(VALUE(D4967),$D$3:F$106,3,FALSE)</f>
        <v>Pupil Services/Stud Assign</v>
      </c>
      <c r="C4967" t="s">
        <v>314</v>
      </c>
      <c r="D4967" t="s">
        <v>1413</v>
      </c>
      <c r="E4967" t="s">
        <v>1080</v>
      </c>
      <c r="F4967" t="s">
        <v>418</v>
      </c>
      <c r="G4967" t="s">
        <v>319</v>
      </c>
      <c r="H4967" s="502" t="s">
        <v>1242</v>
      </c>
      <c r="I4967" s="415">
        <v>0</v>
      </c>
      <c r="J4967" s="415">
        <v>0</v>
      </c>
      <c r="K4967" s="415">
        <v>0</v>
      </c>
      <c r="L4967" s="415">
        <v>0</v>
      </c>
      <c r="M4967" s="415">
        <v>0</v>
      </c>
      <c r="N4967" s="415">
        <v>0</v>
      </c>
      <c r="O4967" s="415">
        <v>0</v>
      </c>
      <c r="P4967" s="415">
        <v>6121.63</v>
      </c>
      <c r="Q4967" s="501">
        <f t="shared" si="123"/>
        <v>0</v>
      </c>
    </row>
    <row r="4968" spans="1:17" x14ac:dyDescent="0.3">
      <c r="A4968" s="431" t="str">
        <f>IFERROR(VLOOKUP(RIGHT(E4968,3)+0,[1]SchLocTable!$A$2:$B$47,2,FALSE)," ")</f>
        <v xml:space="preserve"> </v>
      </c>
      <c r="B4968" s="431" t="str">
        <f>VLOOKUP(VALUE(D4968),$D$3:F$106,3,FALSE)</f>
        <v>Student Data Support</v>
      </c>
      <c r="C4968" t="s">
        <v>314</v>
      </c>
      <c r="D4968" t="s">
        <v>1360</v>
      </c>
      <c r="E4968" t="s">
        <v>1081</v>
      </c>
      <c r="F4968" t="s">
        <v>329</v>
      </c>
      <c r="G4968" t="s">
        <v>319</v>
      </c>
      <c r="H4968" s="502">
        <v>51154</v>
      </c>
      <c r="I4968" s="415"/>
      <c r="J4968" s="415"/>
      <c r="K4968" s="415"/>
      <c r="L4968" s="415">
        <v>0</v>
      </c>
      <c r="M4968" s="415"/>
      <c r="N4968" s="415">
        <v>2675.7</v>
      </c>
      <c r="O4968" s="415">
        <v>0</v>
      </c>
      <c r="P4968" s="415">
        <v>0</v>
      </c>
      <c r="Q4968" s="501">
        <f t="shared" si="123"/>
        <v>0</v>
      </c>
    </row>
    <row r="4969" spans="1:17" x14ac:dyDescent="0.3">
      <c r="A4969" s="431" t="str">
        <f>IFERROR(VLOOKUP(RIGHT(E4969,3)+0,[1]SchLocTable!$A$2:$B$47,2,FALSE)," ")</f>
        <v xml:space="preserve"> </v>
      </c>
      <c r="B4969" s="431" t="str">
        <f>VLOOKUP(VALUE(D4969),$D$3:F$106,3,FALSE)</f>
        <v>Business Office</v>
      </c>
      <c r="C4969" t="s">
        <v>314</v>
      </c>
      <c r="D4969" t="s">
        <v>1361</v>
      </c>
      <c r="E4969" t="s">
        <v>1083</v>
      </c>
      <c r="F4969" t="s">
        <v>419</v>
      </c>
      <c r="G4969" t="s">
        <v>319</v>
      </c>
      <c r="H4969" s="502">
        <v>51318</v>
      </c>
      <c r="I4969" s="415"/>
      <c r="J4969" s="415"/>
      <c r="K4969" s="415"/>
      <c r="L4969" s="415">
        <v>0</v>
      </c>
      <c r="M4969" s="415"/>
      <c r="N4969" s="415">
        <v>1592.31</v>
      </c>
      <c r="O4969" s="415">
        <v>0</v>
      </c>
      <c r="P4969" s="415">
        <v>0</v>
      </c>
      <c r="Q4969" s="501">
        <f t="shared" si="123"/>
        <v>0</v>
      </c>
    </row>
    <row r="4970" spans="1:17" x14ac:dyDescent="0.3">
      <c r="A4970" s="431" t="str">
        <f>IFERROR(VLOOKUP(RIGHT(E4970,3)+0,[1]SchLocTable!$A$2:$B$47,2,FALSE)," ")</f>
        <v xml:space="preserve"> </v>
      </c>
      <c r="B4970" s="431" t="str">
        <f>VLOOKUP(VALUE(D4970),$D$3:F$106,3,FALSE)</f>
        <v>Business Office</v>
      </c>
      <c r="C4970" t="s">
        <v>314</v>
      </c>
      <c r="D4970" t="s">
        <v>1361</v>
      </c>
      <c r="E4970" t="s">
        <v>1083</v>
      </c>
      <c r="F4970" t="s">
        <v>329</v>
      </c>
      <c r="G4970" t="s">
        <v>319</v>
      </c>
      <c r="H4970" s="502">
        <v>51154</v>
      </c>
      <c r="I4970" s="415"/>
      <c r="J4970" s="415"/>
      <c r="K4970" s="415"/>
      <c r="L4970" s="415">
        <v>0</v>
      </c>
      <c r="M4970" s="415"/>
      <c r="N4970" s="415">
        <v>32557.360000000001</v>
      </c>
      <c r="O4970" s="415">
        <v>0</v>
      </c>
      <c r="P4970" s="415">
        <v>0</v>
      </c>
      <c r="Q4970" s="501">
        <f t="shared" si="123"/>
        <v>0</v>
      </c>
    </row>
    <row r="4971" spans="1:17" x14ac:dyDescent="0.3">
      <c r="A4971" s="431" t="str">
        <f>IFERROR(VLOOKUP(RIGHT(E4971,3)+0,[1]SchLocTable!$A$2:$B$47,2,FALSE)," ")</f>
        <v xml:space="preserve"> </v>
      </c>
      <c r="B4971" s="431" t="str">
        <f>VLOOKUP(VALUE(D4971),$D$3:F$106,3,FALSE)</f>
        <v>Business Office</v>
      </c>
      <c r="C4971" t="s">
        <v>314</v>
      </c>
      <c r="D4971" t="s">
        <v>1361</v>
      </c>
      <c r="E4971" t="s">
        <v>1083</v>
      </c>
      <c r="F4971" t="s">
        <v>418</v>
      </c>
      <c r="G4971" t="s">
        <v>319</v>
      </c>
      <c r="H4971" s="502">
        <v>51314</v>
      </c>
      <c r="I4971" s="415"/>
      <c r="J4971" s="415"/>
      <c r="K4971" s="415"/>
      <c r="L4971" s="415">
        <v>0</v>
      </c>
      <c r="M4971" s="415"/>
      <c r="N4971" s="415">
        <v>15923.06</v>
      </c>
      <c r="O4971" s="415">
        <v>0</v>
      </c>
      <c r="P4971" s="415">
        <v>0</v>
      </c>
      <c r="Q4971" s="501">
        <f t="shared" si="123"/>
        <v>0</v>
      </c>
    </row>
    <row r="4972" spans="1:17" x14ac:dyDescent="0.3">
      <c r="A4972" s="431" t="str">
        <f>IFERROR(VLOOKUP(RIGHT(E4972,3)+0,[1]SchLocTable!$A$2:$B$47,2,FALSE)," ")</f>
        <v xml:space="preserve"> </v>
      </c>
      <c r="B4972" s="431" t="str">
        <f>VLOOKUP(VALUE(D4972),$D$3:F$106,3,FALSE)</f>
        <v>Stockroom</v>
      </c>
      <c r="C4972" t="s">
        <v>314</v>
      </c>
      <c r="D4972" t="s">
        <v>1362</v>
      </c>
      <c r="E4972" t="s">
        <v>1363</v>
      </c>
      <c r="F4972" t="s">
        <v>320</v>
      </c>
      <c r="G4972" t="s">
        <v>319</v>
      </c>
      <c r="H4972" s="502">
        <v>52360</v>
      </c>
      <c r="I4972" s="415"/>
      <c r="J4972" s="415"/>
      <c r="K4972" s="415"/>
      <c r="L4972" s="415">
        <v>0</v>
      </c>
      <c r="M4972" s="415"/>
      <c r="N4972" s="415">
        <v>33.1</v>
      </c>
      <c r="O4972" s="415">
        <v>0</v>
      </c>
      <c r="P4972" s="415">
        <v>0</v>
      </c>
      <c r="Q4972" s="501">
        <f t="shared" si="123"/>
        <v>0</v>
      </c>
    </row>
    <row r="4973" spans="1:17" x14ac:dyDescent="0.3">
      <c r="A4973" s="431" t="str">
        <f>IFERROR(VLOOKUP(RIGHT(E4973,3)+0,[1]SchLocTable!$A$2:$B$47,2,FALSE)," ")</f>
        <v xml:space="preserve"> </v>
      </c>
      <c r="B4973" s="431" t="str">
        <f>VLOOKUP(VALUE(D4973),$D$3:F$106,3,FALSE)</f>
        <v>Stockroom</v>
      </c>
      <c r="C4973" t="s">
        <v>314</v>
      </c>
      <c r="D4973" t="s">
        <v>1362</v>
      </c>
      <c r="E4973" t="s">
        <v>1363</v>
      </c>
      <c r="F4973" t="s">
        <v>392</v>
      </c>
      <c r="G4973" t="s">
        <v>319</v>
      </c>
      <c r="H4973" s="502">
        <v>52504</v>
      </c>
      <c r="I4973" s="415"/>
      <c r="J4973" s="415"/>
      <c r="K4973" s="415"/>
      <c r="L4973" s="415">
        <v>0</v>
      </c>
      <c r="M4973" s="415"/>
      <c r="N4973" s="415">
        <v>433.98</v>
      </c>
      <c r="O4973" s="415">
        <v>0</v>
      </c>
      <c r="P4973" s="415">
        <v>0</v>
      </c>
      <c r="Q4973" s="501">
        <f t="shared" si="123"/>
        <v>0</v>
      </c>
    </row>
    <row r="4974" spans="1:17" x14ac:dyDescent="0.3">
      <c r="A4974" s="431" t="str">
        <f>IFERROR(VLOOKUP(RIGHT(E4974,3)+0,[1]SchLocTable!$A$2:$B$47,2,FALSE)," ")</f>
        <v xml:space="preserve"> </v>
      </c>
      <c r="B4974" s="431" t="str">
        <f>VLOOKUP(VALUE(D4974),$D$3:F$106,3,FALSE)</f>
        <v>Stockroom</v>
      </c>
      <c r="C4974" t="s">
        <v>314</v>
      </c>
      <c r="D4974" t="s">
        <v>1362</v>
      </c>
      <c r="E4974" t="s">
        <v>1363</v>
      </c>
      <c r="F4974" t="s">
        <v>1154</v>
      </c>
      <c r="G4974" t="s">
        <v>319</v>
      </c>
      <c r="H4974" s="502">
        <v>51128</v>
      </c>
      <c r="I4974" s="415"/>
      <c r="J4974" s="415"/>
      <c r="K4974" s="415"/>
      <c r="L4974" s="415">
        <v>0</v>
      </c>
      <c r="M4974" s="415"/>
      <c r="N4974" s="415">
        <v>2281.71</v>
      </c>
      <c r="O4974" s="415">
        <v>0</v>
      </c>
      <c r="P4974" s="415">
        <v>0</v>
      </c>
      <c r="Q4974" s="501">
        <f t="shared" si="123"/>
        <v>0</v>
      </c>
    </row>
    <row r="4975" spans="1:17" x14ac:dyDescent="0.3">
      <c r="A4975" s="431" t="str">
        <f>IFERROR(VLOOKUP(RIGHT(E4975,3)+0,[1]SchLocTable!$A$2:$B$47,2,FALSE)," ")</f>
        <v xml:space="preserve"> </v>
      </c>
      <c r="B4975" s="431" t="str">
        <f>VLOOKUP(VALUE(D4975),$D$3:F$106,3,FALSE)</f>
        <v>Technology</v>
      </c>
      <c r="C4975" t="s">
        <v>314</v>
      </c>
      <c r="D4975" t="s">
        <v>1364</v>
      </c>
      <c r="E4975" t="s">
        <v>1091</v>
      </c>
      <c r="F4975" t="s">
        <v>1087</v>
      </c>
      <c r="G4975" t="s">
        <v>319</v>
      </c>
      <c r="H4975" s="502">
        <v>51116</v>
      </c>
      <c r="I4975" s="415"/>
      <c r="J4975" s="415"/>
      <c r="K4975" s="415"/>
      <c r="L4975" s="415">
        <v>0</v>
      </c>
      <c r="M4975" s="415"/>
      <c r="N4975" s="415">
        <v>267.61</v>
      </c>
      <c r="O4975" s="415">
        <v>0</v>
      </c>
      <c r="P4975" s="415">
        <v>0</v>
      </c>
      <c r="Q4975" s="501">
        <f t="shared" si="123"/>
        <v>0</v>
      </c>
    </row>
    <row r="4976" spans="1:17" x14ac:dyDescent="0.3">
      <c r="A4976" s="431" t="str">
        <f>IFERROR(VLOOKUP(RIGHT(E4976,3)+0,[1]SchLocTable!$A$2:$B$47,2,FALSE)," ")</f>
        <v xml:space="preserve"> </v>
      </c>
      <c r="B4976" s="431" t="str">
        <f>VLOOKUP(VALUE(D4976),$D$3:F$106,3,FALSE)</f>
        <v>Technology</v>
      </c>
      <c r="C4976" t="s">
        <v>314</v>
      </c>
      <c r="D4976" t="s">
        <v>1364</v>
      </c>
      <c r="E4976" t="s">
        <v>1091</v>
      </c>
      <c r="F4976" t="s">
        <v>427</v>
      </c>
      <c r="G4976" t="s">
        <v>319</v>
      </c>
      <c r="H4976" s="502" t="s">
        <v>1234</v>
      </c>
      <c r="I4976" s="415">
        <v>0</v>
      </c>
      <c r="J4976" s="415">
        <v>0</v>
      </c>
      <c r="K4976" s="415">
        <v>0</v>
      </c>
      <c r="L4976" s="415">
        <v>0</v>
      </c>
      <c r="M4976" s="415">
        <v>0</v>
      </c>
      <c r="N4976" s="415">
        <v>0</v>
      </c>
      <c r="O4976" s="415">
        <v>99.16</v>
      </c>
      <c r="P4976" s="415">
        <v>0</v>
      </c>
      <c r="Q4976" s="501">
        <f t="shared" si="123"/>
        <v>0</v>
      </c>
    </row>
    <row r="4977" spans="1:17" x14ac:dyDescent="0.3">
      <c r="A4977" s="431" t="str">
        <f>IFERROR(VLOOKUP(RIGHT(E4977,3)+0,[1]SchLocTable!$A$2:$B$47,2,FALSE)," ")</f>
        <v xml:space="preserve"> </v>
      </c>
      <c r="B4977" s="431" t="str">
        <f>VLOOKUP(VALUE(D4977),$D$3:F$106,3,FALSE)</f>
        <v>Transportation Office</v>
      </c>
      <c r="C4977" t="s">
        <v>314</v>
      </c>
      <c r="D4977" t="s">
        <v>1399</v>
      </c>
      <c r="E4977" t="s">
        <v>1096</v>
      </c>
      <c r="F4977" t="s">
        <v>360</v>
      </c>
      <c r="G4977" t="s">
        <v>319</v>
      </c>
      <c r="H4977" s="502" t="s">
        <v>1249</v>
      </c>
      <c r="I4977" s="415">
        <v>0</v>
      </c>
      <c r="J4977" s="415">
        <v>0</v>
      </c>
      <c r="K4977" s="415">
        <v>0</v>
      </c>
      <c r="L4977" s="415">
        <v>0</v>
      </c>
      <c r="M4977" s="415">
        <v>0</v>
      </c>
      <c r="N4977" s="415">
        <v>0</v>
      </c>
      <c r="O4977" s="415">
        <v>1000</v>
      </c>
      <c r="P4977" s="415">
        <v>2000</v>
      </c>
      <c r="Q4977" s="501">
        <f t="shared" si="123"/>
        <v>0</v>
      </c>
    </row>
    <row r="4978" spans="1:17" x14ac:dyDescent="0.3">
      <c r="A4978" s="431" t="str">
        <f>IFERROR(VLOOKUP(RIGHT(E4978,3)+0,[1]SchLocTable!$A$2:$B$47,2,FALSE)," ")</f>
        <v xml:space="preserve"> </v>
      </c>
      <c r="B4978" s="431" t="str">
        <f>VLOOKUP(VALUE(D4978),$D$3:F$106,3,FALSE)</f>
        <v>Transportation Office</v>
      </c>
      <c r="C4978" t="s">
        <v>314</v>
      </c>
      <c r="D4978" t="s">
        <v>1399</v>
      </c>
      <c r="E4978" t="s">
        <v>1096</v>
      </c>
      <c r="F4978" t="s">
        <v>419</v>
      </c>
      <c r="G4978" t="s">
        <v>319</v>
      </c>
      <c r="H4978" s="502" t="s">
        <v>1243</v>
      </c>
      <c r="I4978" s="415">
        <v>0</v>
      </c>
      <c r="J4978" s="415">
        <v>0</v>
      </c>
      <c r="K4978" s="415">
        <v>0</v>
      </c>
      <c r="L4978" s="415">
        <v>0</v>
      </c>
      <c r="M4978" s="415">
        <v>0</v>
      </c>
      <c r="N4978" s="415">
        <v>0</v>
      </c>
      <c r="O4978" s="415">
        <v>1435.14</v>
      </c>
      <c r="P4978" s="415">
        <v>0</v>
      </c>
      <c r="Q4978" s="501">
        <f t="shared" si="123"/>
        <v>0</v>
      </c>
    </row>
    <row r="4979" spans="1:17" x14ac:dyDescent="0.3">
      <c r="A4979" s="431" t="str">
        <f>IFERROR(VLOOKUP(RIGHT(E4979,3)+0,[1]SchLocTable!$A$2:$B$47,2,FALSE)," ")</f>
        <v xml:space="preserve"> </v>
      </c>
      <c r="B4979" s="431" t="str">
        <f>VLOOKUP(VALUE(D4979),$D$3:F$106,3,FALSE)</f>
        <v>Transportation Office</v>
      </c>
      <c r="C4979" t="s">
        <v>314</v>
      </c>
      <c r="D4979" t="s">
        <v>1399</v>
      </c>
      <c r="E4979" t="s">
        <v>1096</v>
      </c>
      <c r="F4979" t="s">
        <v>452</v>
      </c>
      <c r="G4979" t="s">
        <v>319</v>
      </c>
      <c r="H4979" s="502" t="s">
        <v>1235</v>
      </c>
      <c r="I4979" s="415">
        <v>0</v>
      </c>
      <c r="J4979" s="415">
        <v>0</v>
      </c>
      <c r="K4979" s="415">
        <v>0</v>
      </c>
      <c r="L4979" s="415">
        <v>0</v>
      </c>
      <c r="M4979" s="415">
        <v>0</v>
      </c>
      <c r="N4979" s="415">
        <v>0</v>
      </c>
      <c r="O4979" s="415">
        <v>0</v>
      </c>
      <c r="P4979" s="415">
        <v>564.16999999999996</v>
      </c>
      <c r="Q4979" s="501">
        <f t="shared" si="123"/>
        <v>0</v>
      </c>
    </row>
    <row r="4980" spans="1:17" x14ac:dyDescent="0.3">
      <c r="A4980" s="431" t="str">
        <f>IFERROR(VLOOKUP(RIGHT(E4980,3)+0,[1]SchLocTable!$A$2:$B$47,2,FALSE)," ")</f>
        <v xml:space="preserve"> </v>
      </c>
      <c r="B4980" s="431" t="str">
        <f>VLOOKUP(VALUE(D4980),$D$3:F$106,3,FALSE)</f>
        <v>Transportation Office</v>
      </c>
      <c r="C4980" t="s">
        <v>314</v>
      </c>
      <c r="D4980" t="s">
        <v>1399</v>
      </c>
      <c r="E4980" t="s">
        <v>1096</v>
      </c>
      <c r="F4980" t="s">
        <v>427</v>
      </c>
      <c r="G4980" t="s">
        <v>319</v>
      </c>
      <c r="H4980" s="502" t="s">
        <v>1234</v>
      </c>
      <c r="I4980" s="415">
        <v>0</v>
      </c>
      <c r="J4980" s="415">
        <v>0</v>
      </c>
      <c r="K4980" s="415">
        <v>0</v>
      </c>
      <c r="L4980" s="415">
        <v>0</v>
      </c>
      <c r="M4980" s="415">
        <v>0</v>
      </c>
      <c r="N4980" s="415">
        <v>0</v>
      </c>
      <c r="O4980" s="415">
        <v>0</v>
      </c>
      <c r="P4980" s="415">
        <v>767.26</v>
      </c>
      <c r="Q4980" s="501">
        <f t="shared" si="123"/>
        <v>0</v>
      </c>
    </row>
    <row r="4981" spans="1:17" x14ac:dyDescent="0.3">
      <c r="A4981" s="431" t="str">
        <f>IFERROR(VLOOKUP(RIGHT(E4981,3)+0,[1]SchLocTable!$A$2:$B$47,2,FALSE)," ")</f>
        <v xml:space="preserve"> </v>
      </c>
      <c r="B4981" s="431" t="str">
        <f>VLOOKUP(VALUE(D4981),$D$3:F$106,3,FALSE)</f>
        <v>Transportation Office</v>
      </c>
      <c r="C4981" t="s">
        <v>314</v>
      </c>
      <c r="D4981" t="s">
        <v>1399</v>
      </c>
      <c r="E4981" t="s">
        <v>1096</v>
      </c>
      <c r="F4981" t="s">
        <v>329</v>
      </c>
      <c r="G4981" t="s">
        <v>319</v>
      </c>
      <c r="H4981" s="502" t="s">
        <v>1240</v>
      </c>
      <c r="I4981" s="415">
        <v>0</v>
      </c>
      <c r="J4981" s="415">
        <v>0</v>
      </c>
      <c r="K4981" s="415">
        <v>0</v>
      </c>
      <c r="L4981" s="415">
        <v>0</v>
      </c>
      <c r="M4981" s="415">
        <v>0</v>
      </c>
      <c r="N4981" s="415">
        <v>0</v>
      </c>
      <c r="O4981" s="415">
        <v>38997.440000000002</v>
      </c>
      <c r="P4981" s="415">
        <v>391.04</v>
      </c>
      <c r="Q4981" s="501">
        <f t="shared" si="123"/>
        <v>0</v>
      </c>
    </row>
    <row r="4982" spans="1:17" x14ac:dyDescent="0.3">
      <c r="A4982" s="431" t="str">
        <f>IFERROR(VLOOKUP(RIGHT(E4982,3)+0,[1]SchLocTable!$A$2:$B$47,2,FALSE)," ")</f>
        <v xml:space="preserve"> </v>
      </c>
      <c r="B4982" s="431" t="str">
        <f>VLOOKUP(VALUE(D4982),$D$3:F$106,3,FALSE)</f>
        <v>Transportation Office</v>
      </c>
      <c r="C4982" t="s">
        <v>314</v>
      </c>
      <c r="D4982" t="s">
        <v>1399</v>
      </c>
      <c r="E4982" t="s">
        <v>1096</v>
      </c>
      <c r="F4982" t="s">
        <v>418</v>
      </c>
      <c r="G4982" t="s">
        <v>319</v>
      </c>
      <c r="H4982" s="502" t="s">
        <v>1242</v>
      </c>
      <c r="I4982" s="415">
        <v>0</v>
      </c>
      <c r="J4982" s="415">
        <v>0</v>
      </c>
      <c r="K4982" s="415">
        <v>0</v>
      </c>
      <c r="L4982" s="415">
        <v>0</v>
      </c>
      <c r="M4982" s="415">
        <v>0</v>
      </c>
      <c r="N4982" s="415">
        <v>0</v>
      </c>
      <c r="O4982" s="415">
        <v>12916.26</v>
      </c>
      <c r="P4982" s="415">
        <v>0</v>
      </c>
      <c r="Q4982" s="501">
        <f t="shared" si="123"/>
        <v>0</v>
      </c>
    </row>
    <row r="4983" spans="1:17" x14ac:dyDescent="0.3">
      <c r="A4983" s="431" t="str">
        <f>IFERROR(VLOOKUP(RIGHT(E4983,3)+0,[1]SchLocTable!$A$2:$B$47,2,FALSE)," ")</f>
        <v xml:space="preserve"> </v>
      </c>
      <c r="B4983" s="431" t="str">
        <f>VLOOKUP(VALUE(D4983),$D$3:F$106,3,FALSE)</f>
        <v>Transportation Office</v>
      </c>
      <c r="C4983" t="s">
        <v>314</v>
      </c>
      <c r="D4983" t="s">
        <v>1399</v>
      </c>
      <c r="E4983" t="s">
        <v>1096</v>
      </c>
      <c r="F4983" t="s">
        <v>356</v>
      </c>
      <c r="G4983" t="s">
        <v>319</v>
      </c>
      <c r="H4983" s="502" t="s">
        <v>1241</v>
      </c>
      <c r="I4983" s="415">
        <v>0</v>
      </c>
      <c r="J4983" s="415">
        <v>0</v>
      </c>
      <c r="K4983" s="415">
        <v>0</v>
      </c>
      <c r="L4983" s="415">
        <v>0</v>
      </c>
      <c r="M4983" s="415">
        <v>0</v>
      </c>
      <c r="N4983" s="415">
        <v>0</v>
      </c>
      <c r="O4983" s="415">
        <v>4783.8</v>
      </c>
      <c r="P4983" s="415">
        <v>5621.9</v>
      </c>
      <c r="Q4983" s="501">
        <f t="shared" si="123"/>
        <v>0</v>
      </c>
    </row>
    <row r="4984" spans="1:17" x14ac:dyDescent="0.3">
      <c r="A4984" s="431" t="str">
        <f>IFERROR(VLOOKUP(RIGHT(E4984,3)+0,[1]SchLocTable!$A$2:$B$47,2,FALSE)," ")</f>
        <v xml:space="preserve"> </v>
      </c>
      <c r="B4984" s="431" t="str">
        <f>VLOOKUP(VALUE(D4984),$D$3:F$106,3,FALSE)</f>
        <v>Security Clericals</v>
      </c>
      <c r="C4984" t="s">
        <v>314</v>
      </c>
      <c r="D4984" t="s">
        <v>1414</v>
      </c>
      <c r="E4984" t="s">
        <v>1102</v>
      </c>
      <c r="F4984" t="s">
        <v>1087</v>
      </c>
      <c r="G4984" t="s">
        <v>319</v>
      </c>
      <c r="H4984" s="502" t="s">
        <v>1236</v>
      </c>
      <c r="I4984" s="415">
        <v>0</v>
      </c>
      <c r="J4984" s="415">
        <v>0</v>
      </c>
      <c r="K4984" s="415">
        <v>0</v>
      </c>
      <c r="L4984" s="415">
        <v>0</v>
      </c>
      <c r="M4984" s="415">
        <v>0</v>
      </c>
      <c r="N4984" s="415">
        <v>0</v>
      </c>
      <c r="O4984" s="415">
        <v>0</v>
      </c>
      <c r="P4984" s="415">
        <v>52.58</v>
      </c>
      <c r="Q4984" s="501">
        <f t="shared" si="123"/>
        <v>0</v>
      </c>
    </row>
    <row r="4985" spans="1:17" x14ac:dyDescent="0.3">
      <c r="A4985" s="431" t="str">
        <f>IFERROR(VLOOKUP(RIGHT(E4985,3)+0,[1]SchLocTable!$A$2:$B$47,2,FALSE)," ")</f>
        <v xml:space="preserve"> </v>
      </c>
      <c r="B4985" s="431" t="str">
        <f>VLOOKUP(VALUE(D4985),$D$3:F$106,3,FALSE)</f>
        <v>Security Clericals</v>
      </c>
      <c r="C4985" t="s">
        <v>314</v>
      </c>
      <c r="D4985" t="s">
        <v>1414</v>
      </c>
      <c r="E4985" t="s">
        <v>1102</v>
      </c>
      <c r="F4985" t="s">
        <v>452</v>
      </c>
      <c r="G4985" t="s">
        <v>319</v>
      </c>
      <c r="H4985" s="502" t="s">
        <v>1235</v>
      </c>
      <c r="I4985" s="415">
        <v>0</v>
      </c>
      <c r="J4985" s="415">
        <v>0</v>
      </c>
      <c r="K4985" s="415">
        <v>0</v>
      </c>
      <c r="L4985" s="415">
        <v>0</v>
      </c>
      <c r="M4985" s="415">
        <v>0</v>
      </c>
      <c r="N4985" s="415">
        <v>0</v>
      </c>
      <c r="O4985" s="415">
        <v>0</v>
      </c>
      <c r="P4985" s="415">
        <v>709.92</v>
      </c>
      <c r="Q4985" s="501">
        <f t="shared" si="123"/>
        <v>0</v>
      </c>
    </row>
    <row r="4986" spans="1:17" x14ac:dyDescent="0.3">
      <c r="A4986" s="431" t="str">
        <f>IFERROR(VLOOKUP(RIGHT(E4986,3)+0,[1]SchLocTable!$A$2:$B$47,2,FALSE)," ")</f>
        <v xml:space="preserve"> </v>
      </c>
      <c r="B4986" s="431" t="str">
        <f>VLOOKUP(VALUE(D4986),$D$3:F$106,3,FALSE)</f>
        <v>Security Clericals</v>
      </c>
      <c r="C4986" t="s">
        <v>314</v>
      </c>
      <c r="D4986" t="s">
        <v>1414</v>
      </c>
      <c r="E4986" t="s">
        <v>1102</v>
      </c>
      <c r="F4986" t="s">
        <v>427</v>
      </c>
      <c r="G4986" t="s">
        <v>319</v>
      </c>
      <c r="H4986" s="502" t="s">
        <v>1234</v>
      </c>
      <c r="I4986" s="415">
        <v>0</v>
      </c>
      <c r="J4986" s="415">
        <v>0</v>
      </c>
      <c r="K4986" s="415">
        <v>0</v>
      </c>
      <c r="L4986" s="415">
        <v>0</v>
      </c>
      <c r="M4986" s="415">
        <v>0</v>
      </c>
      <c r="N4986" s="415">
        <v>0</v>
      </c>
      <c r="O4986" s="415">
        <v>0</v>
      </c>
      <c r="P4986" s="415">
        <v>1498.66</v>
      </c>
      <c r="Q4986" s="501">
        <f t="shared" si="123"/>
        <v>0</v>
      </c>
    </row>
    <row r="4987" spans="1:17" x14ac:dyDescent="0.3">
      <c r="A4987" s="431" t="str">
        <f>IFERROR(VLOOKUP(RIGHT(E4987,3)+0,[1]SchLocTable!$A$2:$B$47,2,FALSE)," ")</f>
        <v xml:space="preserve"> </v>
      </c>
      <c r="B4987" s="431" t="str">
        <f>VLOOKUP(VALUE(D4987),$D$3:F$106,3,FALSE)</f>
        <v>Security</v>
      </c>
      <c r="C4987" t="s">
        <v>314</v>
      </c>
      <c r="D4987" t="s">
        <v>1365</v>
      </c>
      <c r="E4987" t="s">
        <v>1103</v>
      </c>
      <c r="F4987" t="s">
        <v>419</v>
      </c>
      <c r="G4987" t="s">
        <v>319</v>
      </c>
      <c r="H4987" s="502">
        <v>51318</v>
      </c>
      <c r="I4987" s="415"/>
      <c r="J4987" s="415"/>
      <c r="K4987" s="415"/>
      <c r="L4987" s="415">
        <v>0</v>
      </c>
      <c r="M4987" s="415"/>
      <c r="N4987" s="415">
        <v>291.12</v>
      </c>
      <c r="O4987" s="415">
        <v>0</v>
      </c>
      <c r="P4987" s="415">
        <v>0</v>
      </c>
      <c r="Q4987" s="501">
        <f t="shared" si="123"/>
        <v>0</v>
      </c>
    </row>
    <row r="4988" spans="1:17" x14ac:dyDescent="0.3">
      <c r="A4988" s="431" t="str">
        <f>IFERROR(VLOOKUP(RIGHT(E4988,3)+0,[1]SchLocTable!$A$2:$B$47,2,FALSE)," ")</f>
        <v xml:space="preserve"> </v>
      </c>
      <c r="B4988" s="431" t="str">
        <f>VLOOKUP(VALUE(D4988),$D$3:F$106,3,FALSE)</f>
        <v>Security</v>
      </c>
      <c r="C4988" t="s">
        <v>314</v>
      </c>
      <c r="D4988" t="s">
        <v>1365</v>
      </c>
      <c r="E4988" t="s">
        <v>1105</v>
      </c>
      <c r="F4988" t="s">
        <v>1087</v>
      </c>
      <c r="G4988" t="s">
        <v>319</v>
      </c>
      <c r="H4988" s="502" t="s">
        <v>1236</v>
      </c>
      <c r="I4988" s="415">
        <v>0</v>
      </c>
      <c r="J4988" s="415">
        <v>0</v>
      </c>
      <c r="K4988" s="415">
        <v>0</v>
      </c>
      <c r="L4988" s="415">
        <v>0</v>
      </c>
      <c r="M4988" s="415">
        <v>0</v>
      </c>
      <c r="N4988" s="415">
        <v>0</v>
      </c>
      <c r="O4988" s="415">
        <v>0</v>
      </c>
      <c r="P4988" s="415">
        <v>850.95</v>
      </c>
      <c r="Q4988" s="501">
        <f t="shared" si="123"/>
        <v>0</v>
      </c>
    </row>
    <row r="4989" spans="1:17" x14ac:dyDescent="0.3">
      <c r="A4989" s="431" t="str">
        <f>IFERROR(VLOOKUP(RIGHT(E4989,3)+0,[1]SchLocTable!$A$2:$B$47,2,FALSE)," ")</f>
        <v xml:space="preserve"> </v>
      </c>
      <c r="B4989" s="431" t="str">
        <f>VLOOKUP(VALUE(D4989),$D$3:F$106,3,FALSE)</f>
        <v>Security</v>
      </c>
      <c r="C4989" t="s">
        <v>314</v>
      </c>
      <c r="D4989" t="s">
        <v>1365</v>
      </c>
      <c r="E4989" t="s">
        <v>1105</v>
      </c>
      <c r="F4989" t="s">
        <v>1148</v>
      </c>
      <c r="G4989" t="s">
        <v>319</v>
      </c>
      <c r="H4989" s="502">
        <v>51124</v>
      </c>
      <c r="I4989" s="415"/>
      <c r="J4989" s="415"/>
      <c r="K4989" s="415"/>
      <c r="L4989" s="415">
        <v>0</v>
      </c>
      <c r="M4989" s="415"/>
      <c r="N4989" s="415">
        <v>169.36</v>
      </c>
      <c r="O4989" s="415">
        <v>0</v>
      </c>
      <c r="P4989" s="415">
        <v>314.24</v>
      </c>
      <c r="Q4989" s="501">
        <f t="shared" si="123"/>
        <v>0</v>
      </c>
    </row>
    <row r="4990" spans="1:17" x14ac:dyDescent="0.3">
      <c r="A4990" s="431" t="str">
        <f>IFERROR(VLOOKUP(RIGHT(E4990,3)+0,[1]SchLocTable!$A$2:$B$47,2,FALSE)," ")</f>
        <v xml:space="preserve"> </v>
      </c>
      <c r="B4990" s="431" t="str">
        <f>VLOOKUP(VALUE(D4990),$D$3:F$106,3,FALSE)</f>
        <v>Security</v>
      </c>
      <c r="C4990" t="s">
        <v>314</v>
      </c>
      <c r="D4990" t="s">
        <v>1365</v>
      </c>
      <c r="E4990" t="s">
        <v>1105</v>
      </c>
      <c r="F4990" t="s">
        <v>1154</v>
      </c>
      <c r="G4990" t="s">
        <v>319</v>
      </c>
      <c r="H4990" s="502" t="s">
        <v>1238</v>
      </c>
      <c r="I4990" s="415">
        <v>0</v>
      </c>
      <c r="J4990" s="415">
        <v>0</v>
      </c>
      <c r="K4990" s="415">
        <v>0</v>
      </c>
      <c r="L4990" s="415">
        <v>0</v>
      </c>
      <c r="M4990" s="415">
        <v>0</v>
      </c>
      <c r="N4990" s="415">
        <v>0</v>
      </c>
      <c r="O4990" s="415">
        <v>0</v>
      </c>
      <c r="P4990" s="415">
        <v>118.06</v>
      </c>
      <c r="Q4990" s="501">
        <f t="shared" si="123"/>
        <v>0</v>
      </c>
    </row>
    <row r="4991" spans="1:17" x14ac:dyDescent="0.3">
      <c r="A4991" s="431" t="str">
        <f>IFERROR(VLOOKUP(RIGHT(E4991,3)+0,[1]SchLocTable!$A$2:$B$47,2,FALSE)," ")</f>
        <v>Barnum</v>
      </c>
      <c r="B4991" s="431" t="str">
        <f>VLOOKUP(VALUE(D4991),$D$3:F$106,3,FALSE)</f>
        <v>Security</v>
      </c>
      <c r="C4991" t="s">
        <v>314</v>
      </c>
      <c r="D4991" t="s">
        <v>1365</v>
      </c>
      <c r="E4991" t="s">
        <v>1106</v>
      </c>
      <c r="F4991" t="s">
        <v>360</v>
      </c>
      <c r="G4991" t="s">
        <v>319</v>
      </c>
      <c r="H4991" s="502" t="s">
        <v>1249</v>
      </c>
      <c r="I4991" s="415">
        <v>0</v>
      </c>
      <c r="J4991" s="415">
        <v>0</v>
      </c>
      <c r="K4991" s="415">
        <v>0</v>
      </c>
      <c r="L4991" s="415">
        <v>0</v>
      </c>
      <c r="M4991" s="415">
        <v>0</v>
      </c>
      <c r="N4991" s="415">
        <v>0</v>
      </c>
      <c r="O4991" s="415">
        <v>1000</v>
      </c>
      <c r="P4991" s="415">
        <v>0</v>
      </c>
      <c r="Q4991" s="501">
        <f t="shared" ref="Q4991:Q5054" si="124">J4991-I4991</f>
        <v>0</v>
      </c>
    </row>
    <row r="4992" spans="1:17" x14ac:dyDescent="0.3">
      <c r="A4992" s="431" t="str">
        <f>IFERROR(VLOOKUP(RIGHT(E4992,3)+0,[1]SchLocTable!$A$2:$B$47,2,FALSE)," ")</f>
        <v>Barnum</v>
      </c>
      <c r="B4992" s="431" t="str">
        <f>VLOOKUP(VALUE(D4992),$D$3:F$106,3,FALSE)</f>
        <v>Security</v>
      </c>
      <c r="C4992" t="s">
        <v>314</v>
      </c>
      <c r="D4992" t="s">
        <v>1365</v>
      </c>
      <c r="E4992" t="s">
        <v>1106</v>
      </c>
      <c r="F4992" t="s">
        <v>419</v>
      </c>
      <c r="G4992" t="s">
        <v>319</v>
      </c>
      <c r="H4992" s="502" t="s">
        <v>1243</v>
      </c>
      <c r="I4992" s="415">
        <v>0</v>
      </c>
      <c r="J4992" s="415">
        <v>0</v>
      </c>
      <c r="K4992" s="415">
        <v>0</v>
      </c>
      <c r="L4992" s="415">
        <v>0</v>
      </c>
      <c r="M4992" s="415">
        <v>0</v>
      </c>
      <c r="N4992" s="415">
        <v>0</v>
      </c>
      <c r="O4992" s="415">
        <v>462.96</v>
      </c>
      <c r="P4992" s="415">
        <v>0</v>
      </c>
      <c r="Q4992" s="501">
        <f t="shared" si="124"/>
        <v>0</v>
      </c>
    </row>
    <row r="4993" spans="1:17" x14ac:dyDescent="0.3">
      <c r="A4993" s="431" t="str">
        <f>IFERROR(VLOOKUP(RIGHT(E4993,3)+0,[1]SchLocTable!$A$2:$B$47,2,FALSE)," ")</f>
        <v>Barnum</v>
      </c>
      <c r="B4993" s="431" t="str">
        <f>VLOOKUP(VALUE(D4993),$D$3:F$106,3,FALSE)</f>
        <v>Security</v>
      </c>
      <c r="C4993" t="s">
        <v>314</v>
      </c>
      <c r="D4993" t="s">
        <v>1365</v>
      </c>
      <c r="E4993" t="s">
        <v>1106</v>
      </c>
      <c r="F4993" t="s">
        <v>329</v>
      </c>
      <c r="G4993" t="s">
        <v>319</v>
      </c>
      <c r="H4993" s="502" t="s">
        <v>1240</v>
      </c>
      <c r="I4993" s="415">
        <v>0</v>
      </c>
      <c r="J4993" s="415">
        <v>0</v>
      </c>
      <c r="K4993" s="415">
        <v>0</v>
      </c>
      <c r="L4993" s="415">
        <v>0</v>
      </c>
      <c r="M4993" s="415">
        <v>0</v>
      </c>
      <c r="N4993" s="415">
        <v>0</v>
      </c>
      <c r="O4993" s="415">
        <v>2467.84</v>
      </c>
      <c r="P4993" s="415">
        <v>0</v>
      </c>
      <c r="Q4993" s="501">
        <f t="shared" si="124"/>
        <v>0</v>
      </c>
    </row>
    <row r="4994" spans="1:17" x14ac:dyDescent="0.3">
      <c r="A4994" s="431" t="str">
        <f>IFERROR(VLOOKUP(RIGHT(E4994,3)+0,[1]SchLocTable!$A$2:$B$47,2,FALSE)," ")</f>
        <v>Barnum</v>
      </c>
      <c r="B4994" s="431" t="str">
        <f>VLOOKUP(VALUE(D4994),$D$3:F$106,3,FALSE)</f>
        <v>Security</v>
      </c>
      <c r="C4994" t="s">
        <v>314</v>
      </c>
      <c r="D4994" t="s">
        <v>1365</v>
      </c>
      <c r="E4994" t="s">
        <v>1106</v>
      </c>
      <c r="F4994" t="s">
        <v>418</v>
      </c>
      <c r="G4994" t="s">
        <v>319</v>
      </c>
      <c r="H4994" s="502" t="s">
        <v>1242</v>
      </c>
      <c r="I4994" s="415">
        <v>0</v>
      </c>
      <c r="J4994" s="415">
        <v>0</v>
      </c>
      <c r="K4994" s="415">
        <v>0</v>
      </c>
      <c r="L4994" s="415">
        <v>0</v>
      </c>
      <c r="M4994" s="415">
        <v>0</v>
      </c>
      <c r="N4994" s="415">
        <v>0</v>
      </c>
      <c r="O4994" s="415">
        <v>3858</v>
      </c>
      <c r="P4994" s="415">
        <v>0</v>
      </c>
      <c r="Q4994" s="501">
        <f t="shared" si="124"/>
        <v>0</v>
      </c>
    </row>
    <row r="4995" spans="1:17" x14ac:dyDescent="0.3">
      <c r="A4995" s="431" t="str">
        <f>IFERROR(VLOOKUP(RIGHT(E4995,3)+0,[1]SchLocTable!$A$2:$B$47,2,FALSE)," ")</f>
        <v>Barnum</v>
      </c>
      <c r="B4995" s="431" t="str">
        <f>VLOOKUP(VALUE(D4995),$D$3:F$106,3,FALSE)</f>
        <v>Security</v>
      </c>
      <c r="C4995" t="s">
        <v>314</v>
      </c>
      <c r="D4995" t="s">
        <v>1365</v>
      </c>
      <c r="E4995" t="s">
        <v>1106</v>
      </c>
      <c r="F4995" t="s">
        <v>356</v>
      </c>
      <c r="G4995" t="s">
        <v>319</v>
      </c>
      <c r="H4995" s="502" t="s">
        <v>1241</v>
      </c>
      <c r="I4995" s="415">
        <v>0</v>
      </c>
      <c r="J4995" s="415">
        <v>0</v>
      </c>
      <c r="K4995" s="415">
        <v>0</v>
      </c>
      <c r="L4995" s="415">
        <v>0</v>
      </c>
      <c r="M4995" s="415">
        <v>0</v>
      </c>
      <c r="N4995" s="415">
        <v>0</v>
      </c>
      <c r="O4995" s="415">
        <v>771.6</v>
      </c>
      <c r="P4995" s="415">
        <v>741.6</v>
      </c>
      <c r="Q4995" s="501">
        <f t="shared" si="124"/>
        <v>0</v>
      </c>
    </row>
    <row r="4996" spans="1:17" x14ac:dyDescent="0.3">
      <c r="A4996" s="431" t="str">
        <f>IFERROR(VLOOKUP(RIGHT(E4996,3)+0,[1]SchLocTable!$A$2:$B$47,2,FALSE)," ")</f>
        <v>Beardsley</v>
      </c>
      <c r="B4996" s="431" t="str">
        <f>VLOOKUP(VALUE(D4996),$D$3:F$106,3,FALSE)</f>
        <v>Security</v>
      </c>
      <c r="C4996" t="s">
        <v>314</v>
      </c>
      <c r="D4996" t="s">
        <v>1365</v>
      </c>
      <c r="E4996" t="s">
        <v>1107</v>
      </c>
      <c r="F4996" t="s">
        <v>360</v>
      </c>
      <c r="G4996" t="s">
        <v>319</v>
      </c>
      <c r="H4996" s="502" t="s">
        <v>1249</v>
      </c>
      <c r="I4996" s="415">
        <v>0</v>
      </c>
      <c r="J4996" s="415">
        <v>0</v>
      </c>
      <c r="K4996" s="415">
        <v>0</v>
      </c>
      <c r="L4996" s="415">
        <v>0</v>
      </c>
      <c r="M4996" s="415">
        <v>0</v>
      </c>
      <c r="N4996" s="415">
        <v>0</v>
      </c>
      <c r="O4996" s="415">
        <v>2000</v>
      </c>
      <c r="P4996" s="415">
        <v>2000</v>
      </c>
      <c r="Q4996" s="501">
        <f t="shared" si="124"/>
        <v>0</v>
      </c>
    </row>
    <row r="4997" spans="1:17" x14ac:dyDescent="0.3">
      <c r="A4997" s="431" t="str">
        <f>IFERROR(VLOOKUP(RIGHT(E4997,3)+0,[1]SchLocTable!$A$2:$B$47,2,FALSE)," ")</f>
        <v>Beardsley</v>
      </c>
      <c r="B4997" s="431" t="str">
        <f>VLOOKUP(VALUE(D4997),$D$3:F$106,3,FALSE)</f>
        <v>Security</v>
      </c>
      <c r="C4997" t="s">
        <v>314</v>
      </c>
      <c r="D4997" t="s">
        <v>1365</v>
      </c>
      <c r="E4997" t="s">
        <v>1107</v>
      </c>
      <c r="F4997" t="s">
        <v>452</v>
      </c>
      <c r="G4997" t="s">
        <v>319</v>
      </c>
      <c r="H4997" s="502" t="s">
        <v>1235</v>
      </c>
      <c r="I4997" s="415">
        <v>0</v>
      </c>
      <c r="J4997" s="415">
        <v>0</v>
      </c>
      <c r="K4997" s="415">
        <v>0</v>
      </c>
      <c r="L4997" s="415">
        <v>0</v>
      </c>
      <c r="M4997" s="415">
        <v>0</v>
      </c>
      <c r="N4997" s="415">
        <v>0</v>
      </c>
      <c r="O4997" s="415">
        <v>347.22</v>
      </c>
      <c r="P4997" s="415">
        <v>0</v>
      </c>
      <c r="Q4997" s="501">
        <f t="shared" si="124"/>
        <v>0</v>
      </c>
    </row>
    <row r="4998" spans="1:17" x14ac:dyDescent="0.3">
      <c r="A4998" s="431" t="str">
        <f>IFERROR(VLOOKUP(RIGHT(E4998,3)+0,[1]SchLocTable!$A$2:$B$47,2,FALSE)," ")</f>
        <v>Beardsley</v>
      </c>
      <c r="B4998" s="431" t="str">
        <f>VLOOKUP(VALUE(D4998),$D$3:F$106,3,FALSE)</f>
        <v>Security</v>
      </c>
      <c r="C4998" t="s">
        <v>314</v>
      </c>
      <c r="D4998" t="s">
        <v>1365</v>
      </c>
      <c r="E4998" t="s">
        <v>1107</v>
      </c>
      <c r="F4998" t="s">
        <v>483</v>
      </c>
      <c r="G4998" t="s">
        <v>319</v>
      </c>
      <c r="H4998" s="502" t="s">
        <v>1237</v>
      </c>
      <c r="I4998" s="415">
        <v>0</v>
      </c>
      <c r="J4998" s="415">
        <v>0</v>
      </c>
      <c r="K4998" s="415">
        <v>0</v>
      </c>
      <c r="L4998" s="415">
        <v>0</v>
      </c>
      <c r="M4998" s="415">
        <v>0</v>
      </c>
      <c r="N4998" s="415">
        <v>0</v>
      </c>
      <c r="O4998" s="415">
        <v>124.68</v>
      </c>
      <c r="P4998" s="415">
        <v>0</v>
      </c>
      <c r="Q4998" s="501">
        <f t="shared" si="124"/>
        <v>0</v>
      </c>
    </row>
    <row r="4999" spans="1:17" x14ac:dyDescent="0.3">
      <c r="A4999" s="431" t="str">
        <f>IFERROR(VLOOKUP(RIGHT(E4999,3)+0,[1]SchLocTable!$A$2:$B$47,2,FALSE)," ")</f>
        <v>Beardsley</v>
      </c>
      <c r="B4999" s="431" t="str">
        <f>VLOOKUP(VALUE(D4999),$D$3:F$106,3,FALSE)</f>
        <v>Security</v>
      </c>
      <c r="C4999" t="s">
        <v>314</v>
      </c>
      <c r="D4999" t="s">
        <v>1365</v>
      </c>
      <c r="E4999" t="s">
        <v>1107</v>
      </c>
      <c r="F4999" t="s">
        <v>356</v>
      </c>
      <c r="G4999" t="s">
        <v>319</v>
      </c>
      <c r="H4999" s="502">
        <v>51156</v>
      </c>
      <c r="I4999" s="415"/>
      <c r="J4999" s="415"/>
      <c r="K4999" s="415"/>
      <c r="L4999" s="415">
        <v>0</v>
      </c>
      <c r="M4999" s="415"/>
      <c r="N4999" s="415">
        <v>781.36</v>
      </c>
      <c r="O4999" s="415">
        <v>0</v>
      </c>
      <c r="P4999" s="415">
        <v>0</v>
      </c>
      <c r="Q4999" s="501">
        <f t="shared" si="124"/>
        <v>0</v>
      </c>
    </row>
    <row r="5000" spans="1:17" x14ac:dyDescent="0.3">
      <c r="A5000" s="431" t="str">
        <f>IFERROR(VLOOKUP(RIGHT(E5000,3)+0,[1]SchLocTable!$A$2:$B$47,2,FALSE)," ")</f>
        <v>Black Rock</v>
      </c>
      <c r="B5000" s="431" t="str">
        <f>VLOOKUP(VALUE(D5000),$D$3:F$106,3,FALSE)</f>
        <v>Security</v>
      </c>
      <c r="C5000" t="s">
        <v>314</v>
      </c>
      <c r="D5000" t="s">
        <v>1365</v>
      </c>
      <c r="E5000" t="s">
        <v>1108</v>
      </c>
      <c r="F5000" t="s">
        <v>360</v>
      </c>
      <c r="G5000" t="s">
        <v>319</v>
      </c>
      <c r="H5000" s="502">
        <v>52920</v>
      </c>
      <c r="I5000" s="415"/>
      <c r="J5000" s="415"/>
      <c r="K5000" s="415"/>
      <c r="L5000" s="415">
        <v>0</v>
      </c>
      <c r="M5000" s="415"/>
      <c r="N5000" s="415">
        <v>2333.34</v>
      </c>
      <c r="O5000" s="415">
        <v>2000</v>
      </c>
      <c r="P5000" s="415">
        <v>2000</v>
      </c>
      <c r="Q5000" s="501">
        <f t="shared" si="124"/>
        <v>0</v>
      </c>
    </row>
    <row r="5001" spans="1:17" x14ac:dyDescent="0.3">
      <c r="A5001" s="431" t="str">
        <f>IFERROR(VLOOKUP(RIGHT(E5001,3)+0,[1]SchLocTable!$A$2:$B$47,2,FALSE)," ")</f>
        <v>Black Rock</v>
      </c>
      <c r="B5001" s="431" t="str">
        <f>VLOOKUP(VALUE(D5001),$D$3:F$106,3,FALSE)</f>
        <v>Security</v>
      </c>
      <c r="C5001" t="s">
        <v>314</v>
      </c>
      <c r="D5001" t="s">
        <v>1365</v>
      </c>
      <c r="E5001" t="s">
        <v>1108</v>
      </c>
      <c r="F5001" t="s">
        <v>483</v>
      </c>
      <c r="G5001" t="s">
        <v>319</v>
      </c>
      <c r="H5001" s="502">
        <v>51122</v>
      </c>
      <c r="I5001" s="415"/>
      <c r="J5001" s="415"/>
      <c r="K5001" s="415"/>
      <c r="L5001" s="415">
        <v>0</v>
      </c>
      <c r="M5001" s="415"/>
      <c r="N5001" s="415">
        <v>381.06</v>
      </c>
      <c r="O5001" s="415">
        <v>0</v>
      </c>
      <c r="P5001" s="415">
        <v>0</v>
      </c>
      <c r="Q5001" s="501">
        <f t="shared" si="124"/>
        <v>0</v>
      </c>
    </row>
    <row r="5002" spans="1:17" x14ac:dyDescent="0.3">
      <c r="A5002" s="431" t="str">
        <f>IFERROR(VLOOKUP(RIGHT(E5002,3)+0,[1]SchLocTable!$A$2:$B$47,2,FALSE)," ")</f>
        <v>Black Rock</v>
      </c>
      <c r="B5002" s="431" t="str">
        <f>VLOOKUP(VALUE(D5002),$D$3:F$106,3,FALSE)</f>
        <v>Security</v>
      </c>
      <c r="C5002" t="s">
        <v>314</v>
      </c>
      <c r="D5002" t="s">
        <v>1365</v>
      </c>
      <c r="E5002" t="s">
        <v>1108</v>
      </c>
      <c r="F5002" t="s">
        <v>324</v>
      </c>
      <c r="G5002" t="s">
        <v>319</v>
      </c>
      <c r="H5002" s="502">
        <v>52385</v>
      </c>
      <c r="I5002" s="415"/>
      <c r="J5002" s="415"/>
      <c r="K5002" s="415"/>
      <c r="L5002" s="415">
        <v>0</v>
      </c>
      <c r="M5002" s="415"/>
      <c r="N5002" s="415">
        <v>653.01</v>
      </c>
      <c r="O5002" s="415">
        <v>0</v>
      </c>
      <c r="P5002" s="415">
        <v>0</v>
      </c>
      <c r="Q5002" s="501">
        <f t="shared" si="124"/>
        <v>0</v>
      </c>
    </row>
    <row r="5003" spans="1:17" x14ac:dyDescent="0.3">
      <c r="A5003" s="431" t="str">
        <f>IFERROR(VLOOKUP(RIGHT(E5003,3)+0,[1]SchLocTable!$A$2:$B$47,2,FALSE)," ")</f>
        <v>Columbus</v>
      </c>
      <c r="B5003" s="431" t="str">
        <f>VLOOKUP(VALUE(D5003),$D$3:F$106,3,FALSE)</f>
        <v>Security</v>
      </c>
      <c r="C5003" t="s">
        <v>314</v>
      </c>
      <c r="D5003" t="s">
        <v>1365</v>
      </c>
      <c r="E5003" t="s">
        <v>1110</v>
      </c>
      <c r="F5003" t="s">
        <v>318</v>
      </c>
      <c r="G5003" t="s">
        <v>319</v>
      </c>
      <c r="H5003" s="502" t="s">
        <v>1239</v>
      </c>
      <c r="I5003" s="415">
        <v>0</v>
      </c>
      <c r="J5003" s="415">
        <v>0</v>
      </c>
      <c r="K5003" s="415">
        <v>0</v>
      </c>
      <c r="L5003" s="415">
        <v>0</v>
      </c>
      <c r="M5003" s="415">
        <v>0</v>
      </c>
      <c r="N5003" s="415">
        <v>0</v>
      </c>
      <c r="O5003" s="415">
        <v>0</v>
      </c>
      <c r="P5003" s="415">
        <v>2250</v>
      </c>
      <c r="Q5003" s="501">
        <f t="shared" si="124"/>
        <v>0</v>
      </c>
    </row>
    <row r="5004" spans="1:17" x14ac:dyDescent="0.3">
      <c r="A5004" s="431" t="str">
        <f>IFERROR(VLOOKUP(RIGHT(E5004,3)+0,[1]SchLocTable!$A$2:$B$47,2,FALSE)," ")</f>
        <v>Columbus</v>
      </c>
      <c r="B5004" s="431" t="str">
        <f>VLOOKUP(VALUE(D5004),$D$3:F$106,3,FALSE)</f>
        <v>Security</v>
      </c>
      <c r="C5004" t="s">
        <v>314</v>
      </c>
      <c r="D5004" t="s">
        <v>1365</v>
      </c>
      <c r="E5004" t="s">
        <v>1110</v>
      </c>
      <c r="F5004" t="s">
        <v>418</v>
      </c>
      <c r="G5004" t="s">
        <v>319</v>
      </c>
      <c r="H5004" s="502" t="s">
        <v>1242</v>
      </c>
      <c r="I5004" s="415">
        <v>0</v>
      </c>
      <c r="J5004" s="415">
        <v>0</v>
      </c>
      <c r="K5004" s="415">
        <v>0</v>
      </c>
      <c r="L5004" s="415">
        <v>0</v>
      </c>
      <c r="M5004" s="415">
        <v>0</v>
      </c>
      <c r="N5004" s="415">
        <v>0</v>
      </c>
      <c r="O5004" s="415">
        <v>0</v>
      </c>
      <c r="P5004" s="415">
        <v>74.16</v>
      </c>
      <c r="Q5004" s="501">
        <f t="shared" si="124"/>
        <v>0</v>
      </c>
    </row>
    <row r="5005" spans="1:17" x14ac:dyDescent="0.3">
      <c r="A5005" s="431" t="str">
        <f>IFERROR(VLOOKUP(RIGHT(E5005,3)+0,[1]SchLocTable!$A$2:$B$47,2,FALSE)," ")</f>
        <v>Edison</v>
      </c>
      <c r="B5005" s="431" t="str">
        <f>VLOOKUP(VALUE(D5005),$D$3:F$106,3,FALSE)</f>
        <v>Security</v>
      </c>
      <c r="C5005" t="s">
        <v>314</v>
      </c>
      <c r="D5005" t="s">
        <v>1365</v>
      </c>
      <c r="E5005" t="s">
        <v>1111</v>
      </c>
      <c r="F5005" t="s">
        <v>360</v>
      </c>
      <c r="G5005" t="s">
        <v>319</v>
      </c>
      <c r="H5005" s="502" t="s">
        <v>1249</v>
      </c>
      <c r="I5005" s="415">
        <v>0</v>
      </c>
      <c r="J5005" s="415">
        <v>0</v>
      </c>
      <c r="K5005" s="415">
        <v>0</v>
      </c>
      <c r="L5005" s="415">
        <v>0</v>
      </c>
      <c r="M5005" s="415">
        <v>0</v>
      </c>
      <c r="N5005" s="415">
        <v>0</v>
      </c>
      <c r="O5005" s="415">
        <v>2000</v>
      </c>
      <c r="P5005" s="415">
        <v>1000</v>
      </c>
      <c r="Q5005" s="501">
        <f t="shared" si="124"/>
        <v>0</v>
      </c>
    </row>
    <row r="5006" spans="1:17" x14ac:dyDescent="0.3">
      <c r="A5006" s="431" t="str">
        <f>IFERROR(VLOOKUP(RIGHT(E5006,3)+0,[1]SchLocTable!$A$2:$B$47,2,FALSE)," ")</f>
        <v>Marin</v>
      </c>
      <c r="B5006" s="431" t="str">
        <f>VLOOKUP(VALUE(D5006),$D$3:F$106,3,FALSE)</f>
        <v>Security</v>
      </c>
      <c r="C5006" t="s">
        <v>314</v>
      </c>
      <c r="D5006" t="s">
        <v>1365</v>
      </c>
      <c r="E5006" t="s">
        <v>1112</v>
      </c>
      <c r="F5006" t="s">
        <v>419</v>
      </c>
      <c r="G5006" t="s">
        <v>319</v>
      </c>
      <c r="H5006" s="502" t="s">
        <v>1243</v>
      </c>
      <c r="I5006" s="415">
        <v>0</v>
      </c>
      <c r="J5006" s="415">
        <v>0</v>
      </c>
      <c r="K5006" s="415">
        <v>0</v>
      </c>
      <c r="L5006" s="415">
        <v>0</v>
      </c>
      <c r="M5006" s="415">
        <v>0</v>
      </c>
      <c r="N5006" s="415">
        <v>0</v>
      </c>
      <c r="O5006" s="415">
        <v>0</v>
      </c>
      <c r="P5006" s="415">
        <v>148.32</v>
      </c>
      <c r="Q5006" s="501">
        <f t="shared" si="124"/>
        <v>0</v>
      </c>
    </row>
    <row r="5007" spans="1:17" x14ac:dyDescent="0.3">
      <c r="A5007" s="431" t="str">
        <f>IFERROR(VLOOKUP(RIGHT(E5007,3)+0,[1]SchLocTable!$A$2:$B$47,2,FALSE)," ")</f>
        <v>Marin</v>
      </c>
      <c r="B5007" s="431" t="str">
        <f>VLOOKUP(VALUE(D5007),$D$3:F$106,3,FALSE)</f>
        <v>Security</v>
      </c>
      <c r="C5007" t="s">
        <v>314</v>
      </c>
      <c r="D5007" t="s">
        <v>1365</v>
      </c>
      <c r="E5007" t="s">
        <v>1112</v>
      </c>
      <c r="F5007" t="s">
        <v>418</v>
      </c>
      <c r="G5007" t="s">
        <v>319</v>
      </c>
      <c r="H5007" s="502" t="s">
        <v>1242</v>
      </c>
      <c r="I5007" s="415">
        <v>0</v>
      </c>
      <c r="J5007" s="415">
        <v>0</v>
      </c>
      <c r="K5007" s="415">
        <v>0</v>
      </c>
      <c r="L5007" s="415">
        <v>0</v>
      </c>
      <c r="M5007" s="415">
        <v>0</v>
      </c>
      <c r="N5007" s="415">
        <v>0</v>
      </c>
      <c r="O5007" s="415">
        <v>0</v>
      </c>
      <c r="P5007" s="415">
        <v>1854</v>
      </c>
      <c r="Q5007" s="501">
        <f t="shared" si="124"/>
        <v>0</v>
      </c>
    </row>
    <row r="5008" spans="1:17" x14ac:dyDescent="0.3">
      <c r="A5008" s="431" t="str">
        <f>IFERROR(VLOOKUP(RIGHT(E5008,3)+0,[1]SchLocTable!$A$2:$B$47,2,FALSE)," ")</f>
        <v>Hallen</v>
      </c>
      <c r="B5008" s="431" t="str">
        <f>VLOOKUP(VALUE(D5008),$D$3:F$106,3,FALSE)</f>
        <v>Security</v>
      </c>
      <c r="C5008" t="s">
        <v>314</v>
      </c>
      <c r="D5008" t="s">
        <v>1365</v>
      </c>
      <c r="E5008" t="s">
        <v>1114</v>
      </c>
      <c r="F5008" t="s">
        <v>452</v>
      </c>
      <c r="G5008" t="s">
        <v>319</v>
      </c>
      <c r="H5008" s="502" t="s">
        <v>1235</v>
      </c>
      <c r="I5008" s="415">
        <v>0</v>
      </c>
      <c r="J5008" s="415">
        <v>0</v>
      </c>
      <c r="K5008" s="415">
        <v>0</v>
      </c>
      <c r="L5008" s="415">
        <v>0</v>
      </c>
      <c r="M5008" s="415">
        <v>0</v>
      </c>
      <c r="N5008" s="415">
        <v>0</v>
      </c>
      <c r="O5008" s="415">
        <v>292.86</v>
      </c>
      <c r="P5008" s="415">
        <v>0</v>
      </c>
      <c r="Q5008" s="501">
        <f t="shared" si="124"/>
        <v>0</v>
      </c>
    </row>
    <row r="5009" spans="1:17" x14ac:dyDescent="0.3">
      <c r="A5009" s="431" t="str">
        <f>IFERROR(VLOOKUP(RIGHT(E5009,3)+0,[1]SchLocTable!$A$2:$B$47,2,FALSE)," ")</f>
        <v>Hooker</v>
      </c>
      <c r="B5009" s="431" t="str">
        <f>VLOOKUP(VALUE(D5009),$D$3:F$106,3,FALSE)</f>
        <v>Security</v>
      </c>
      <c r="C5009" t="s">
        <v>314</v>
      </c>
      <c r="D5009" t="s">
        <v>1365</v>
      </c>
      <c r="E5009" t="s">
        <v>1115</v>
      </c>
      <c r="F5009" t="s">
        <v>452</v>
      </c>
      <c r="G5009" t="s">
        <v>319</v>
      </c>
      <c r="H5009" s="502">
        <v>51108</v>
      </c>
      <c r="I5009" s="415"/>
      <c r="J5009" s="415"/>
      <c r="K5009" s="415"/>
      <c r="L5009" s="415">
        <v>0</v>
      </c>
      <c r="M5009" s="415"/>
      <c r="N5009" s="415">
        <v>171.27</v>
      </c>
      <c r="O5009" s="415">
        <v>347.22</v>
      </c>
      <c r="P5009" s="415">
        <v>0</v>
      </c>
      <c r="Q5009" s="501">
        <f t="shared" si="124"/>
        <v>0</v>
      </c>
    </row>
    <row r="5010" spans="1:17" x14ac:dyDescent="0.3">
      <c r="A5010" s="431" t="str">
        <f>IFERROR(VLOOKUP(RIGHT(E5010,3)+0,[1]SchLocTable!$A$2:$B$47,2,FALSE)," ")</f>
        <v>Batalla</v>
      </c>
      <c r="B5010" s="431" t="str">
        <f>VLOOKUP(VALUE(D5010),$D$3:F$106,3,FALSE)</f>
        <v>Security</v>
      </c>
      <c r="C5010" t="s">
        <v>314</v>
      </c>
      <c r="D5010" t="s">
        <v>1365</v>
      </c>
      <c r="E5010" t="s">
        <v>1116</v>
      </c>
      <c r="F5010" t="s">
        <v>419</v>
      </c>
      <c r="G5010" t="s">
        <v>319</v>
      </c>
      <c r="H5010" s="502">
        <v>51318</v>
      </c>
      <c r="I5010" s="415"/>
      <c r="J5010" s="415"/>
      <c r="K5010" s="415"/>
      <c r="L5010" s="415">
        <v>0</v>
      </c>
      <c r="M5010" s="415"/>
      <c r="N5010" s="415">
        <v>160.56</v>
      </c>
      <c r="O5010" s="415">
        <v>626.64</v>
      </c>
      <c r="P5010" s="415">
        <v>0</v>
      </c>
      <c r="Q5010" s="501">
        <f t="shared" si="124"/>
        <v>0</v>
      </c>
    </row>
    <row r="5011" spans="1:17" x14ac:dyDescent="0.3">
      <c r="A5011" s="431" t="str">
        <f>IFERROR(VLOOKUP(RIGHT(E5011,3)+0,[1]SchLocTable!$A$2:$B$47,2,FALSE)," ")</f>
        <v>Batalla</v>
      </c>
      <c r="B5011" s="431" t="str">
        <f>VLOOKUP(VALUE(D5011),$D$3:F$106,3,FALSE)</f>
        <v>Security</v>
      </c>
      <c r="C5011" t="s">
        <v>314</v>
      </c>
      <c r="D5011" t="s">
        <v>1365</v>
      </c>
      <c r="E5011" t="s">
        <v>1116</v>
      </c>
      <c r="F5011" t="s">
        <v>329</v>
      </c>
      <c r="G5011" t="s">
        <v>319</v>
      </c>
      <c r="H5011" s="502">
        <v>51154</v>
      </c>
      <c r="I5011" s="415"/>
      <c r="J5011" s="415"/>
      <c r="K5011" s="415"/>
      <c r="L5011" s="415">
        <v>0</v>
      </c>
      <c r="M5011" s="415"/>
      <c r="N5011" s="415">
        <v>802.8</v>
      </c>
      <c r="O5011" s="415">
        <v>49189.1</v>
      </c>
      <c r="P5011" s="415">
        <v>0</v>
      </c>
      <c r="Q5011" s="501">
        <f t="shared" si="124"/>
        <v>0</v>
      </c>
    </row>
    <row r="5012" spans="1:17" x14ac:dyDescent="0.3">
      <c r="A5012" s="431" t="str">
        <f>IFERROR(VLOOKUP(RIGHT(E5012,3)+0,[1]SchLocTable!$A$2:$B$47,2,FALSE)," ")</f>
        <v>Batalla</v>
      </c>
      <c r="B5012" s="431" t="str">
        <f>VLOOKUP(VALUE(D5012),$D$3:F$106,3,FALSE)</f>
        <v>Security</v>
      </c>
      <c r="C5012" t="s">
        <v>314</v>
      </c>
      <c r="D5012" t="s">
        <v>1365</v>
      </c>
      <c r="E5012" t="s">
        <v>1116</v>
      </c>
      <c r="F5012" t="s">
        <v>418</v>
      </c>
      <c r="G5012" t="s">
        <v>319</v>
      </c>
      <c r="H5012" s="502">
        <v>51314</v>
      </c>
      <c r="I5012" s="415"/>
      <c r="J5012" s="415"/>
      <c r="K5012" s="415"/>
      <c r="L5012" s="415">
        <v>0</v>
      </c>
      <c r="M5012" s="415"/>
      <c r="N5012" s="415">
        <v>4014</v>
      </c>
      <c r="O5012" s="415">
        <v>4861.92</v>
      </c>
      <c r="P5012" s="415">
        <v>0</v>
      </c>
      <c r="Q5012" s="501">
        <f t="shared" si="124"/>
        <v>0</v>
      </c>
    </row>
    <row r="5013" spans="1:17" x14ac:dyDescent="0.3">
      <c r="A5013" s="431" t="str">
        <f>IFERROR(VLOOKUP(RIGHT(E5013,3)+0,[1]SchLocTable!$A$2:$B$47,2,FALSE)," ")</f>
        <v>Park City Magnet</v>
      </c>
      <c r="B5013" s="431" t="str">
        <f>VLOOKUP(VALUE(D5013),$D$3:F$106,3,FALSE)</f>
        <v>Security</v>
      </c>
      <c r="C5013" t="s">
        <v>314</v>
      </c>
      <c r="D5013" t="s">
        <v>1365</v>
      </c>
      <c r="E5013" t="s">
        <v>1119</v>
      </c>
      <c r="F5013" t="s">
        <v>360</v>
      </c>
      <c r="G5013" t="s">
        <v>319</v>
      </c>
      <c r="H5013" s="502">
        <v>52920</v>
      </c>
      <c r="I5013" s="415"/>
      <c r="J5013" s="415"/>
      <c r="K5013" s="415"/>
      <c r="L5013" s="415">
        <v>0</v>
      </c>
      <c r="M5013" s="415"/>
      <c r="N5013" s="415">
        <v>2000</v>
      </c>
      <c r="O5013" s="415">
        <v>0</v>
      </c>
      <c r="P5013" s="415">
        <v>0</v>
      </c>
      <c r="Q5013" s="501">
        <f t="shared" si="124"/>
        <v>0</v>
      </c>
    </row>
    <row r="5014" spans="1:17" x14ac:dyDescent="0.3">
      <c r="A5014" s="431" t="str">
        <f>IFERROR(VLOOKUP(RIGHT(E5014,3)+0,[1]SchLocTable!$A$2:$B$47,2,FALSE)," ")</f>
        <v>Park City Magnet</v>
      </c>
      <c r="B5014" s="431" t="str">
        <f>VLOOKUP(VALUE(D5014),$D$3:F$106,3,FALSE)</f>
        <v>Security</v>
      </c>
      <c r="C5014" t="s">
        <v>314</v>
      </c>
      <c r="D5014" t="s">
        <v>1365</v>
      </c>
      <c r="E5014" t="s">
        <v>1119</v>
      </c>
      <c r="F5014" t="s">
        <v>483</v>
      </c>
      <c r="G5014" t="s">
        <v>319</v>
      </c>
      <c r="H5014" s="502" t="s">
        <v>1237</v>
      </c>
      <c r="I5014" s="415">
        <v>0</v>
      </c>
      <c r="J5014" s="415">
        <v>0</v>
      </c>
      <c r="K5014" s="415">
        <v>0</v>
      </c>
      <c r="L5014" s="415">
        <v>0</v>
      </c>
      <c r="M5014" s="415">
        <v>0</v>
      </c>
      <c r="N5014" s="415">
        <v>0</v>
      </c>
      <c r="O5014" s="415">
        <v>249.36</v>
      </c>
      <c r="P5014" s="415">
        <v>0</v>
      </c>
      <c r="Q5014" s="501">
        <f t="shared" si="124"/>
        <v>0</v>
      </c>
    </row>
    <row r="5015" spans="1:17" x14ac:dyDescent="0.3">
      <c r="A5015" s="431" t="str">
        <f>IFERROR(VLOOKUP(RIGHT(E5015,3)+0,[1]SchLocTable!$A$2:$B$47,2,FALSE)," ")</f>
        <v>Tisdale</v>
      </c>
      <c r="B5015" s="431" t="str">
        <f>VLOOKUP(VALUE(D5015),$D$3:F$106,3,FALSE)</f>
        <v>Security</v>
      </c>
      <c r="C5015" t="s">
        <v>314</v>
      </c>
      <c r="D5015" t="s">
        <v>1365</v>
      </c>
      <c r="E5015" t="s">
        <v>1122</v>
      </c>
      <c r="F5015" t="s">
        <v>360</v>
      </c>
      <c r="G5015" t="s">
        <v>319</v>
      </c>
      <c r="H5015" s="502" t="s">
        <v>1249</v>
      </c>
      <c r="I5015" s="415">
        <v>0</v>
      </c>
      <c r="J5015" s="415">
        <v>0</v>
      </c>
      <c r="K5015" s="415">
        <v>0</v>
      </c>
      <c r="L5015" s="415">
        <v>0</v>
      </c>
      <c r="M5015" s="415">
        <v>0</v>
      </c>
      <c r="N5015" s="415">
        <v>0</v>
      </c>
      <c r="O5015" s="415">
        <v>1000</v>
      </c>
      <c r="P5015" s="415">
        <v>2000</v>
      </c>
      <c r="Q5015" s="501">
        <f t="shared" si="124"/>
        <v>0</v>
      </c>
    </row>
    <row r="5016" spans="1:17" x14ac:dyDescent="0.3">
      <c r="A5016" s="431" t="str">
        <f>IFERROR(VLOOKUP(RIGHT(E5016,3)+0,[1]SchLocTable!$A$2:$B$47,2,FALSE)," ")</f>
        <v>Tisdale</v>
      </c>
      <c r="B5016" s="431" t="str">
        <f>VLOOKUP(VALUE(D5016),$D$3:F$106,3,FALSE)</f>
        <v>Security</v>
      </c>
      <c r="C5016" t="s">
        <v>314</v>
      </c>
      <c r="D5016" t="s">
        <v>1365</v>
      </c>
      <c r="E5016" t="s">
        <v>1122</v>
      </c>
      <c r="F5016" t="s">
        <v>329</v>
      </c>
      <c r="G5016" t="s">
        <v>319</v>
      </c>
      <c r="H5016" s="502">
        <v>51154</v>
      </c>
      <c r="I5016" s="415"/>
      <c r="J5016" s="415"/>
      <c r="K5016" s="415"/>
      <c r="L5016" s="415">
        <v>0</v>
      </c>
      <c r="M5016" s="415"/>
      <c r="N5016" s="415">
        <v>1028.5899999999999</v>
      </c>
      <c r="O5016" s="415">
        <v>0</v>
      </c>
      <c r="P5016" s="415">
        <v>0</v>
      </c>
      <c r="Q5016" s="501">
        <f t="shared" si="124"/>
        <v>0</v>
      </c>
    </row>
    <row r="5017" spans="1:17" x14ac:dyDescent="0.3">
      <c r="A5017" s="431" t="str">
        <f>IFERROR(VLOOKUP(RIGHT(E5017,3)+0,[1]SchLocTable!$A$2:$B$47,2,FALSE)," ")</f>
        <v>Roosevelt</v>
      </c>
      <c r="B5017" s="431" t="str">
        <f>VLOOKUP(VALUE(D5017),$D$3:F$106,3,FALSE)</f>
        <v>Security</v>
      </c>
      <c r="C5017" t="s">
        <v>314</v>
      </c>
      <c r="D5017" t="s">
        <v>1365</v>
      </c>
      <c r="E5017" t="s">
        <v>1124</v>
      </c>
      <c r="F5017" t="s">
        <v>533</v>
      </c>
      <c r="G5017" t="s">
        <v>319</v>
      </c>
      <c r="H5017" s="502">
        <v>52397</v>
      </c>
      <c r="I5017" s="415"/>
      <c r="J5017" s="415"/>
      <c r="K5017" s="415"/>
      <c r="L5017" s="415">
        <v>0</v>
      </c>
      <c r="M5017" s="415"/>
      <c r="N5017" s="415">
        <v>2590</v>
      </c>
      <c r="O5017" s="415">
        <v>0</v>
      </c>
      <c r="P5017" s="415">
        <v>0</v>
      </c>
      <c r="Q5017" s="501">
        <f t="shared" si="124"/>
        <v>0</v>
      </c>
    </row>
    <row r="5018" spans="1:17" x14ac:dyDescent="0.3">
      <c r="A5018" s="431" t="str">
        <f>IFERROR(VLOOKUP(RIGHT(E5018,3)+0,[1]SchLocTable!$A$2:$B$47,2,FALSE)," ")</f>
        <v>Bridgeport Learning Center</v>
      </c>
      <c r="B5018" s="431" t="str">
        <f>VLOOKUP(VALUE(D5018),$D$3:F$106,3,FALSE)</f>
        <v>Security</v>
      </c>
      <c r="C5018" t="s">
        <v>314</v>
      </c>
      <c r="D5018" t="s">
        <v>1365</v>
      </c>
      <c r="E5018" t="s">
        <v>1125</v>
      </c>
      <c r="F5018" t="s">
        <v>483</v>
      </c>
      <c r="G5018" t="s">
        <v>319</v>
      </c>
      <c r="H5018" s="502" t="s">
        <v>1237</v>
      </c>
      <c r="I5018" s="415">
        <v>0</v>
      </c>
      <c r="J5018" s="415">
        <v>0</v>
      </c>
      <c r="K5018" s="415">
        <v>0</v>
      </c>
      <c r="L5018" s="415">
        <v>0</v>
      </c>
      <c r="M5018" s="415">
        <v>0</v>
      </c>
      <c r="N5018" s="415">
        <v>0</v>
      </c>
      <c r="O5018" s="415">
        <v>77.930000000000007</v>
      </c>
      <c r="P5018" s="415">
        <v>0</v>
      </c>
      <c r="Q5018" s="501">
        <f t="shared" si="124"/>
        <v>0</v>
      </c>
    </row>
    <row r="5019" spans="1:17" x14ac:dyDescent="0.3">
      <c r="A5019" s="431" t="str">
        <f>IFERROR(VLOOKUP(RIGHT(E5019,3)+0,[1]SchLocTable!$A$2:$B$47,2,FALSE)," ")</f>
        <v>Johnson</v>
      </c>
      <c r="B5019" s="431" t="str">
        <f>VLOOKUP(VALUE(D5019),$D$3:F$106,3,FALSE)</f>
        <v>Security</v>
      </c>
      <c r="C5019" t="s">
        <v>314</v>
      </c>
      <c r="D5019" t="s">
        <v>1365</v>
      </c>
      <c r="E5019" t="s">
        <v>1128</v>
      </c>
      <c r="F5019" t="s">
        <v>318</v>
      </c>
      <c r="G5019" t="s">
        <v>319</v>
      </c>
      <c r="H5019" s="502">
        <v>51140</v>
      </c>
      <c r="I5019" s="415"/>
      <c r="J5019" s="415"/>
      <c r="K5019" s="415"/>
      <c r="L5019" s="415">
        <v>0</v>
      </c>
      <c r="M5019" s="415"/>
      <c r="N5019" s="415">
        <v>1519.57</v>
      </c>
      <c r="O5019" s="415">
        <v>1350</v>
      </c>
      <c r="P5019" s="415">
        <v>0</v>
      </c>
      <c r="Q5019" s="501">
        <f t="shared" si="124"/>
        <v>0</v>
      </c>
    </row>
    <row r="5020" spans="1:17" x14ac:dyDescent="0.3">
      <c r="A5020" s="431" t="str">
        <f>IFERROR(VLOOKUP(RIGHT(E5020,3)+0,[1]SchLocTable!$A$2:$B$47,2,FALSE)," ")</f>
        <v>Discovery</v>
      </c>
      <c r="B5020" s="431" t="str">
        <f>VLOOKUP(VALUE(D5020),$D$3:F$106,3,FALSE)</f>
        <v>Security</v>
      </c>
      <c r="C5020" t="s">
        <v>314</v>
      </c>
      <c r="D5020" t="s">
        <v>1365</v>
      </c>
      <c r="E5020" t="s">
        <v>1130</v>
      </c>
      <c r="F5020" t="s">
        <v>452</v>
      </c>
      <c r="G5020" t="s">
        <v>319</v>
      </c>
      <c r="H5020" s="502" t="s">
        <v>1235</v>
      </c>
      <c r="I5020" s="415">
        <v>0</v>
      </c>
      <c r="J5020" s="415">
        <v>0</v>
      </c>
      <c r="K5020" s="415">
        <v>0</v>
      </c>
      <c r="L5020" s="415">
        <v>0</v>
      </c>
      <c r="M5020" s="415">
        <v>0</v>
      </c>
      <c r="N5020" s="415">
        <v>0</v>
      </c>
      <c r="O5020" s="415">
        <v>361.98</v>
      </c>
      <c r="P5020" s="415">
        <v>0</v>
      </c>
      <c r="Q5020" s="501">
        <f t="shared" si="124"/>
        <v>0</v>
      </c>
    </row>
    <row r="5021" spans="1:17" x14ac:dyDescent="0.3">
      <c r="A5021" s="431" t="str">
        <f>IFERROR(VLOOKUP(RIGHT(E5021,3)+0,[1]SchLocTable!$A$2:$B$47,2,FALSE)," ")</f>
        <v>Blackham</v>
      </c>
      <c r="B5021" s="431" t="str">
        <f>VLOOKUP(VALUE(D5021),$D$3:F$106,3,FALSE)</f>
        <v>Security</v>
      </c>
      <c r="C5021" t="s">
        <v>314</v>
      </c>
      <c r="D5021" t="s">
        <v>1365</v>
      </c>
      <c r="E5021" t="s">
        <v>1132</v>
      </c>
      <c r="F5021" t="s">
        <v>452</v>
      </c>
      <c r="G5021" t="s">
        <v>319</v>
      </c>
      <c r="H5021" s="502" t="s">
        <v>1235</v>
      </c>
      <c r="I5021" s="415">
        <v>0</v>
      </c>
      <c r="J5021" s="415">
        <v>0</v>
      </c>
      <c r="K5021" s="415">
        <v>0</v>
      </c>
      <c r="L5021" s="415">
        <v>0</v>
      </c>
      <c r="M5021" s="415">
        <v>0</v>
      </c>
      <c r="N5021" s="415">
        <v>0</v>
      </c>
      <c r="O5021" s="415">
        <v>29.52</v>
      </c>
      <c r="P5021" s="415">
        <v>0</v>
      </c>
      <c r="Q5021" s="501">
        <f t="shared" si="124"/>
        <v>0</v>
      </c>
    </row>
    <row r="5022" spans="1:17" x14ac:dyDescent="0.3">
      <c r="A5022" s="431" t="str">
        <f>IFERROR(VLOOKUP(RIGHT(E5022,3)+0,[1]SchLocTable!$A$2:$B$47,2,FALSE)," ")</f>
        <v>Dunbar</v>
      </c>
      <c r="B5022" s="431" t="str">
        <f>VLOOKUP(VALUE(D5022),$D$3:F$106,3,FALSE)</f>
        <v>Security</v>
      </c>
      <c r="C5022" t="s">
        <v>314</v>
      </c>
      <c r="D5022" t="s">
        <v>1365</v>
      </c>
      <c r="E5022" t="s">
        <v>1133</v>
      </c>
      <c r="F5022" t="s">
        <v>452</v>
      </c>
      <c r="G5022" t="s">
        <v>319</v>
      </c>
      <c r="H5022" s="502" t="s">
        <v>1235</v>
      </c>
      <c r="I5022" s="415">
        <v>0</v>
      </c>
      <c r="J5022" s="415">
        <v>0</v>
      </c>
      <c r="K5022" s="415">
        <v>0</v>
      </c>
      <c r="L5022" s="415">
        <v>0</v>
      </c>
      <c r="M5022" s="415">
        <v>0</v>
      </c>
      <c r="N5022" s="415">
        <v>0</v>
      </c>
      <c r="O5022" s="415">
        <v>341.46</v>
      </c>
      <c r="P5022" s="415">
        <v>0</v>
      </c>
      <c r="Q5022" s="501">
        <f t="shared" si="124"/>
        <v>0</v>
      </c>
    </row>
    <row r="5023" spans="1:17" x14ac:dyDescent="0.3">
      <c r="A5023" s="431" t="str">
        <f>IFERROR(VLOOKUP(RIGHT(E5023,3)+0,[1]SchLocTable!$A$2:$B$47,2,FALSE)," ")</f>
        <v>Skane</v>
      </c>
      <c r="B5023" s="431" t="str">
        <f>VLOOKUP(VALUE(D5023),$D$3:F$106,3,FALSE)</f>
        <v>Security</v>
      </c>
      <c r="C5023" t="s">
        <v>314</v>
      </c>
      <c r="D5023" t="s">
        <v>1365</v>
      </c>
      <c r="E5023" t="s">
        <v>1136</v>
      </c>
      <c r="F5023" t="s">
        <v>360</v>
      </c>
      <c r="G5023" t="s">
        <v>319</v>
      </c>
      <c r="H5023" s="502" t="s">
        <v>1249</v>
      </c>
      <c r="I5023" s="415">
        <v>0</v>
      </c>
      <c r="J5023" s="415">
        <v>0</v>
      </c>
      <c r="K5023" s="415">
        <v>0</v>
      </c>
      <c r="L5023" s="415">
        <v>0</v>
      </c>
      <c r="M5023" s="415">
        <v>0</v>
      </c>
      <c r="N5023" s="415">
        <v>0</v>
      </c>
      <c r="O5023" s="415">
        <v>2000</v>
      </c>
      <c r="P5023" s="415">
        <v>1000</v>
      </c>
      <c r="Q5023" s="501">
        <f t="shared" si="124"/>
        <v>0</v>
      </c>
    </row>
    <row r="5024" spans="1:17" x14ac:dyDescent="0.3">
      <c r="A5024" s="431" t="str">
        <f>IFERROR(VLOOKUP(RIGHT(E5024,3)+0,[1]SchLocTable!$A$2:$B$47,2,FALSE)," ")</f>
        <v>Multicultural Magnet</v>
      </c>
      <c r="B5024" s="431" t="str">
        <f>VLOOKUP(VALUE(D5024),$D$3:F$106,3,FALSE)</f>
        <v>Security</v>
      </c>
      <c r="C5024" t="s">
        <v>314</v>
      </c>
      <c r="D5024" t="s">
        <v>1365</v>
      </c>
      <c r="E5024" t="s">
        <v>1138</v>
      </c>
      <c r="F5024" t="s">
        <v>360</v>
      </c>
      <c r="G5024" t="s">
        <v>319</v>
      </c>
      <c r="H5024" s="502" t="s">
        <v>1249</v>
      </c>
      <c r="I5024" s="415">
        <v>0</v>
      </c>
      <c r="J5024" s="415">
        <v>0</v>
      </c>
      <c r="K5024" s="415">
        <v>0</v>
      </c>
      <c r="L5024" s="415">
        <v>0</v>
      </c>
      <c r="M5024" s="415">
        <v>0</v>
      </c>
      <c r="N5024" s="415">
        <v>0</v>
      </c>
      <c r="O5024" s="415">
        <v>2000</v>
      </c>
      <c r="P5024" s="415">
        <v>2000</v>
      </c>
      <c r="Q5024" s="501">
        <f t="shared" si="124"/>
        <v>0</v>
      </c>
    </row>
    <row r="5025" spans="1:17" x14ac:dyDescent="0.3">
      <c r="A5025" s="431" t="str">
        <f>IFERROR(VLOOKUP(RIGHT(E5025,3)+0,[1]SchLocTable!$A$2:$B$47,2,FALSE)," ")</f>
        <v>Central HS</v>
      </c>
      <c r="B5025" s="431" t="str">
        <f>VLOOKUP(VALUE(D5025),$D$3:F$106,3,FALSE)</f>
        <v>Security</v>
      </c>
      <c r="C5025" t="s">
        <v>314</v>
      </c>
      <c r="D5025" t="s">
        <v>1365</v>
      </c>
      <c r="E5025" t="s">
        <v>1141</v>
      </c>
      <c r="F5025" t="s">
        <v>419</v>
      </c>
      <c r="G5025" t="s">
        <v>319</v>
      </c>
      <c r="H5025" s="502" t="s">
        <v>1243</v>
      </c>
      <c r="I5025" s="415">
        <v>0</v>
      </c>
      <c r="J5025" s="415">
        <v>0</v>
      </c>
      <c r="K5025" s="415">
        <v>0</v>
      </c>
      <c r="L5025" s="415">
        <v>0</v>
      </c>
      <c r="M5025" s="415">
        <v>0</v>
      </c>
      <c r="N5025" s="415">
        <v>0</v>
      </c>
      <c r="O5025" s="415">
        <v>0</v>
      </c>
      <c r="P5025" s="415">
        <v>250.29</v>
      </c>
      <c r="Q5025" s="501">
        <f t="shared" si="124"/>
        <v>0</v>
      </c>
    </row>
    <row r="5026" spans="1:17" x14ac:dyDescent="0.3">
      <c r="A5026" s="431" t="str">
        <f>IFERROR(VLOOKUP(RIGHT(E5026,3)+0,[1]SchLocTable!$A$2:$B$47,2,FALSE)," ")</f>
        <v>Central HS</v>
      </c>
      <c r="B5026" s="431" t="str">
        <f>VLOOKUP(VALUE(D5026),$D$3:F$106,3,FALSE)</f>
        <v>Security</v>
      </c>
      <c r="C5026" t="s">
        <v>314</v>
      </c>
      <c r="D5026" t="s">
        <v>1365</v>
      </c>
      <c r="E5026" t="s">
        <v>1141</v>
      </c>
      <c r="F5026" t="s">
        <v>1148</v>
      </c>
      <c r="G5026" t="s">
        <v>319</v>
      </c>
      <c r="H5026" s="502">
        <v>51124</v>
      </c>
      <c r="I5026" s="415"/>
      <c r="J5026" s="415"/>
      <c r="K5026" s="415"/>
      <c r="L5026" s="415">
        <v>0</v>
      </c>
      <c r="M5026" s="415"/>
      <c r="N5026" s="415">
        <v>508.08</v>
      </c>
      <c r="O5026" s="415">
        <v>0</v>
      </c>
      <c r="P5026" s="415">
        <v>0</v>
      </c>
      <c r="Q5026" s="501">
        <f t="shared" si="124"/>
        <v>0</v>
      </c>
    </row>
    <row r="5027" spans="1:17" x14ac:dyDescent="0.3">
      <c r="A5027" s="431" t="str">
        <f>IFERROR(VLOOKUP(RIGHT(E5027,3)+0,[1]SchLocTable!$A$2:$B$47,2,FALSE)," ")</f>
        <v>Central HS</v>
      </c>
      <c r="B5027" s="431" t="str">
        <f>VLOOKUP(VALUE(D5027),$D$3:F$106,3,FALSE)</f>
        <v>Security</v>
      </c>
      <c r="C5027" t="s">
        <v>314</v>
      </c>
      <c r="D5027" t="s">
        <v>1365</v>
      </c>
      <c r="E5027" t="s">
        <v>1141</v>
      </c>
      <c r="F5027" t="s">
        <v>418</v>
      </c>
      <c r="G5027" t="s">
        <v>319</v>
      </c>
      <c r="H5027" s="502" t="s">
        <v>1242</v>
      </c>
      <c r="I5027" s="415">
        <v>0</v>
      </c>
      <c r="J5027" s="415">
        <v>0</v>
      </c>
      <c r="K5027" s="415">
        <v>0</v>
      </c>
      <c r="L5027" s="415">
        <v>0</v>
      </c>
      <c r="M5027" s="415">
        <v>0</v>
      </c>
      <c r="N5027" s="415">
        <v>0</v>
      </c>
      <c r="O5027" s="415">
        <v>0</v>
      </c>
      <c r="P5027" s="415">
        <v>2095.02</v>
      </c>
      <c r="Q5027" s="501">
        <f t="shared" si="124"/>
        <v>0</v>
      </c>
    </row>
    <row r="5028" spans="1:17" x14ac:dyDescent="0.3">
      <c r="A5028" s="431" t="str">
        <f>IFERROR(VLOOKUP(RIGHT(E5028,3)+0,[1]SchLocTable!$A$2:$B$47,2,FALSE)," ")</f>
        <v>Central HS</v>
      </c>
      <c r="B5028" s="431" t="str">
        <f>VLOOKUP(VALUE(D5028),$D$3:F$106,3,FALSE)</f>
        <v>Security</v>
      </c>
      <c r="C5028" t="s">
        <v>314</v>
      </c>
      <c r="D5028" t="s">
        <v>1365</v>
      </c>
      <c r="E5028" t="s">
        <v>1141</v>
      </c>
      <c r="F5028" t="s">
        <v>356</v>
      </c>
      <c r="G5028" t="s">
        <v>319</v>
      </c>
      <c r="H5028" s="502">
        <v>51156</v>
      </c>
      <c r="I5028" s="415"/>
      <c r="J5028" s="415"/>
      <c r="K5028" s="415"/>
      <c r="L5028" s="415">
        <v>0</v>
      </c>
      <c r="M5028" s="415"/>
      <c r="N5028" s="415">
        <v>1574.4</v>
      </c>
      <c r="O5028" s="415">
        <v>1223.4000000000001</v>
      </c>
      <c r="P5028" s="415">
        <v>741.6</v>
      </c>
      <c r="Q5028" s="501">
        <f t="shared" si="124"/>
        <v>0</v>
      </c>
    </row>
    <row r="5029" spans="1:17" x14ac:dyDescent="0.3">
      <c r="A5029" s="431" t="str">
        <f>IFERROR(VLOOKUP(RIGHT(E5029,3)+0,[1]SchLocTable!$A$2:$B$47,2,FALSE)," ")</f>
        <v>Harding HS</v>
      </c>
      <c r="B5029" s="431" t="str">
        <f>VLOOKUP(VALUE(D5029),$D$3:F$106,3,FALSE)</f>
        <v>Security</v>
      </c>
      <c r="C5029" t="s">
        <v>314</v>
      </c>
      <c r="D5029" t="s">
        <v>1365</v>
      </c>
      <c r="E5029" t="s">
        <v>1142</v>
      </c>
      <c r="F5029" t="s">
        <v>419</v>
      </c>
      <c r="G5029" t="s">
        <v>319</v>
      </c>
      <c r="H5029" s="502" t="s">
        <v>1243</v>
      </c>
      <c r="I5029" s="415">
        <v>0</v>
      </c>
      <c r="J5029" s="415">
        <v>0</v>
      </c>
      <c r="K5029" s="415">
        <v>0</v>
      </c>
      <c r="L5029" s="415">
        <v>0</v>
      </c>
      <c r="M5029" s="415">
        <v>0</v>
      </c>
      <c r="N5029" s="415">
        <v>0</v>
      </c>
      <c r="O5029" s="415">
        <v>298.39999999999998</v>
      </c>
      <c r="P5029" s="415">
        <v>0</v>
      </c>
      <c r="Q5029" s="501">
        <f t="shared" si="124"/>
        <v>0</v>
      </c>
    </row>
    <row r="5030" spans="1:17" x14ac:dyDescent="0.3">
      <c r="A5030" s="431" t="str">
        <f>IFERROR(VLOOKUP(RIGHT(E5030,3)+0,[1]SchLocTable!$A$2:$B$47,2,FALSE)," ")</f>
        <v>Harding HS</v>
      </c>
      <c r="B5030" s="431" t="str">
        <f>VLOOKUP(VALUE(D5030),$D$3:F$106,3,FALSE)</f>
        <v>Security</v>
      </c>
      <c r="C5030" t="s">
        <v>314</v>
      </c>
      <c r="D5030" t="s">
        <v>1365</v>
      </c>
      <c r="E5030" t="s">
        <v>1142</v>
      </c>
      <c r="F5030" t="s">
        <v>329</v>
      </c>
      <c r="G5030" t="s">
        <v>319</v>
      </c>
      <c r="H5030" s="502">
        <v>51154</v>
      </c>
      <c r="I5030" s="415"/>
      <c r="J5030" s="415"/>
      <c r="K5030" s="415"/>
      <c r="L5030" s="415">
        <v>0</v>
      </c>
      <c r="M5030" s="415"/>
      <c r="N5030" s="415">
        <v>4747.6000000000004</v>
      </c>
      <c r="O5030" s="415">
        <v>0</v>
      </c>
      <c r="P5030" s="415">
        <v>0</v>
      </c>
      <c r="Q5030" s="501">
        <f t="shared" si="124"/>
        <v>0</v>
      </c>
    </row>
    <row r="5031" spans="1:17" x14ac:dyDescent="0.3">
      <c r="A5031" s="431" t="str">
        <f>IFERROR(VLOOKUP(RIGHT(E5031,3)+0,[1]SchLocTable!$A$2:$B$47,2,FALSE)," ")</f>
        <v xml:space="preserve"> </v>
      </c>
      <c r="B5031" s="431" t="str">
        <f>VLOOKUP(VALUE(D5031),$D$3:F$106,3,FALSE)</f>
        <v>Facilities Administration</v>
      </c>
      <c r="C5031" t="s">
        <v>314</v>
      </c>
      <c r="D5031" t="s">
        <v>1400</v>
      </c>
      <c r="E5031" t="s">
        <v>1145</v>
      </c>
      <c r="F5031" t="s">
        <v>360</v>
      </c>
      <c r="G5031" t="s">
        <v>319</v>
      </c>
      <c r="H5031" s="502" t="s">
        <v>1249</v>
      </c>
      <c r="I5031" s="415">
        <v>0</v>
      </c>
      <c r="J5031" s="415">
        <v>0</v>
      </c>
      <c r="K5031" s="415">
        <v>0</v>
      </c>
      <c r="L5031" s="415">
        <v>0</v>
      </c>
      <c r="M5031" s="415">
        <v>0</v>
      </c>
      <c r="N5031" s="415">
        <v>0</v>
      </c>
      <c r="O5031" s="415">
        <v>1000</v>
      </c>
      <c r="P5031" s="415">
        <v>2000</v>
      </c>
      <c r="Q5031" s="501">
        <f t="shared" si="124"/>
        <v>0</v>
      </c>
    </row>
    <row r="5032" spans="1:17" x14ac:dyDescent="0.3">
      <c r="A5032" s="431" t="str">
        <f>IFERROR(VLOOKUP(RIGHT(E5032,3)+0,[1]SchLocTable!$A$2:$B$47,2,FALSE)," ")</f>
        <v xml:space="preserve"> </v>
      </c>
      <c r="B5032" s="431" t="str">
        <f>VLOOKUP(VALUE(D5032),$D$3:F$106,3,FALSE)</f>
        <v>Facilities Administration</v>
      </c>
      <c r="C5032" t="s">
        <v>314</v>
      </c>
      <c r="D5032" t="s">
        <v>1400</v>
      </c>
      <c r="E5032" t="s">
        <v>1145</v>
      </c>
      <c r="F5032" t="s">
        <v>1087</v>
      </c>
      <c r="G5032" t="s">
        <v>319</v>
      </c>
      <c r="H5032" s="502" t="s">
        <v>1236</v>
      </c>
      <c r="I5032" s="415">
        <v>0</v>
      </c>
      <c r="J5032" s="415">
        <v>0</v>
      </c>
      <c r="K5032" s="415">
        <v>0</v>
      </c>
      <c r="L5032" s="415">
        <v>0</v>
      </c>
      <c r="M5032" s="415">
        <v>0</v>
      </c>
      <c r="N5032" s="415">
        <v>0</v>
      </c>
      <c r="O5032" s="415">
        <v>91.43</v>
      </c>
      <c r="P5032" s="415">
        <v>0</v>
      </c>
      <c r="Q5032" s="501">
        <f t="shared" si="124"/>
        <v>0</v>
      </c>
    </row>
    <row r="5033" spans="1:17" x14ac:dyDescent="0.3">
      <c r="A5033" s="431" t="str">
        <f>IFERROR(VLOOKUP(RIGHT(E5033,3)+0,[1]SchLocTable!$A$2:$B$47,2,FALSE)," ")</f>
        <v xml:space="preserve"> </v>
      </c>
      <c r="B5033" s="431" t="str">
        <f>VLOOKUP(VALUE(D5033),$D$3:F$106,3,FALSE)</f>
        <v>Trades</v>
      </c>
      <c r="C5033" t="s">
        <v>314</v>
      </c>
      <c r="D5033" t="s">
        <v>1401</v>
      </c>
      <c r="E5033" t="s">
        <v>1149</v>
      </c>
      <c r="F5033" t="s">
        <v>1154</v>
      </c>
      <c r="G5033" t="s">
        <v>319</v>
      </c>
      <c r="H5033" s="502" t="s">
        <v>1238</v>
      </c>
      <c r="I5033" s="415">
        <v>0</v>
      </c>
      <c r="J5033" s="415">
        <v>0</v>
      </c>
      <c r="K5033" s="415">
        <v>0</v>
      </c>
      <c r="L5033" s="415">
        <v>0</v>
      </c>
      <c r="M5033" s="415">
        <v>0</v>
      </c>
      <c r="N5033" s="415">
        <v>0</v>
      </c>
      <c r="O5033" s="415">
        <v>171.09</v>
      </c>
      <c r="P5033" s="415">
        <v>477.1</v>
      </c>
      <c r="Q5033" s="501">
        <f t="shared" si="124"/>
        <v>0</v>
      </c>
    </row>
    <row r="5034" spans="1:17" x14ac:dyDescent="0.3">
      <c r="A5034" s="431" t="str">
        <f>IFERROR(VLOOKUP(RIGHT(E5034,3)+0,[1]SchLocTable!$A$2:$B$47,2,FALSE)," ")</f>
        <v xml:space="preserve"> </v>
      </c>
      <c r="B5034" s="431" t="str">
        <f>VLOOKUP(VALUE(D5034),$D$3:F$106,3,FALSE)</f>
        <v>Custodians</v>
      </c>
      <c r="C5034" t="s">
        <v>314</v>
      </c>
      <c r="D5034" t="s">
        <v>1366</v>
      </c>
      <c r="E5034" t="s">
        <v>1151</v>
      </c>
      <c r="F5034" t="s">
        <v>1154</v>
      </c>
      <c r="G5034" t="s">
        <v>319</v>
      </c>
      <c r="H5034" s="502" t="s">
        <v>1238</v>
      </c>
      <c r="I5034" s="415">
        <v>0</v>
      </c>
      <c r="J5034" s="415">
        <v>0</v>
      </c>
      <c r="K5034" s="415">
        <v>0</v>
      </c>
      <c r="L5034" s="415">
        <v>0</v>
      </c>
      <c r="M5034" s="415">
        <v>0</v>
      </c>
      <c r="N5034" s="415">
        <v>0</v>
      </c>
      <c r="O5034" s="415">
        <v>325.89</v>
      </c>
      <c r="P5034" s="415">
        <v>0</v>
      </c>
      <c r="Q5034" s="501">
        <f t="shared" si="124"/>
        <v>0</v>
      </c>
    </row>
    <row r="5035" spans="1:17" x14ac:dyDescent="0.3">
      <c r="A5035" s="431" t="str">
        <f>IFERROR(VLOOKUP(RIGHT(E5035,3)+0,[1]SchLocTable!$A$2:$B$47,2,FALSE)," ")</f>
        <v xml:space="preserve"> </v>
      </c>
      <c r="B5035" s="431" t="str">
        <f>VLOOKUP(VALUE(D5035),$D$3:F$106,3,FALSE)</f>
        <v>Custodians</v>
      </c>
      <c r="C5035" t="s">
        <v>314</v>
      </c>
      <c r="D5035" t="s">
        <v>1366</v>
      </c>
      <c r="E5035" t="s">
        <v>1151</v>
      </c>
      <c r="F5035" t="s">
        <v>1392</v>
      </c>
      <c r="G5035" t="s">
        <v>319</v>
      </c>
      <c r="H5035" s="502" t="s">
        <v>1393</v>
      </c>
      <c r="I5035" s="415">
        <v>0</v>
      </c>
      <c r="J5035" s="415">
        <v>0</v>
      </c>
      <c r="K5035" s="415">
        <v>0</v>
      </c>
      <c r="L5035" s="415">
        <v>0</v>
      </c>
      <c r="M5035" s="415">
        <v>0</v>
      </c>
      <c r="N5035" s="415">
        <v>0</v>
      </c>
      <c r="O5035" s="415">
        <v>0</v>
      </c>
      <c r="P5035" s="415">
        <v>8.36</v>
      </c>
      <c r="Q5035" s="501">
        <f t="shared" si="124"/>
        <v>0</v>
      </c>
    </row>
    <row r="5036" spans="1:17" x14ac:dyDescent="0.3">
      <c r="A5036" s="431" t="str">
        <f>IFERROR(VLOOKUP(RIGHT(E5036,3)+0,[1]SchLocTable!$A$2:$B$47,2,FALSE)," ")</f>
        <v xml:space="preserve"> </v>
      </c>
      <c r="B5036" s="431" t="str">
        <f>VLOOKUP(VALUE(D5036),$D$3:F$106,3,FALSE)</f>
        <v>Custodians</v>
      </c>
      <c r="C5036" t="s">
        <v>314</v>
      </c>
      <c r="D5036" t="s">
        <v>1366</v>
      </c>
      <c r="E5036" t="s">
        <v>1153</v>
      </c>
      <c r="F5036" t="s">
        <v>324</v>
      </c>
      <c r="G5036" t="s">
        <v>319</v>
      </c>
      <c r="H5036" s="502">
        <v>52385</v>
      </c>
      <c r="I5036" s="415"/>
      <c r="J5036" s="415"/>
      <c r="K5036" s="415"/>
      <c r="L5036" s="415">
        <v>0</v>
      </c>
      <c r="M5036" s="415"/>
      <c r="N5036" s="415">
        <v>177.09</v>
      </c>
      <c r="O5036" s="415">
        <v>12.98</v>
      </c>
      <c r="P5036" s="415">
        <v>0</v>
      </c>
      <c r="Q5036" s="501">
        <f t="shared" si="124"/>
        <v>0</v>
      </c>
    </row>
    <row r="5037" spans="1:17" x14ac:dyDescent="0.3">
      <c r="A5037" s="431" t="str">
        <f>IFERROR(VLOOKUP(RIGHT(E5037,3)+0,[1]SchLocTable!$A$2:$B$47,2,FALSE)," ")</f>
        <v>Black Rock</v>
      </c>
      <c r="B5037" s="431" t="str">
        <f>VLOOKUP(VALUE(D5037),$D$3:F$106,3,FALSE)</f>
        <v>Custodians</v>
      </c>
      <c r="C5037" t="s">
        <v>314</v>
      </c>
      <c r="D5037" t="s">
        <v>1366</v>
      </c>
      <c r="E5037" t="s">
        <v>1158</v>
      </c>
      <c r="F5037" t="s">
        <v>419</v>
      </c>
      <c r="G5037" t="s">
        <v>319</v>
      </c>
      <c r="H5037" s="502">
        <v>51318</v>
      </c>
      <c r="I5037" s="415"/>
      <c r="J5037" s="415"/>
      <c r="K5037" s="415"/>
      <c r="L5037" s="415">
        <v>0</v>
      </c>
      <c r="M5037" s="415"/>
      <c r="N5037" s="415">
        <v>130.05000000000001</v>
      </c>
      <c r="O5037" s="415">
        <v>0</v>
      </c>
      <c r="P5037" s="415">
        <v>0</v>
      </c>
      <c r="Q5037" s="501">
        <f t="shared" si="124"/>
        <v>0</v>
      </c>
    </row>
    <row r="5038" spans="1:17" x14ac:dyDescent="0.3">
      <c r="A5038" s="431" t="str">
        <f>IFERROR(VLOOKUP(RIGHT(E5038,3)+0,[1]SchLocTable!$A$2:$B$47,2,FALSE)," ")</f>
        <v>Black Rock</v>
      </c>
      <c r="B5038" s="431" t="str">
        <f>VLOOKUP(VALUE(D5038),$D$3:F$106,3,FALSE)</f>
        <v>Custodians</v>
      </c>
      <c r="C5038" t="s">
        <v>314</v>
      </c>
      <c r="D5038" t="s">
        <v>1366</v>
      </c>
      <c r="E5038" t="s">
        <v>1158</v>
      </c>
      <c r="F5038" t="s">
        <v>427</v>
      </c>
      <c r="G5038" t="s">
        <v>319</v>
      </c>
      <c r="H5038" s="502" t="s">
        <v>1234</v>
      </c>
      <c r="I5038" s="415">
        <v>0</v>
      </c>
      <c r="J5038" s="415">
        <v>0</v>
      </c>
      <c r="K5038" s="415">
        <v>0</v>
      </c>
      <c r="L5038" s="415">
        <v>0</v>
      </c>
      <c r="M5038" s="415">
        <v>0</v>
      </c>
      <c r="N5038" s="415">
        <v>0</v>
      </c>
      <c r="O5038" s="415">
        <v>73.260000000000005</v>
      </c>
      <c r="P5038" s="415">
        <v>0</v>
      </c>
      <c r="Q5038" s="501">
        <f t="shared" si="124"/>
        <v>0</v>
      </c>
    </row>
    <row r="5039" spans="1:17" x14ac:dyDescent="0.3">
      <c r="A5039" s="431" t="str">
        <f>IFERROR(VLOOKUP(RIGHT(E5039,3)+0,[1]SchLocTable!$A$2:$B$47,2,FALSE)," ")</f>
        <v>Black Rock</v>
      </c>
      <c r="B5039" s="431" t="str">
        <f>VLOOKUP(VALUE(D5039),$D$3:F$106,3,FALSE)</f>
        <v>Custodians</v>
      </c>
      <c r="C5039" t="s">
        <v>314</v>
      </c>
      <c r="D5039" t="s">
        <v>1366</v>
      </c>
      <c r="E5039" t="s">
        <v>1158</v>
      </c>
      <c r="F5039" t="s">
        <v>418</v>
      </c>
      <c r="G5039" t="s">
        <v>319</v>
      </c>
      <c r="H5039" s="502">
        <v>51314</v>
      </c>
      <c r="I5039" s="415"/>
      <c r="J5039" s="415"/>
      <c r="K5039" s="415"/>
      <c r="L5039" s="415">
        <v>0</v>
      </c>
      <c r="M5039" s="415"/>
      <c r="N5039" s="415">
        <v>1387.23</v>
      </c>
      <c r="O5039" s="415">
        <v>0</v>
      </c>
      <c r="P5039" s="415">
        <v>0</v>
      </c>
      <c r="Q5039" s="501">
        <f t="shared" si="124"/>
        <v>0</v>
      </c>
    </row>
    <row r="5040" spans="1:17" x14ac:dyDescent="0.3">
      <c r="A5040" s="431" t="str">
        <f>IFERROR(VLOOKUP(RIGHT(E5040,3)+0,[1]SchLocTable!$A$2:$B$47,2,FALSE)," ")</f>
        <v>Bryant</v>
      </c>
      <c r="B5040" s="431" t="str">
        <f>VLOOKUP(VALUE(D5040),$D$3:F$106,3,FALSE)</f>
        <v>Custodians</v>
      </c>
      <c r="C5040" t="s">
        <v>314</v>
      </c>
      <c r="D5040" t="s">
        <v>1366</v>
      </c>
      <c r="E5040" t="s">
        <v>1159</v>
      </c>
      <c r="F5040" t="s">
        <v>360</v>
      </c>
      <c r="G5040" t="s">
        <v>319</v>
      </c>
      <c r="H5040" s="502" t="s">
        <v>1249</v>
      </c>
      <c r="I5040" s="415">
        <v>0</v>
      </c>
      <c r="J5040" s="415">
        <v>0</v>
      </c>
      <c r="K5040" s="415">
        <v>0</v>
      </c>
      <c r="L5040" s="415">
        <v>0</v>
      </c>
      <c r="M5040" s="415">
        <v>0</v>
      </c>
      <c r="N5040" s="415">
        <v>0</v>
      </c>
      <c r="O5040" s="415">
        <v>0</v>
      </c>
      <c r="P5040" s="415">
        <v>1000</v>
      </c>
      <c r="Q5040" s="501">
        <f t="shared" si="124"/>
        <v>0</v>
      </c>
    </row>
    <row r="5041" spans="1:17" x14ac:dyDescent="0.3">
      <c r="A5041" s="431" t="str">
        <f>IFERROR(VLOOKUP(RIGHT(E5041,3)+0,[1]SchLocTable!$A$2:$B$47,2,FALSE)," ")</f>
        <v>Columbus</v>
      </c>
      <c r="B5041" s="431" t="str">
        <f>VLOOKUP(VALUE(D5041),$D$3:F$106,3,FALSE)</f>
        <v>Custodians</v>
      </c>
      <c r="C5041" t="s">
        <v>314</v>
      </c>
      <c r="D5041" t="s">
        <v>1366</v>
      </c>
      <c r="E5041" t="s">
        <v>1160</v>
      </c>
      <c r="F5041" t="s">
        <v>419</v>
      </c>
      <c r="G5041" t="s">
        <v>319</v>
      </c>
      <c r="H5041" s="502" t="s">
        <v>1243</v>
      </c>
      <c r="I5041" s="415">
        <v>0</v>
      </c>
      <c r="J5041" s="415">
        <v>0</v>
      </c>
      <c r="K5041" s="415">
        <v>0</v>
      </c>
      <c r="L5041" s="415">
        <v>0</v>
      </c>
      <c r="M5041" s="415">
        <v>0</v>
      </c>
      <c r="N5041" s="415">
        <v>0</v>
      </c>
      <c r="O5041" s="415">
        <v>231.74</v>
      </c>
      <c r="P5041" s="415">
        <v>0</v>
      </c>
      <c r="Q5041" s="501">
        <f t="shared" si="124"/>
        <v>0</v>
      </c>
    </row>
    <row r="5042" spans="1:17" x14ac:dyDescent="0.3">
      <c r="A5042" s="431" t="str">
        <f>IFERROR(VLOOKUP(RIGHT(E5042,3)+0,[1]SchLocTable!$A$2:$B$47,2,FALSE)," ")</f>
        <v>Columbus</v>
      </c>
      <c r="B5042" s="431" t="str">
        <f>VLOOKUP(VALUE(D5042),$D$3:F$106,3,FALSE)</f>
        <v>Custodians</v>
      </c>
      <c r="C5042" t="s">
        <v>314</v>
      </c>
      <c r="D5042" t="s">
        <v>1366</v>
      </c>
      <c r="E5042" t="s">
        <v>1160</v>
      </c>
      <c r="F5042" t="s">
        <v>329</v>
      </c>
      <c r="G5042" t="s">
        <v>319</v>
      </c>
      <c r="H5042" s="502">
        <v>51154</v>
      </c>
      <c r="I5042" s="415"/>
      <c r="J5042" s="415"/>
      <c r="K5042" s="415"/>
      <c r="L5042" s="415">
        <v>0</v>
      </c>
      <c r="M5042" s="415"/>
      <c r="N5042" s="415">
        <v>1722.56</v>
      </c>
      <c r="O5042" s="415">
        <v>5098.33</v>
      </c>
      <c r="P5042" s="415">
        <v>0</v>
      </c>
      <c r="Q5042" s="501">
        <f t="shared" si="124"/>
        <v>0</v>
      </c>
    </row>
    <row r="5043" spans="1:17" x14ac:dyDescent="0.3">
      <c r="A5043" s="431" t="str">
        <f>IFERROR(VLOOKUP(RIGHT(E5043,3)+0,[1]SchLocTable!$A$2:$B$47,2,FALSE)," ")</f>
        <v>Columbus</v>
      </c>
      <c r="B5043" s="431" t="str">
        <f>VLOOKUP(VALUE(D5043),$D$3:F$106,3,FALSE)</f>
        <v>Custodians</v>
      </c>
      <c r="C5043" t="s">
        <v>314</v>
      </c>
      <c r="D5043" t="s">
        <v>1366</v>
      </c>
      <c r="E5043" t="s">
        <v>1160</v>
      </c>
      <c r="F5043" t="s">
        <v>418</v>
      </c>
      <c r="G5043" t="s">
        <v>319</v>
      </c>
      <c r="H5043" s="502">
        <v>51314</v>
      </c>
      <c r="I5043" s="415"/>
      <c r="J5043" s="415"/>
      <c r="K5043" s="415"/>
      <c r="L5043" s="415">
        <v>0</v>
      </c>
      <c r="M5043" s="415"/>
      <c r="N5043" s="415">
        <v>2351.87</v>
      </c>
      <c r="O5043" s="415">
        <v>3939.62</v>
      </c>
      <c r="P5043" s="415">
        <v>0</v>
      </c>
      <c r="Q5043" s="501">
        <f t="shared" si="124"/>
        <v>0</v>
      </c>
    </row>
    <row r="5044" spans="1:17" x14ac:dyDescent="0.3">
      <c r="A5044" s="431" t="str">
        <f>IFERROR(VLOOKUP(RIGHT(E5044,3)+0,[1]SchLocTable!$A$2:$B$47,2,FALSE)," ")</f>
        <v>Edison</v>
      </c>
      <c r="B5044" s="431" t="str">
        <f>VLOOKUP(VALUE(D5044),$D$3:F$106,3,FALSE)</f>
        <v>Custodians</v>
      </c>
      <c r="C5044" t="s">
        <v>314</v>
      </c>
      <c r="D5044" t="s">
        <v>1366</v>
      </c>
      <c r="E5044" t="s">
        <v>1161</v>
      </c>
      <c r="F5044" t="s">
        <v>1090</v>
      </c>
      <c r="G5044" t="s">
        <v>319</v>
      </c>
      <c r="H5044" s="502">
        <v>51138</v>
      </c>
      <c r="I5044" s="415"/>
      <c r="J5044" s="415"/>
      <c r="K5044" s="415"/>
      <c r="L5044" s="415">
        <v>0</v>
      </c>
      <c r="M5044" s="415"/>
      <c r="N5044" s="415">
        <v>480.15</v>
      </c>
      <c r="O5044" s="415">
        <v>1014.75</v>
      </c>
      <c r="P5044" s="415">
        <v>870.1</v>
      </c>
      <c r="Q5044" s="501">
        <f t="shared" si="124"/>
        <v>0</v>
      </c>
    </row>
    <row r="5045" spans="1:17" x14ac:dyDescent="0.3">
      <c r="A5045" s="431" t="str">
        <f>IFERROR(VLOOKUP(RIGHT(E5045,3)+0,[1]SchLocTable!$A$2:$B$47,2,FALSE)," ")</f>
        <v>Edison</v>
      </c>
      <c r="B5045" s="431" t="str">
        <f>VLOOKUP(VALUE(D5045),$D$3:F$106,3,FALSE)</f>
        <v>Custodians</v>
      </c>
      <c r="C5045" t="s">
        <v>314</v>
      </c>
      <c r="D5045" t="s">
        <v>1366</v>
      </c>
      <c r="E5045" t="s">
        <v>1161</v>
      </c>
      <c r="F5045" t="s">
        <v>324</v>
      </c>
      <c r="G5045" t="s">
        <v>319</v>
      </c>
      <c r="H5045" s="502">
        <v>52385</v>
      </c>
      <c r="I5045" s="415"/>
      <c r="J5045" s="415"/>
      <c r="K5045" s="415"/>
      <c r="L5045" s="415">
        <v>0</v>
      </c>
      <c r="M5045" s="415"/>
      <c r="N5045" s="415">
        <v>140.62</v>
      </c>
      <c r="O5045" s="415">
        <v>0</v>
      </c>
      <c r="P5045" s="415">
        <v>0</v>
      </c>
      <c r="Q5045" s="501">
        <f t="shared" si="124"/>
        <v>0</v>
      </c>
    </row>
    <row r="5046" spans="1:17" x14ac:dyDescent="0.3">
      <c r="A5046" s="431" t="str">
        <f>IFERROR(VLOOKUP(RIGHT(E5046,3)+0,[1]SchLocTable!$A$2:$B$47,2,FALSE)," ")</f>
        <v>Edison</v>
      </c>
      <c r="B5046" s="431" t="str">
        <f>VLOOKUP(VALUE(D5046),$D$3:F$106,3,FALSE)</f>
        <v>Custodians</v>
      </c>
      <c r="C5046" t="s">
        <v>314</v>
      </c>
      <c r="D5046" t="s">
        <v>1366</v>
      </c>
      <c r="E5046" t="s">
        <v>1161</v>
      </c>
      <c r="F5046" t="s">
        <v>356</v>
      </c>
      <c r="G5046" t="s">
        <v>319</v>
      </c>
      <c r="H5046" s="502">
        <v>51156</v>
      </c>
      <c r="I5046" s="415"/>
      <c r="J5046" s="415"/>
      <c r="K5046" s="415"/>
      <c r="L5046" s="415">
        <v>0</v>
      </c>
      <c r="M5046" s="415"/>
      <c r="N5046" s="415">
        <v>828.04</v>
      </c>
      <c r="O5046" s="415">
        <v>0</v>
      </c>
      <c r="P5046" s="415">
        <v>0</v>
      </c>
      <c r="Q5046" s="501">
        <f t="shared" si="124"/>
        <v>0</v>
      </c>
    </row>
    <row r="5047" spans="1:17" x14ac:dyDescent="0.3">
      <c r="A5047" s="431" t="str">
        <f>IFERROR(VLOOKUP(RIGHT(E5047,3)+0,[1]SchLocTable!$A$2:$B$47,2,FALSE)," ")</f>
        <v>Hall</v>
      </c>
      <c r="B5047" s="431" t="str">
        <f>VLOOKUP(VALUE(D5047),$D$3:F$106,3,FALSE)</f>
        <v>Custodians</v>
      </c>
      <c r="C5047" t="s">
        <v>314</v>
      </c>
      <c r="D5047" t="s">
        <v>1366</v>
      </c>
      <c r="E5047" t="s">
        <v>1164</v>
      </c>
      <c r="F5047" t="s">
        <v>1087</v>
      </c>
      <c r="G5047" t="s">
        <v>319</v>
      </c>
      <c r="H5047" s="502">
        <v>51116</v>
      </c>
      <c r="I5047" s="415"/>
      <c r="J5047" s="415"/>
      <c r="K5047" s="415"/>
      <c r="L5047" s="415">
        <v>0</v>
      </c>
      <c r="M5047" s="415"/>
      <c r="N5047" s="415">
        <v>325.13</v>
      </c>
      <c r="O5047" s="415">
        <v>0</v>
      </c>
      <c r="P5047" s="415">
        <v>0</v>
      </c>
      <c r="Q5047" s="501">
        <f t="shared" si="124"/>
        <v>0</v>
      </c>
    </row>
    <row r="5048" spans="1:17" x14ac:dyDescent="0.3">
      <c r="A5048" s="431" t="str">
        <f>IFERROR(VLOOKUP(RIGHT(E5048,3)+0,[1]SchLocTable!$A$2:$B$47,2,FALSE)," ")</f>
        <v>Hall</v>
      </c>
      <c r="B5048" s="431" t="str">
        <f>VLOOKUP(VALUE(D5048),$D$3:F$106,3,FALSE)</f>
        <v>Custodians</v>
      </c>
      <c r="C5048" t="s">
        <v>314</v>
      </c>
      <c r="D5048" t="s">
        <v>1366</v>
      </c>
      <c r="E5048" t="s">
        <v>1164</v>
      </c>
      <c r="F5048" t="s">
        <v>1148</v>
      </c>
      <c r="G5048" t="s">
        <v>319</v>
      </c>
      <c r="H5048" s="502">
        <v>51124</v>
      </c>
      <c r="I5048" s="415"/>
      <c r="J5048" s="415"/>
      <c r="K5048" s="415"/>
      <c r="L5048" s="415">
        <v>0</v>
      </c>
      <c r="M5048" s="415"/>
      <c r="N5048" s="415">
        <v>22.78</v>
      </c>
      <c r="O5048" s="415">
        <v>0</v>
      </c>
      <c r="P5048" s="415">
        <v>0</v>
      </c>
      <c r="Q5048" s="501">
        <f t="shared" si="124"/>
        <v>0</v>
      </c>
    </row>
    <row r="5049" spans="1:17" x14ac:dyDescent="0.3">
      <c r="A5049" s="431" t="str">
        <f>IFERROR(VLOOKUP(RIGHT(E5049,3)+0,[1]SchLocTable!$A$2:$B$47,2,FALSE)," ")</f>
        <v>Hall</v>
      </c>
      <c r="B5049" s="431" t="str">
        <f>VLOOKUP(VALUE(D5049),$D$3:F$106,3,FALSE)</f>
        <v>Custodians</v>
      </c>
      <c r="C5049" t="s">
        <v>314</v>
      </c>
      <c r="D5049" t="s">
        <v>1366</v>
      </c>
      <c r="E5049" t="s">
        <v>1164</v>
      </c>
      <c r="F5049" t="s">
        <v>356</v>
      </c>
      <c r="G5049" t="s">
        <v>319</v>
      </c>
      <c r="H5049" s="502" t="s">
        <v>1241</v>
      </c>
      <c r="I5049" s="415">
        <v>0</v>
      </c>
      <c r="J5049" s="415">
        <v>0</v>
      </c>
      <c r="K5049" s="415">
        <v>0</v>
      </c>
      <c r="L5049" s="415">
        <v>0</v>
      </c>
      <c r="M5049" s="415">
        <v>0</v>
      </c>
      <c r="N5049" s="415">
        <v>0</v>
      </c>
      <c r="O5049" s="415">
        <v>850.02</v>
      </c>
      <c r="P5049" s="415">
        <v>817</v>
      </c>
      <c r="Q5049" s="501">
        <f t="shared" si="124"/>
        <v>0</v>
      </c>
    </row>
    <row r="5050" spans="1:17" x14ac:dyDescent="0.3">
      <c r="A5050" s="431" t="str">
        <f>IFERROR(VLOOKUP(RIGHT(E5050,3)+0,[1]SchLocTable!$A$2:$B$47,2,FALSE)," ")</f>
        <v>Hooker</v>
      </c>
      <c r="B5050" s="431" t="str">
        <f>VLOOKUP(VALUE(D5050),$D$3:F$106,3,FALSE)</f>
        <v>Custodians</v>
      </c>
      <c r="C5050" t="s">
        <v>314</v>
      </c>
      <c r="D5050" t="s">
        <v>1366</v>
      </c>
      <c r="E5050" t="s">
        <v>1166</v>
      </c>
      <c r="F5050" t="s">
        <v>360</v>
      </c>
      <c r="G5050" t="s">
        <v>319</v>
      </c>
      <c r="H5050" s="502">
        <v>52920</v>
      </c>
      <c r="I5050" s="415"/>
      <c r="J5050" s="415"/>
      <c r="K5050" s="415"/>
      <c r="L5050" s="415">
        <v>0</v>
      </c>
      <c r="M5050" s="415"/>
      <c r="N5050" s="415">
        <v>1000</v>
      </c>
      <c r="O5050" s="415">
        <v>2000</v>
      </c>
      <c r="P5050" s="415">
        <v>2000</v>
      </c>
      <c r="Q5050" s="501">
        <f t="shared" si="124"/>
        <v>0</v>
      </c>
    </row>
    <row r="5051" spans="1:17" x14ac:dyDescent="0.3">
      <c r="A5051" s="431" t="str">
        <f>IFERROR(VLOOKUP(RIGHT(E5051,3)+0,[1]SchLocTable!$A$2:$B$47,2,FALSE)," ")</f>
        <v>Hooker</v>
      </c>
      <c r="B5051" s="431" t="str">
        <f>VLOOKUP(VALUE(D5051),$D$3:F$106,3,FALSE)</f>
        <v>Custodians</v>
      </c>
      <c r="C5051" t="s">
        <v>314</v>
      </c>
      <c r="D5051" t="s">
        <v>1366</v>
      </c>
      <c r="E5051" t="s">
        <v>1166</v>
      </c>
      <c r="F5051" t="s">
        <v>1392</v>
      </c>
      <c r="G5051" t="s">
        <v>319</v>
      </c>
      <c r="H5051" s="502" t="s">
        <v>1393</v>
      </c>
      <c r="I5051" s="415">
        <v>0</v>
      </c>
      <c r="J5051" s="415">
        <v>0</v>
      </c>
      <c r="K5051" s="415">
        <v>0</v>
      </c>
      <c r="L5051" s="415">
        <v>0</v>
      </c>
      <c r="M5051" s="415">
        <v>0</v>
      </c>
      <c r="N5051" s="415">
        <v>0</v>
      </c>
      <c r="O5051" s="415">
        <v>0</v>
      </c>
      <c r="P5051" s="415">
        <v>8.36</v>
      </c>
      <c r="Q5051" s="501">
        <f t="shared" si="124"/>
        <v>0</v>
      </c>
    </row>
    <row r="5052" spans="1:17" x14ac:dyDescent="0.3">
      <c r="A5052" s="431" t="str">
        <f>IFERROR(VLOOKUP(RIGHT(E5052,3)+0,[1]SchLocTable!$A$2:$B$47,2,FALSE)," ")</f>
        <v>Batalla</v>
      </c>
      <c r="B5052" s="431" t="str">
        <f>VLOOKUP(VALUE(D5052),$D$3:F$106,3,FALSE)</f>
        <v>Custodians</v>
      </c>
      <c r="C5052" t="s">
        <v>314</v>
      </c>
      <c r="D5052" t="s">
        <v>1366</v>
      </c>
      <c r="E5052" t="s">
        <v>1167</v>
      </c>
      <c r="F5052" t="s">
        <v>1087</v>
      </c>
      <c r="G5052" t="s">
        <v>319</v>
      </c>
      <c r="H5052" s="502" t="s">
        <v>1236</v>
      </c>
      <c r="I5052" s="415">
        <v>0</v>
      </c>
      <c r="J5052" s="415">
        <v>0</v>
      </c>
      <c r="K5052" s="415">
        <v>0</v>
      </c>
      <c r="L5052" s="415">
        <v>0</v>
      </c>
      <c r="M5052" s="415">
        <v>0</v>
      </c>
      <c r="N5052" s="415">
        <v>0</v>
      </c>
      <c r="O5052" s="415">
        <v>0</v>
      </c>
      <c r="P5052" s="415">
        <v>161.4</v>
      </c>
      <c r="Q5052" s="501">
        <f t="shared" si="124"/>
        <v>0</v>
      </c>
    </row>
    <row r="5053" spans="1:17" x14ac:dyDescent="0.3">
      <c r="A5053" s="431" t="str">
        <f>IFERROR(VLOOKUP(RIGHT(E5053,3)+0,[1]SchLocTable!$A$2:$B$47,2,FALSE)," ")</f>
        <v>Park City Magnet</v>
      </c>
      <c r="B5053" s="431" t="str">
        <f>VLOOKUP(VALUE(D5053),$D$3:F$106,3,FALSE)</f>
        <v>Custodians</v>
      </c>
      <c r="C5053" t="s">
        <v>314</v>
      </c>
      <c r="D5053" t="s">
        <v>1366</v>
      </c>
      <c r="E5053" t="s">
        <v>1170</v>
      </c>
      <c r="F5053" t="s">
        <v>360</v>
      </c>
      <c r="G5053" t="s">
        <v>319</v>
      </c>
      <c r="H5053" s="502">
        <v>52920</v>
      </c>
      <c r="I5053" s="415"/>
      <c r="J5053" s="415"/>
      <c r="K5053" s="415"/>
      <c r="L5053" s="415">
        <v>0</v>
      </c>
      <c r="M5053" s="415"/>
      <c r="N5053" s="415">
        <v>2000</v>
      </c>
      <c r="O5053" s="415">
        <v>2000</v>
      </c>
      <c r="P5053" s="415">
        <v>2000</v>
      </c>
      <c r="Q5053" s="501">
        <f t="shared" si="124"/>
        <v>0</v>
      </c>
    </row>
    <row r="5054" spans="1:17" x14ac:dyDescent="0.3">
      <c r="A5054" s="431" t="str">
        <f>IFERROR(VLOOKUP(RIGHT(E5054,3)+0,[1]SchLocTable!$A$2:$B$47,2,FALSE)," ")</f>
        <v>Classical Studies Academy</v>
      </c>
      <c r="B5054" s="431" t="str">
        <f>VLOOKUP(VALUE(D5054),$D$3:F$106,3,FALSE)</f>
        <v>Custodians</v>
      </c>
      <c r="C5054" t="s">
        <v>314</v>
      </c>
      <c r="D5054" t="s">
        <v>1366</v>
      </c>
      <c r="E5054" t="s">
        <v>1172</v>
      </c>
      <c r="F5054" t="s">
        <v>324</v>
      </c>
      <c r="G5054" t="s">
        <v>319</v>
      </c>
      <c r="H5054" s="502" t="s">
        <v>1246</v>
      </c>
      <c r="I5054" s="415">
        <v>0</v>
      </c>
      <c r="J5054" s="415">
        <v>0</v>
      </c>
      <c r="K5054" s="415">
        <v>0</v>
      </c>
      <c r="L5054" s="415">
        <v>0</v>
      </c>
      <c r="M5054" s="415">
        <v>0</v>
      </c>
      <c r="N5054" s="415">
        <v>0</v>
      </c>
      <c r="O5054" s="415">
        <v>0</v>
      </c>
      <c r="P5054" s="415">
        <v>1002.23</v>
      </c>
      <c r="Q5054" s="501">
        <f t="shared" si="124"/>
        <v>0</v>
      </c>
    </row>
    <row r="5055" spans="1:17" x14ac:dyDescent="0.3">
      <c r="A5055" s="431" t="str">
        <f>IFERROR(VLOOKUP(RIGHT(E5055,3)+0,[1]SchLocTable!$A$2:$B$47,2,FALSE)," ")</f>
        <v>Roosevelt</v>
      </c>
      <c r="B5055" s="431" t="str">
        <f>VLOOKUP(VALUE(D5055),$D$3:F$106,3,FALSE)</f>
        <v>Custodians</v>
      </c>
      <c r="C5055" t="s">
        <v>314</v>
      </c>
      <c r="D5055" t="s">
        <v>1366</v>
      </c>
      <c r="E5055" t="s">
        <v>1175</v>
      </c>
      <c r="F5055" t="s">
        <v>427</v>
      </c>
      <c r="G5055" t="s">
        <v>319</v>
      </c>
      <c r="H5055" s="502" t="s">
        <v>1234</v>
      </c>
      <c r="I5055" s="415">
        <v>0</v>
      </c>
      <c r="J5055" s="415">
        <v>0</v>
      </c>
      <c r="K5055" s="415">
        <v>0</v>
      </c>
      <c r="L5055" s="415">
        <v>0</v>
      </c>
      <c r="M5055" s="415">
        <v>0</v>
      </c>
      <c r="N5055" s="415">
        <v>0</v>
      </c>
      <c r="O5055" s="415">
        <v>18.440000000000001</v>
      </c>
      <c r="P5055" s="415">
        <v>2141.98</v>
      </c>
      <c r="Q5055" s="501">
        <f t="shared" ref="Q5055:Q5098" si="125">J5055-I5055</f>
        <v>0</v>
      </c>
    </row>
    <row r="5056" spans="1:17" x14ac:dyDescent="0.3">
      <c r="A5056" s="431" t="str">
        <f>IFERROR(VLOOKUP(RIGHT(E5056,3)+0,[1]SchLocTable!$A$2:$B$47,2,FALSE)," ")</f>
        <v>Bridgeport Learning Center</v>
      </c>
      <c r="B5056" s="431" t="str">
        <f>VLOOKUP(VALUE(D5056),$D$3:F$106,3,FALSE)</f>
        <v>Custodians</v>
      </c>
      <c r="C5056" t="s">
        <v>314</v>
      </c>
      <c r="D5056" t="s">
        <v>1366</v>
      </c>
      <c r="E5056" t="s">
        <v>1176</v>
      </c>
      <c r="F5056" t="s">
        <v>1090</v>
      </c>
      <c r="G5056" t="s">
        <v>319</v>
      </c>
      <c r="H5056" s="502">
        <v>51138</v>
      </c>
      <c r="I5056" s="415"/>
      <c r="J5056" s="415"/>
      <c r="K5056" s="415"/>
      <c r="L5056" s="415">
        <v>0</v>
      </c>
      <c r="M5056" s="415"/>
      <c r="N5056" s="415">
        <v>34.1</v>
      </c>
      <c r="O5056" s="415">
        <v>143.55000000000001</v>
      </c>
      <c r="P5056" s="415">
        <v>31.35</v>
      </c>
      <c r="Q5056" s="501">
        <f t="shared" si="125"/>
        <v>0</v>
      </c>
    </row>
    <row r="5057" spans="1:17" x14ac:dyDescent="0.3">
      <c r="A5057" s="431" t="str">
        <f>IFERROR(VLOOKUP(RIGHT(E5057,3)+0,[1]SchLocTable!$A$2:$B$47,2,FALSE)," ")</f>
        <v>Bridgeport Learning Center</v>
      </c>
      <c r="B5057" s="431" t="str">
        <f>VLOOKUP(VALUE(D5057),$D$3:F$106,3,FALSE)</f>
        <v>Custodians</v>
      </c>
      <c r="C5057" t="s">
        <v>314</v>
      </c>
      <c r="D5057" t="s">
        <v>1366</v>
      </c>
      <c r="E5057" t="s">
        <v>1176</v>
      </c>
      <c r="F5057" t="s">
        <v>324</v>
      </c>
      <c r="G5057" t="s">
        <v>319</v>
      </c>
      <c r="H5057" s="502" t="s">
        <v>1246</v>
      </c>
      <c r="I5057" s="415">
        <v>0</v>
      </c>
      <c r="J5057" s="415">
        <v>0</v>
      </c>
      <c r="K5057" s="415">
        <v>0</v>
      </c>
      <c r="L5057" s="415">
        <v>0</v>
      </c>
      <c r="M5057" s="415">
        <v>0</v>
      </c>
      <c r="N5057" s="415">
        <v>0</v>
      </c>
      <c r="O5057" s="415">
        <v>6.49</v>
      </c>
      <c r="P5057" s="415">
        <v>0</v>
      </c>
      <c r="Q5057" s="501">
        <f t="shared" si="125"/>
        <v>0</v>
      </c>
    </row>
    <row r="5058" spans="1:17" x14ac:dyDescent="0.3">
      <c r="A5058" s="431" t="str">
        <f>IFERROR(VLOOKUP(RIGHT(E5058,3)+0,[1]SchLocTable!$A$2:$B$47,2,FALSE)," ")</f>
        <v>Claytor</v>
      </c>
      <c r="B5058" s="431" t="str">
        <f>VLOOKUP(VALUE(D5058),$D$3:F$106,3,FALSE)</f>
        <v>Custodians</v>
      </c>
      <c r="C5058" t="s">
        <v>314</v>
      </c>
      <c r="D5058" t="s">
        <v>1366</v>
      </c>
      <c r="E5058" t="s">
        <v>1178</v>
      </c>
      <c r="F5058" t="s">
        <v>360</v>
      </c>
      <c r="G5058" t="s">
        <v>319</v>
      </c>
      <c r="H5058" s="502">
        <v>52920</v>
      </c>
      <c r="I5058" s="415"/>
      <c r="J5058" s="415"/>
      <c r="K5058" s="415"/>
      <c r="L5058" s="415">
        <v>0</v>
      </c>
      <c r="M5058" s="415"/>
      <c r="N5058" s="415">
        <v>1000</v>
      </c>
      <c r="O5058" s="415">
        <v>166.67</v>
      </c>
      <c r="P5058" s="415">
        <v>2000</v>
      </c>
      <c r="Q5058" s="501">
        <f t="shared" si="125"/>
        <v>0</v>
      </c>
    </row>
    <row r="5059" spans="1:17" x14ac:dyDescent="0.3">
      <c r="A5059" s="431" t="str">
        <f>IFERROR(VLOOKUP(RIGHT(E5059,3)+0,[1]SchLocTable!$A$2:$B$47,2,FALSE)," ")</f>
        <v>Winthrop</v>
      </c>
      <c r="B5059" s="431" t="str">
        <f>VLOOKUP(VALUE(D5059),$D$3:F$106,3,FALSE)</f>
        <v>Custodians</v>
      </c>
      <c r="C5059" t="s">
        <v>314</v>
      </c>
      <c r="D5059" t="s">
        <v>1366</v>
      </c>
      <c r="E5059" t="s">
        <v>1181</v>
      </c>
      <c r="F5059" t="s">
        <v>419</v>
      </c>
      <c r="G5059" t="s">
        <v>319</v>
      </c>
      <c r="H5059" s="502" t="s">
        <v>1243</v>
      </c>
      <c r="I5059" s="415">
        <v>0</v>
      </c>
      <c r="J5059" s="415">
        <v>0</v>
      </c>
      <c r="K5059" s="415">
        <v>0</v>
      </c>
      <c r="L5059" s="415">
        <v>0</v>
      </c>
      <c r="M5059" s="415">
        <v>0</v>
      </c>
      <c r="N5059" s="415">
        <v>0</v>
      </c>
      <c r="O5059" s="415">
        <v>0</v>
      </c>
      <c r="P5059" s="415">
        <v>275.61</v>
      </c>
      <c r="Q5059" s="501">
        <f t="shared" si="125"/>
        <v>0</v>
      </c>
    </row>
    <row r="5060" spans="1:17" x14ac:dyDescent="0.3">
      <c r="A5060" s="431" t="str">
        <f>IFERROR(VLOOKUP(RIGHT(E5060,3)+0,[1]SchLocTable!$A$2:$B$47,2,FALSE)," ")</f>
        <v>Winthrop</v>
      </c>
      <c r="B5060" s="431" t="str">
        <f>VLOOKUP(VALUE(D5060),$D$3:F$106,3,FALSE)</f>
        <v>Custodians</v>
      </c>
      <c r="C5060" t="s">
        <v>314</v>
      </c>
      <c r="D5060" t="s">
        <v>1366</v>
      </c>
      <c r="E5060" t="s">
        <v>1181</v>
      </c>
      <c r="F5060" t="s">
        <v>329</v>
      </c>
      <c r="G5060" t="s">
        <v>319</v>
      </c>
      <c r="H5060" s="502" t="s">
        <v>1240</v>
      </c>
      <c r="I5060" s="415">
        <v>0</v>
      </c>
      <c r="J5060" s="415">
        <v>0</v>
      </c>
      <c r="K5060" s="415">
        <v>0</v>
      </c>
      <c r="L5060" s="415">
        <v>0</v>
      </c>
      <c r="M5060" s="415">
        <v>0</v>
      </c>
      <c r="N5060" s="415">
        <v>0</v>
      </c>
      <c r="O5060" s="415">
        <v>0</v>
      </c>
      <c r="P5060" s="415">
        <v>578.78</v>
      </c>
      <c r="Q5060" s="501">
        <f t="shared" si="125"/>
        <v>0</v>
      </c>
    </row>
    <row r="5061" spans="1:17" x14ac:dyDescent="0.3">
      <c r="A5061" s="431" t="str">
        <f>IFERROR(VLOOKUP(RIGHT(E5061,3)+0,[1]SchLocTable!$A$2:$B$47,2,FALSE)," ")</f>
        <v>Winthrop</v>
      </c>
      <c r="B5061" s="431" t="str">
        <f>VLOOKUP(VALUE(D5061),$D$3:F$106,3,FALSE)</f>
        <v>Custodians</v>
      </c>
      <c r="C5061" t="s">
        <v>314</v>
      </c>
      <c r="D5061" t="s">
        <v>1366</v>
      </c>
      <c r="E5061" t="s">
        <v>1181</v>
      </c>
      <c r="F5061" t="s">
        <v>356</v>
      </c>
      <c r="G5061" t="s">
        <v>319</v>
      </c>
      <c r="H5061" s="502" t="s">
        <v>1241</v>
      </c>
      <c r="I5061" s="415">
        <v>0</v>
      </c>
      <c r="J5061" s="415">
        <v>0</v>
      </c>
      <c r="K5061" s="415">
        <v>0</v>
      </c>
      <c r="L5061" s="415">
        <v>0</v>
      </c>
      <c r="M5061" s="415">
        <v>0</v>
      </c>
      <c r="N5061" s="415">
        <v>0</v>
      </c>
      <c r="O5061" s="415">
        <v>0</v>
      </c>
      <c r="P5061" s="415">
        <v>1614.15</v>
      </c>
      <c r="Q5061" s="501">
        <f t="shared" si="125"/>
        <v>0</v>
      </c>
    </row>
    <row r="5062" spans="1:17" x14ac:dyDescent="0.3">
      <c r="A5062" s="431" t="str">
        <f>IFERROR(VLOOKUP(RIGHT(E5062,3)+0,[1]SchLocTable!$A$2:$B$47,2,FALSE)," ")</f>
        <v>Blackham</v>
      </c>
      <c r="B5062" s="431" t="str">
        <f>VLOOKUP(VALUE(D5062),$D$3:F$106,3,FALSE)</f>
        <v>Custodians</v>
      </c>
      <c r="C5062" t="s">
        <v>314</v>
      </c>
      <c r="D5062" t="s">
        <v>1366</v>
      </c>
      <c r="E5062" t="s">
        <v>1184</v>
      </c>
      <c r="F5062" t="s">
        <v>329</v>
      </c>
      <c r="G5062" t="s">
        <v>319</v>
      </c>
      <c r="H5062" s="502" t="s">
        <v>1240</v>
      </c>
      <c r="I5062" s="415">
        <v>0</v>
      </c>
      <c r="J5062" s="415">
        <v>0</v>
      </c>
      <c r="K5062" s="415">
        <v>0</v>
      </c>
      <c r="L5062" s="415">
        <v>0</v>
      </c>
      <c r="M5062" s="415">
        <v>0</v>
      </c>
      <c r="N5062" s="415">
        <v>0</v>
      </c>
      <c r="O5062" s="415">
        <v>30.68</v>
      </c>
      <c r="P5062" s="415">
        <v>0</v>
      </c>
      <c r="Q5062" s="501">
        <f t="shared" si="125"/>
        <v>0</v>
      </c>
    </row>
    <row r="5063" spans="1:17" x14ac:dyDescent="0.3">
      <c r="A5063" s="431" t="str">
        <f>IFERROR(VLOOKUP(RIGHT(E5063,3)+0,[1]SchLocTable!$A$2:$B$47,2,FALSE)," ")</f>
        <v>Dunbar</v>
      </c>
      <c r="B5063" s="431" t="str">
        <f>VLOOKUP(VALUE(D5063),$D$3:F$106,3,FALSE)</f>
        <v>Custodians</v>
      </c>
      <c r="C5063" t="s">
        <v>314</v>
      </c>
      <c r="D5063" t="s">
        <v>1366</v>
      </c>
      <c r="E5063" t="s">
        <v>1185</v>
      </c>
      <c r="F5063" t="s">
        <v>419</v>
      </c>
      <c r="G5063" t="s">
        <v>319</v>
      </c>
      <c r="H5063" s="502">
        <v>51318</v>
      </c>
      <c r="I5063" s="415"/>
      <c r="J5063" s="415"/>
      <c r="K5063" s="415"/>
      <c r="L5063" s="415">
        <v>0</v>
      </c>
      <c r="M5063" s="415"/>
      <c r="N5063" s="415">
        <v>236.38</v>
      </c>
      <c r="O5063" s="415">
        <v>0</v>
      </c>
      <c r="P5063" s="415">
        <v>0</v>
      </c>
      <c r="Q5063" s="501">
        <f t="shared" si="125"/>
        <v>0</v>
      </c>
    </row>
    <row r="5064" spans="1:17" x14ac:dyDescent="0.3">
      <c r="A5064" s="431" t="str">
        <f>IFERROR(VLOOKUP(RIGHT(E5064,3)+0,[1]SchLocTable!$A$2:$B$47,2,FALSE)," ")</f>
        <v>Dunbar</v>
      </c>
      <c r="B5064" s="431" t="str">
        <f>VLOOKUP(VALUE(D5064),$D$3:F$106,3,FALSE)</f>
        <v>Custodians</v>
      </c>
      <c r="C5064" t="s">
        <v>314</v>
      </c>
      <c r="D5064" t="s">
        <v>1366</v>
      </c>
      <c r="E5064" t="s">
        <v>1185</v>
      </c>
      <c r="F5064" t="s">
        <v>329</v>
      </c>
      <c r="G5064" t="s">
        <v>319</v>
      </c>
      <c r="H5064" s="502">
        <v>51154</v>
      </c>
      <c r="I5064" s="415"/>
      <c r="J5064" s="415"/>
      <c r="K5064" s="415"/>
      <c r="L5064" s="415">
        <v>0</v>
      </c>
      <c r="M5064" s="415"/>
      <c r="N5064" s="415">
        <v>2984.25</v>
      </c>
      <c r="O5064" s="415">
        <v>0</v>
      </c>
      <c r="P5064" s="415">
        <v>0</v>
      </c>
      <c r="Q5064" s="501">
        <f t="shared" si="125"/>
        <v>0</v>
      </c>
    </row>
    <row r="5065" spans="1:17" x14ac:dyDescent="0.3">
      <c r="A5065" s="431" t="str">
        <f>IFERROR(VLOOKUP(RIGHT(E5065,3)+0,[1]SchLocTable!$A$2:$B$47,2,FALSE)," ")</f>
        <v>Dunbar</v>
      </c>
      <c r="B5065" s="431" t="str">
        <f>VLOOKUP(VALUE(D5065),$D$3:F$106,3,FALSE)</f>
        <v>Custodians</v>
      </c>
      <c r="C5065" t="s">
        <v>314</v>
      </c>
      <c r="D5065" t="s">
        <v>1366</v>
      </c>
      <c r="E5065" t="s">
        <v>1185</v>
      </c>
      <c r="F5065" t="s">
        <v>418</v>
      </c>
      <c r="G5065" t="s">
        <v>319</v>
      </c>
      <c r="H5065" s="502">
        <v>51314</v>
      </c>
      <c r="I5065" s="415"/>
      <c r="J5065" s="415"/>
      <c r="K5065" s="415"/>
      <c r="L5065" s="415">
        <v>0</v>
      </c>
      <c r="M5065" s="415"/>
      <c r="N5065" s="415">
        <v>4491.1400000000003</v>
      </c>
      <c r="O5065" s="415">
        <v>0</v>
      </c>
      <c r="P5065" s="415">
        <v>29.09</v>
      </c>
      <c r="Q5065" s="501">
        <f t="shared" si="125"/>
        <v>0</v>
      </c>
    </row>
    <row r="5066" spans="1:17" x14ac:dyDescent="0.3">
      <c r="A5066" s="431" t="str">
        <f>IFERROR(VLOOKUP(RIGHT(E5066,3)+0,[1]SchLocTable!$A$2:$B$47,2,FALSE)," ")</f>
        <v>Dunbar</v>
      </c>
      <c r="B5066" s="431" t="str">
        <f>VLOOKUP(VALUE(D5066),$D$3:F$106,3,FALSE)</f>
        <v>Custodians</v>
      </c>
      <c r="C5066" t="s">
        <v>314</v>
      </c>
      <c r="D5066" t="s">
        <v>1366</v>
      </c>
      <c r="E5066" t="s">
        <v>1185</v>
      </c>
      <c r="F5066" t="s">
        <v>356</v>
      </c>
      <c r="G5066" t="s">
        <v>319</v>
      </c>
      <c r="H5066" s="502" t="s">
        <v>1241</v>
      </c>
      <c r="I5066" s="415">
        <v>0</v>
      </c>
      <c r="J5066" s="415">
        <v>0</v>
      </c>
      <c r="K5066" s="415">
        <v>0</v>
      </c>
      <c r="L5066" s="415">
        <v>0</v>
      </c>
      <c r="M5066" s="415">
        <v>0</v>
      </c>
      <c r="N5066" s="415">
        <v>0</v>
      </c>
      <c r="O5066" s="415">
        <v>2294.71</v>
      </c>
      <c r="P5066" s="415">
        <v>2267.33</v>
      </c>
      <c r="Q5066" s="501">
        <f t="shared" si="125"/>
        <v>0</v>
      </c>
    </row>
    <row r="5067" spans="1:17" x14ac:dyDescent="0.3">
      <c r="A5067" s="431" t="str">
        <f>IFERROR(VLOOKUP(RIGHT(E5067,3)+0,[1]SchLocTable!$A$2:$B$47,2,FALSE)," ")</f>
        <v>Curiale</v>
      </c>
      <c r="B5067" s="431" t="str">
        <f>VLOOKUP(VALUE(D5067),$D$3:F$106,3,FALSE)</f>
        <v>Custodians</v>
      </c>
      <c r="C5067" t="s">
        <v>314</v>
      </c>
      <c r="D5067" t="s">
        <v>1366</v>
      </c>
      <c r="E5067" t="s">
        <v>1186</v>
      </c>
      <c r="F5067" t="s">
        <v>419</v>
      </c>
      <c r="G5067" t="s">
        <v>319</v>
      </c>
      <c r="H5067" s="502">
        <v>51318</v>
      </c>
      <c r="I5067" s="415"/>
      <c r="J5067" s="415"/>
      <c r="K5067" s="415"/>
      <c r="L5067" s="415">
        <v>0</v>
      </c>
      <c r="M5067" s="415"/>
      <c r="N5067" s="415">
        <v>151.72999999999999</v>
      </c>
      <c r="O5067" s="415">
        <v>0</v>
      </c>
      <c r="P5067" s="415">
        <v>0</v>
      </c>
      <c r="Q5067" s="501">
        <f t="shared" si="125"/>
        <v>0</v>
      </c>
    </row>
    <row r="5068" spans="1:17" x14ac:dyDescent="0.3">
      <c r="A5068" s="431" t="str">
        <f>IFERROR(VLOOKUP(RIGHT(E5068,3)+0,[1]SchLocTable!$A$2:$B$47,2,FALSE)," ")</f>
        <v>Curiale</v>
      </c>
      <c r="B5068" s="431" t="str">
        <f>VLOOKUP(VALUE(D5068),$D$3:F$106,3,FALSE)</f>
        <v>Custodians</v>
      </c>
      <c r="C5068" t="s">
        <v>314</v>
      </c>
      <c r="D5068" t="s">
        <v>1366</v>
      </c>
      <c r="E5068" t="s">
        <v>1186</v>
      </c>
      <c r="F5068" t="s">
        <v>418</v>
      </c>
      <c r="G5068" t="s">
        <v>319</v>
      </c>
      <c r="H5068" s="502">
        <v>51314</v>
      </c>
      <c r="I5068" s="415"/>
      <c r="J5068" s="415"/>
      <c r="K5068" s="415"/>
      <c r="L5068" s="415">
        <v>0</v>
      </c>
      <c r="M5068" s="415"/>
      <c r="N5068" s="415">
        <v>975.4</v>
      </c>
      <c r="O5068" s="415">
        <v>0</v>
      </c>
      <c r="P5068" s="415">
        <v>0</v>
      </c>
      <c r="Q5068" s="501">
        <f t="shared" si="125"/>
        <v>0</v>
      </c>
    </row>
    <row r="5069" spans="1:17" x14ac:dyDescent="0.3">
      <c r="A5069" s="431" t="str">
        <f>IFERROR(VLOOKUP(RIGHT(E5069,3)+0,[1]SchLocTable!$A$2:$B$47,2,FALSE)," ")</f>
        <v>Skane</v>
      </c>
      <c r="B5069" s="431" t="str">
        <f>VLOOKUP(VALUE(D5069),$D$3:F$106,3,FALSE)</f>
        <v>Custodians</v>
      </c>
      <c r="C5069" t="s">
        <v>314</v>
      </c>
      <c r="D5069" t="s">
        <v>1366</v>
      </c>
      <c r="E5069" t="s">
        <v>1187</v>
      </c>
      <c r="F5069" t="s">
        <v>1087</v>
      </c>
      <c r="G5069" t="s">
        <v>319</v>
      </c>
      <c r="H5069" s="502">
        <v>51116</v>
      </c>
      <c r="I5069" s="415"/>
      <c r="J5069" s="415"/>
      <c r="K5069" s="415"/>
      <c r="L5069" s="415">
        <v>0</v>
      </c>
      <c r="M5069" s="415"/>
      <c r="N5069" s="415">
        <v>98.15</v>
      </c>
      <c r="O5069" s="415">
        <v>0</v>
      </c>
      <c r="P5069" s="415">
        <v>0</v>
      </c>
      <c r="Q5069" s="501">
        <f t="shared" si="125"/>
        <v>0</v>
      </c>
    </row>
    <row r="5070" spans="1:17" x14ac:dyDescent="0.3">
      <c r="A5070" s="431" t="str">
        <f>IFERROR(VLOOKUP(RIGHT(E5070,3)+0,[1]SchLocTable!$A$2:$B$47,2,FALSE)," ")</f>
        <v>Skane</v>
      </c>
      <c r="B5070" s="431" t="str">
        <f>VLOOKUP(VALUE(D5070),$D$3:F$106,3,FALSE)</f>
        <v>Custodians</v>
      </c>
      <c r="C5070" t="s">
        <v>314</v>
      </c>
      <c r="D5070" t="s">
        <v>1366</v>
      </c>
      <c r="E5070" t="s">
        <v>1187</v>
      </c>
      <c r="F5070" t="s">
        <v>1148</v>
      </c>
      <c r="G5070" t="s">
        <v>319</v>
      </c>
      <c r="H5070" s="502">
        <v>51124</v>
      </c>
      <c r="I5070" s="415"/>
      <c r="J5070" s="415"/>
      <c r="K5070" s="415"/>
      <c r="L5070" s="415">
        <v>0</v>
      </c>
      <c r="M5070" s="415"/>
      <c r="N5070" s="415">
        <v>62.19</v>
      </c>
      <c r="O5070" s="415">
        <v>0</v>
      </c>
      <c r="P5070" s="415">
        <v>0</v>
      </c>
      <c r="Q5070" s="501">
        <f t="shared" si="125"/>
        <v>0</v>
      </c>
    </row>
    <row r="5071" spans="1:17" x14ac:dyDescent="0.3">
      <c r="A5071" s="431" t="str">
        <f>IFERROR(VLOOKUP(RIGHT(E5071,3)+0,[1]SchLocTable!$A$2:$B$47,2,FALSE)," ")</f>
        <v>High Horizons Magnet</v>
      </c>
      <c r="B5071" s="431" t="str">
        <f>VLOOKUP(VALUE(D5071),$D$3:F$106,3,FALSE)</f>
        <v>Custodians</v>
      </c>
      <c r="C5071" t="s">
        <v>314</v>
      </c>
      <c r="D5071" t="s">
        <v>1366</v>
      </c>
      <c r="E5071" t="s">
        <v>1188</v>
      </c>
      <c r="F5071" t="s">
        <v>1392</v>
      </c>
      <c r="G5071" t="s">
        <v>319</v>
      </c>
      <c r="H5071" s="502" t="s">
        <v>1393</v>
      </c>
      <c r="I5071" s="415">
        <v>0</v>
      </c>
      <c r="J5071" s="415">
        <v>0</v>
      </c>
      <c r="K5071" s="415">
        <v>0</v>
      </c>
      <c r="L5071" s="415">
        <v>0</v>
      </c>
      <c r="M5071" s="415">
        <v>0</v>
      </c>
      <c r="N5071" s="415">
        <v>0</v>
      </c>
      <c r="O5071" s="415">
        <v>0</v>
      </c>
      <c r="P5071" s="415">
        <v>474.46</v>
      </c>
      <c r="Q5071" s="501">
        <f t="shared" si="125"/>
        <v>0</v>
      </c>
    </row>
    <row r="5072" spans="1:17" x14ac:dyDescent="0.3">
      <c r="A5072" s="431" t="str">
        <f>IFERROR(VLOOKUP(RIGHT(E5072,3)+0,[1]SchLocTable!$A$2:$B$47,2,FALSE)," ")</f>
        <v>Bassick HS</v>
      </c>
      <c r="B5072" s="431" t="str">
        <f>VLOOKUP(VALUE(D5072),$D$3:F$106,3,FALSE)</f>
        <v>Custodians</v>
      </c>
      <c r="C5072" t="s">
        <v>314</v>
      </c>
      <c r="D5072" t="s">
        <v>1366</v>
      </c>
      <c r="E5072" t="s">
        <v>1190</v>
      </c>
      <c r="F5072" t="s">
        <v>419</v>
      </c>
      <c r="G5072" t="s">
        <v>319</v>
      </c>
      <c r="H5072" s="502">
        <v>51318</v>
      </c>
      <c r="I5072" s="415"/>
      <c r="J5072" s="415"/>
      <c r="K5072" s="415"/>
      <c r="L5072" s="415">
        <v>0</v>
      </c>
      <c r="M5072" s="415"/>
      <c r="N5072" s="415">
        <v>1184.69</v>
      </c>
      <c r="O5072" s="415">
        <v>620.96</v>
      </c>
      <c r="P5072" s="415">
        <v>0</v>
      </c>
      <c r="Q5072" s="501">
        <f t="shared" si="125"/>
        <v>0</v>
      </c>
    </row>
    <row r="5073" spans="1:17" x14ac:dyDescent="0.3">
      <c r="A5073" s="431" t="str">
        <f>IFERROR(VLOOKUP(RIGHT(E5073,3)+0,[1]SchLocTable!$A$2:$B$47,2,FALSE)," ")</f>
        <v>Bassick HS</v>
      </c>
      <c r="B5073" s="431" t="str">
        <f>VLOOKUP(VALUE(D5073),$D$3:F$106,3,FALSE)</f>
        <v>Custodians</v>
      </c>
      <c r="C5073" t="s">
        <v>314</v>
      </c>
      <c r="D5073" t="s">
        <v>1366</v>
      </c>
      <c r="E5073" t="s">
        <v>1190</v>
      </c>
      <c r="F5073" t="s">
        <v>427</v>
      </c>
      <c r="G5073" t="s">
        <v>319</v>
      </c>
      <c r="H5073" s="502">
        <v>51106</v>
      </c>
      <c r="I5073" s="415"/>
      <c r="J5073" s="415"/>
      <c r="K5073" s="415"/>
      <c r="L5073" s="415">
        <v>0</v>
      </c>
      <c r="M5073" s="415"/>
      <c r="N5073" s="415">
        <v>123.47</v>
      </c>
      <c r="O5073" s="415">
        <v>0</v>
      </c>
      <c r="P5073" s="415">
        <v>0</v>
      </c>
      <c r="Q5073" s="501">
        <f t="shared" si="125"/>
        <v>0</v>
      </c>
    </row>
    <row r="5074" spans="1:17" x14ac:dyDescent="0.3">
      <c r="A5074" s="431" t="str">
        <f>IFERROR(VLOOKUP(RIGHT(E5074,3)+0,[1]SchLocTable!$A$2:$B$47,2,FALSE)," ")</f>
        <v>Bassick HS</v>
      </c>
      <c r="B5074" s="431" t="str">
        <f>VLOOKUP(VALUE(D5074),$D$3:F$106,3,FALSE)</f>
        <v>Custodians</v>
      </c>
      <c r="C5074" t="s">
        <v>314</v>
      </c>
      <c r="D5074" t="s">
        <v>1366</v>
      </c>
      <c r="E5074" t="s">
        <v>1190</v>
      </c>
      <c r="F5074" t="s">
        <v>356</v>
      </c>
      <c r="G5074" t="s">
        <v>319</v>
      </c>
      <c r="H5074" s="502" t="s">
        <v>1241</v>
      </c>
      <c r="I5074" s="415">
        <v>0</v>
      </c>
      <c r="J5074" s="415">
        <v>0</v>
      </c>
      <c r="K5074" s="415">
        <v>0</v>
      </c>
      <c r="L5074" s="415">
        <v>0</v>
      </c>
      <c r="M5074" s="415">
        <v>0</v>
      </c>
      <c r="N5074" s="415">
        <v>0</v>
      </c>
      <c r="O5074" s="415">
        <v>2321.56</v>
      </c>
      <c r="P5074" s="415">
        <v>754.29</v>
      </c>
      <c r="Q5074" s="501">
        <f t="shared" si="125"/>
        <v>0</v>
      </c>
    </row>
    <row r="5075" spans="1:17" x14ac:dyDescent="0.3">
      <c r="A5075" s="431" t="str">
        <f>IFERROR(VLOOKUP(RIGHT(E5075,3)+0,[1]SchLocTable!$A$2:$B$47,2,FALSE)," ")</f>
        <v>Aquaculture</v>
      </c>
      <c r="B5075" s="431" t="str">
        <f>VLOOKUP(VALUE(D5075),$D$3:F$106,3,FALSE)</f>
        <v>Custodians</v>
      </c>
      <c r="C5075" t="s">
        <v>314</v>
      </c>
      <c r="D5075" t="s">
        <v>1366</v>
      </c>
      <c r="E5075" t="s">
        <v>1193</v>
      </c>
      <c r="F5075" t="s">
        <v>1089</v>
      </c>
      <c r="G5075" t="s">
        <v>319</v>
      </c>
      <c r="H5075" s="502" t="s">
        <v>1394</v>
      </c>
      <c r="I5075" s="415">
        <v>0</v>
      </c>
      <c r="J5075" s="415">
        <v>0</v>
      </c>
      <c r="K5075" s="415">
        <v>0</v>
      </c>
      <c r="L5075" s="415">
        <v>0</v>
      </c>
      <c r="M5075" s="415">
        <v>0</v>
      </c>
      <c r="N5075" s="415">
        <v>0</v>
      </c>
      <c r="O5075" s="415">
        <v>0</v>
      </c>
      <c r="P5075" s="415">
        <v>540.08000000000004</v>
      </c>
      <c r="Q5075" s="501">
        <f t="shared" si="125"/>
        <v>0</v>
      </c>
    </row>
    <row r="5076" spans="1:17" x14ac:dyDescent="0.3">
      <c r="A5076" s="431" t="str">
        <f>IFERROR(VLOOKUP(RIGHT(E5076,3)+0,[1]SchLocTable!$A$2:$B$47,2,FALSE)," ")</f>
        <v>Aquaculture</v>
      </c>
      <c r="B5076" s="431" t="str">
        <f>VLOOKUP(VALUE(D5076),$D$3:F$106,3,FALSE)</f>
        <v>Custodians</v>
      </c>
      <c r="C5076" t="s">
        <v>314</v>
      </c>
      <c r="D5076" t="s">
        <v>1366</v>
      </c>
      <c r="E5076" t="s">
        <v>1193</v>
      </c>
      <c r="F5076" t="s">
        <v>356</v>
      </c>
      <c r="G5076" t="s">
        <v>319</v>
      </c>
      <c r="H5076" s="502">
        <v>51156</v>
      </c>
      <c r="I5076" s="415"/>
      <c r="J5076" s="415"/>
      <c r="K5076" s="415"/>
      <c r="L5076" s="415">
        <v>0</v>
      </c>
      <c r="M5076" s="415"/>
      <c r="N5076" s="415">
        <v>1163.44</v>
      </c>
      <c r="O5076" s="415">
        <v>0</v>
      </c>
      <c r="P5076" s="415">
        <v>0</v>
      </c>
      <c r="Q5076" s="501">
        <f t="shared" si="125"/>
        <v>0</v>
      </c>
    </row>
    <row r="5077" spans="1:17" x14ac:dyDescent="0.3">
      <c r="A5077" s="431" t="str">
        <f>IFERROR(VLOOKUP(RIGHT(E5077,3)+0,[1]SchLocTable!$A$2:$B$47,2,FALSE)," ")</f>
        <v>FCW campus</v>
      </c>
      <c r="B5077" s="431" t="str">
        <f>VLOOKUP(VALUE(D5077),$D$3:F$106,3,FALSE)</f>
        <v>Custodians</v>
      </c>
      <c r="C5077" t="s">
        <v>314</v>
      </c>
      <c r="D5077" t="s">
        <v>1366</v>
      </c>
      <c r="E5077" t="s">
        <v>1195</v>
      </c>
      <c r="F5077" t="s">
        <v>356</v>
      </c>
      <c r="G5077" t="s">
        <v>319</v>
      </c>
      <c r="H5077" s="502">
        <v>51156</v>
      </c>
      <c r="I5077" s="415"/>
      <c r="J5077" s="415"/>
      <c r="K5077" s="415"/>
      <c r="L5077" s="415">
        <v>0</v>
      </c>
      <c r="M5077" s="415"/>
      <c r="N5077" s="415">
        <v>839.58</v>
      </c>
      <c r="O5077" s="415">
        <v>0</v>
      </c>
      <c r="P5077" s="415">
        <v>0</v>
      </c>
      <c r="Q5077" s="501">
        <f t="shared" si="125"/>
        <v>0</v>
      </c>
    </row>
    <row r="5078" spans="1:17" x14ac:dyDescent="0.3">
      <c r="A5078" s="431" t="str">
        <f>IFERROR(VLOOKUP(RIGHT(E5078,3)+0,[1]SchLocTable!$A$2:$B$47,2,FALSE)," ")</f>
        <v>Hall</v>
      </c>
      <c r="B5078" s="431" t="str">
        <f>VLOOKUP(VALUE(D5078),$D$3:F$106,3,FALSE)</f>
        <v>PT Custodians</v>
      </c>
      <c r="C5078" t="s">
        <v>314</v>
      </c>
      <c r="D5078" t="s">
        <v>1367</v>
      </c>
      <c r="E5078" t="s">
        <v>1197</v>
      </c>
      <c r="F5078" t="s">
        <v>324</v>
      </c>
      <c r="G5078" t="s">
        <v>319</v>
      </c>
      <c r="H5078" s="502">
        <v>52385</v>
      </c>
      <c r="I5078" s="415"/>
      <c r="J5078" s="415"/>
      <c r="K5078" s="415"/>
      <c r="L5078" s="415">
        <v>0</v>
      </c>
      <c r="M5078" s="415"/>
      <c r="N5078" s="415">
        <v>523.4</v>
      </c>
      <c r="O5078" s="415">
        <v>0</v>
      </c>
      <c r="P5078" s="415">
        <v>0</v>
      </c>
      <c r="Q5078" s="501">
        <f t="shared" si="125"/>
        <v>0</v>
      </c>
    </row>
    <row r="5079" spans="1:17" x14ac:dyDescent="0.3">
      <c r="A5079" s="431" t="str">
        <f>IFERROR(VLOOKUP(RIGHT(E5079,3)+0,[1]SchLocTable!$A$2:$B$47,2,FALSE)," ")</f>
        <v>Hooker</v>
      </c>
      <c r="B5079" s="431" t="str">
        <f>VLOOKUP(VALUE(D5079),$D$3:F$106,3,FALSE)</f>
        <v>PT Custodians</v>
      </c>
      <c r="C5079" t="s">
        <v>314</v>
      </c>
      <c r="D5079" t="s">
        <v>1367</v>
      </c>
      <c r="E5079" t="s">
        <v>1368</v>
      </c>
      <c r="F5079" t="s">
        <v>316</v>
      </c>
      <c r="G5079" t="s">
        <v>319</v>
      </c>
      <c r="H5079" s="502">
        <v>51000</v>
      </c>
      <c r="I5079" s="415"/>
      <c r="J5079" s="415"/>
      <c r="K5079" s="415"/>
      <c r="L5079" s="415">
        <v>0</v>
      </c>
      <c r="M5079" s="415"/>
      <c r="N5079" s="415">
        <v>6416.5</v>
      </c>
      <c r="O5079" s="415">
        <v>10783.1</v>
      </c>
      <c r="P5079" s="415">
        <v>10675.45</v>
      </c>
      <c r="Q5079" s="501">
        <f t="shared" si="125"/>
        <v>0</v>
      </c>
    </row>
    <row r="5080" spans="1:17" x14ac:dyDescent="0.3">
      <c r="A5080" s="431" t="str">
        <f>IFERROR(VLOOKUP(RIGHT(E5080,3)+0,[1]SchLocTable!$A$2:$B$47,2,FALSE)," ")</f>
        <v>Hooker</v>
      </c>
      <c r="B5080" s="431" t="str">
        <f>VLOOKUP(VALUE(D5080),$D$3:F$106,3,FALSE)</f>
        <v>PT Custodians</v>
      </c>
      <c r="C5080" t="s">
        <v>314</v>
      </c>
      <c r="D5080" t="s">
        <v>1367</v>
      </c>
      <c r="E5080" t="s">
        <v>1368</v>
      </c>
      <c r="F5080" t="s">
        <v>320</v>
      </c>
      <c r="G5080" t="s">
        <v>319</v>
      </c>
      <c r="H5080" s="502">
        <v>52360</v>
      </c>
      <c r="I5080" s="415"/>
      <c r="J5080" s="415"/>
      <c r="K5080" s="415"/>
      <c r="L5080" s="415">
        <v>0</v>
      </c>
      <c r="M5080" s="415"/>
      <c r="N5080" s="415">
        <v>93.04</v>
      </c>
      <c r="O5080" s="415">
        <v>156.35</v>
      </c>
      <c r="P5080" s="415">
        <v>154.80000000000001</v>
      </c>
      <c r="Q5080" s="501">
        <f t="shared" si="125"/>
        <v>0</v>
      </c>
    </row>
    <row r="5081" spans="1:17" x14ac:dyDescent="0.3">
      <c r="A5081" s="431" t="str">
        <f>IFERROR(VLOOKUP(RIGHT(E5081,3)+0,[1]SchLocTable!$A$2:$B$47,2,FALSE)," ")</f>
        <v>Hooker</v>
      </c>
      <c r="B5081" s="431" t="str">
        <f>VLOOKUP(VALUE(D5081),$D$3:F$106,3,FALSE)</f>
        <v>PT Custodians</v>
      </c>
      <c r="C5081" t="s">
        <v>314</v>
      </c>
      <c r="D5081" t="s">
        <v>1367</v>
      </c>
      <c r="E5081" t="s">
        <v>1368</v>
      </c>
      <c r="F5081" t="s">
        <v>324</v>
      </c>
      <c r="G5081" t="s">
        <v>319</v>
      </c>
      <c r="H5081" s="502">
        <v>52385</v>
      </c>
      <c r="I5081" s="415"/>
      <c r="J5081" s="415"/>
      <c r="K5081" s="415"/>
      <c r="L5081" s="415">
        <v>0</v>
      </c>
      <c r="M5081" s="415"/>
      <c r="N5081" s="415">
        <v>397.83</v>
      </c>
      <c r="O5081" s="415">
        <v>668.55</v>
      </c>
      <c r="P5081" s="415">
        <v>661.88</v>
      </c>
      <c r="Q5081" s="501">
        <f t="shared" si="125"/>
        <v>0</v>
      </c>
    </row>
    <row r="5082" spans="1:17" x14ac:dyDescent="0.3">
      <c r="A5082" s="431" t="str">
        <f>IFERROR(VLOOKUP(RIGHT(E5082,3)+0,[1]SchLocTable!$A$2:$B$47,2,FALSE)," ")</f>
        <v>Bassick HS</v>
      </c>
      <c r="B5082" s="431" t="str">
        <f>VLOOKUP(VALUE(D5082),$D$3:F$106,3,FALSE)</f>
        <v>PT Custodians</v>
      </c>
      <c r="C5082" t="s">
        <v>314</v>
      </c>
      <c r="D5082" t="s">
        <v>1367</v>
      </c>
      <c r="E5082" t="s">
        <v>1203</v>
      </c>
      <c r="F5082" t="s">
        <v>324</v>
      </c>
      <c r="G5082" t="s">
        <v>319</v>
      </c>
      <c r="H5082" s="502">
        <v>52385</v>
      </c>
      <c r="I5082" s="415"/>
      <c r="J5082" s="415"/>
      <c r="K5082" s="415"/>
      <c r="L5082" s="415">
        <v>0</v>
      </c>
      <c r="M5082" s="415"/>
      <c r="N5082" s="415">
        <v>24.8</v>
      </c>
      <c r="O5082" s="415">
        <v>0</v>
      </c>
      <c r="P5082" s="415">
        <v>0</v>
      </c>
      <c r="Q5082" s="501">
        <f t="shared" si="125"/>
        <v>0</v>
      </c>
    </row>
    <row r="5083" spans="1:17" x14ac:dyDescent="0.3">
      <c r="A5083" s="431" t="str">
        <f>IFERROR(VLOOKUP(RIGHT(E5083,3)+0,[1]SchLocTable!$A$2:$B$47,2,FALSE)," ")</f>
        <v xml:space="preserve"> </v>
      </c>
      <c r="B5083" s="431" t="str">
        <f>VLOOKUP(VALUE(D5083),$D$3:F$106,3,FALSE)</f>
        <v>Custodial Services</v>
      </c>
      <c r="C5083" t="s">
        <v>314</v>
      </c>
      <c r="D5083" t="s">
        <v>1415</v>
      </c>
      <c r="E5083" t="s">
        <v>1206</v>
      </c>
      <c r="F5083" t="s">
        <v>898</v>
      </c>
      <c r="G5083" t="s">
        <v>319</v>
      </c>
      <c r="H5083" s="502" t="s">
        <v>1416</v>
      </c>
      <c r="I5083" s="415">
        <v>0</v>
      </c>
      <c r="J5083" s="415">
        <v>0</v>
      </c>
      <c r="K5083" s="415">
        <v>0</v>
      </c>
      <c r="L5083" s="415">
        <v>0</v>
      </c>
      <c r="M5083" s="415">
        <v>0</v>
      </c>
      <c r="N5083" s="415">
        <v>0</v>
      </c>
      <c r="O5083" s="415">
        <v>0</v>
      </c>
      <c r="P5083" s="415">
        <v>949</v>
      </c>
      <c r="Q5083" s="501">
        <f t="shared" si="125"/>
        <v>0</v>
      </c>
    </row>
    <row r="5084" spans="1:17" x14ac:dyDescent="0.3">
      <c r="A5084" s="431" t="str">
        <f>IFERROR(VLOOKUP(RIGHT(E5084,3)+0,[1]SchLocTable!$A$2:$B$47,2,FALSE)," ")</f>
        <v xml:space="preserve"> </v>
      </c>
      <c r="B5084" s="431" t="str">
        <f>VLOOKUP(VALUE(D5084),$D$3:F$106,3,FALSE)</f>
        <v>Operating Building Services</v>
      </c>
      <c r="C5084" t="s">
        <v>314</v>
      </c>
      <c r="D5084" t="s">
        <v>1417</v>
      </c>
      <c r="E5084" t="s">
        <v>1214</v>
      </c>
      <c r="F5084" t="s">
        <v>897</v>
      </c>
      <c r="G5084" t="s">
        <v>319</v>
      </c>
      <c r="H5084" s="502" t="s">
        <v>1418</v>
      </c>
      <c r="I5084" s="415">
        <v>0</v>
      </c>
      <c r="J5084" s="415">
        <v>0</v>
      </c>
      <c r="K5084" s="415">
        <v>0</v>
      </c>
      <c r="L5084" s="415">
        <v>0</v>
      </c>
      <c r="M5084" s="415">
        <v>0</v>
      </c>
      <c r="N5084" s="415">
        <v>0</v>
      </c>
      <c r="O5084" s="415">
        <v>0</v>
      </c>
      <c r="P5084" s="415">
        <v>299.02</v>
      </c>
      <c r="Q5084" s="501">
        <f t="shared" si="125"/>
        <v>0</v>
      </c>
    </row>
    <row r="5085" spans="1:17" x14ac:dyDescent="0.3">
      <c r="A5085" s="431" t="str">
        <f>IFERROR(VLOOKUP(RIGHT(E5085,3)+0,[1]SchLocTable!$A$2:$B$47,2,FALSE)," ")</f>
        <v xml:space="preserve"> </v>
      </c>
      <c r="B5085" s="431" t="str">
        <f>VLOOKUP(VALUE(D5085),$D$3:F$106,3,FALSE)</f>
        <v>Regulatory Compliance</v>
      </c>
      <c r="C5085" t="s">
        <v>314</v>
      </c>
      <c r="D5085" t="s">
        <v>1217</v>
      </c>
      <c r="E5085" t="s">
        <v>1218</v>
      </c>
      <c r="F5085" t="s">
        <v>926</v>
      </c>
      <c r="G5085" t="s">
        <v>319</v>
      </c>
      <c r="H5085" s="502">
        <v>56045</v>
      </c>
      <c r="I5085" s="415">
        <v>271437.93940000003</v>
      </c>
      <c r="J5085" s="415">
        <v>263531.98</v>
      </c>
      <c r="K5085" s="415">
        <v>397616.67</v>
      </c>
      <c r="L5085" s="415">
        <v>393839.49</v>
      </c>
      <c r="M5085" s="415">
        <v>195383.83</v>
      </c>
      <c r="N5085" s="415">
        <v>292845.52</v>
      </c>
      <c r="O5085" s="415">
        <v>396834.94</v>
      </c>
      <c r="P5085" s="415">
        <v>314958.09999999998</v>
      </c>
      <c r="Q5085" s="501">
        <f t="shared" si="125"/>
        <v>-7905.9594000000507</v>
      </c>
    </row>
    <row r="5086" spans="1:17" x14ac:dyDescent="0.3">
      <c r="A5086" s="431" t="str">
        <f>IFERROR(VLOOKUP(RIGHT(E5086,3)+0,[1]SchLocTable!$A$2:$B$47,2,FALSE)," ")</f>
        <v xml:space="preserve"> </v>
      </c>
      <c r="B5086" s="431" t="str">
        <f>VLOOKUP(VALUE(D5086),$D$3:F$106,3,FALSE)</f>
        <v>Regulatory Compliance</v>
      </c>
      <c r="C5086" t="s">
        <v>314</v>
      </c>
      <c r="D5086" t="s">
        <v>1217</v>
      </c>
      <c r="E5086" t="s">
        <v>1218</v>
      </c>
      <c r="F5086" t="s">
        <v>927</v>
      </c>
      <c r="G5086" t="s">
        <v>319</v>
      </c>
      <c r="H5086" s="502">
        <v>56060</v>
      </c>
      <c r="I5086" s="415">
        <v>73744.91</v>
      </c>
      <c r="J5086" s="415">
        <v>71597</v>
      </c>
      <c r="K5086" s="415">
        <v>100024.75</v>
      </c>
      <c r="L5086" s="415">
        <v>33342.9</v>
      </c>
      <c r="M5086" s="415">
        <v>29570.5</v>
      </c>
      <c r="N5086" s="415">
        <v>32667.19</v>
      </c>
      <c r="O5086" s="415">
        <v>19044.5</v>
      </c>
      <c r="P5086" s="415">
        <v>48373.82</v>
      </c>
      <c r="Q5086" s="501">
        <f t="shared" si="125"/>
        <v>-2147.9100000000035</v>
      </c>
    </row>
    <row r="5087" spans="1:17" x14ac:dyDescent="0.3">
      <c r="A5087" s="431" t="str">
        <f>IFERROR(VLOOKUP(RIGHT(E5087,3)+0,[1]SchLocTable!$A$2:$B$47,2,FALSE)," ")</f>
        <v xml:space="preserve"> </v>
      </c>
      <c r="B5087" s="431" t="str">
        <f>VLOOKUP(VALUE(D5087),$D$3:F$106,3,FALSE)</f>
        <v>Regulatory Compliance</v>
      </c>
      <c r="C5087" t="s">
        <v>314</v>
      </c>
      <c r="D5087" t="s">
        <v>1217</v>
      </c>
      <c r="E5087" t="s">
        <v>1218</v>
      </c>
      <c r="F5087" t="s">
        <v>928</v>
      </c>
      <c r="G5087" t="s">
        <v>319</v>
      </c>
      <c r="H5087" s="502">
        <v>56080</v>
      </c>
      <c r="I5087" s="415">
        <v>85892.781500000012</v>
      </c>
      <c r="J5087" s="415">
        <v>83391.05</v>
      </c>
      <c r="K5087" s="415">
        <v>86028.13</v>
      </c>
      <c r="L5087" s="415">
        <v>70851.25</v>
      </c>
      <c r="M5087" s="415">
        <v>30089.3</v>
      </c>
      <c r="N5087" s="415">
        <v>115346.05</v>
      </c>
      <c r="O5087" s="415">
        <v>167698.45000000001</v>
      </c>
      <c r="P5087" s="415">
        <v>124616.25</v>
      </c>
      <c r="Q5087" s="501">
        <f t="shared" si="125"/>
        <v>-2501.731500000009</v>
      </c>
    </row>
    <row r="5088" spans="1:17" x14ac:dyDescent="0.3">
      <c r="A5088" s="431" t="str">
        <f>IFERROR(VLOOKUP(RIGHT(E5088,3)+0,[1]SchLocTable!$A$2:$B$47,2,FALSE)," ")</f>
        <v xml:space="preserve"> </v>
      </c>
      <c r="B5088" s="431" t="str">
        <f>VLOOKUP(VALUE(D5088),$D$3:F$106,3,FALSE)</f>
        <v>Regulatory Compliance</v>
      </c>
      <c r="C5088" t="s">
        <v>314</v>
      </c>
      <c r="D5088" t="s">
        <v>1217</v>
      </c>
      <c r="E5088" t="s">
        <v>1218</v>
      </c>
      <c r="F5088" t="s">
        <v>923</v>
      </c>
      <c r="G5088" t="s">
        <v>319</v>
      </c>
      <c r="H5088" s="502">
        <v>55110</v>
      </c>
      <c r="I5088" s="415">
        <v>0</v>
      </c>
      <c r="J5088" s="415">
        <v>0</v>
      </c>
      <c r="K5088" s="415">
        <v>0</v>
      </c>
      <c r="L5088" s="415">
        <v>0</v>
      </c>
      <c r="M5088" s="415">
        <v>0</v>
      </c>
      <c r="N5088" s="415">
        <v>0</v>
      </c>
      <c r="O5088" s="415">
        <v>8167.24</v>
      </c>
      <c r="P5088" s="415">
        <v>9799.02</v>
      </c>
      <c r="Q5088" s="501">
        <f t="shared" si="125"/>
        <v>0</v>
      </c>
    </row>
    <row r="5089" spans="1:17" x14ac:dyDescent="0.3">
      <c r="A5089" s="431" t="str">
        <f>IFERROR(VLOOKUP(RIGHT(E5089,3)+0,[1]SchLocTable!$A$2:$B$47,2,FALSE)," ")</f>
        <v xml:space="preserve"> </v>
      </c>
      <c r="B5089" s="431" t="str">
        <f>VLOOKUP(VALUE(D5089),$D$3:F$106,3,FALSE)</f>
        <v>Regulatory Compliance</v>
      </c>
      <c r="C5089" t="s">
        <v>314</v>
      </c>
      <c r="D5089" t="s">
        <v>1217</v>
      </c>
      <c r="E5089" t="s">
        <v>1218</v>
      </c>
      <c r="F5089" t="s">
        <v>929</v>
      </c>
      <c r="G5089" t="s">
        <v>319</v>
      </c>
      <c r="H5089" s="502">
        <v>56125</v>
      </c>
      <c r="I5089" s="415">
        <v>271967.35940000002</v>
      </c>
      <c r="J5089" s="415">
        <v>264045.98</v>
      </c>
      <c r="K5089" s="415">
        <v>270220.67</v>
      </c>
      <c r="L5089" s="415">
        <v>327380.82</v>
      </c>
      <c r="M5089" s="415">
        <v>385349.55</v>
      </c>
      <c r="N5089" s="415">
        <v>324991.02</v>
      </c>
      <c r="O5089" s="415">
        <v>232255.66</v>
      </c>
      <c r="P5089" s="415">
        <v>60230</v>
      </c>
      <c r="Q5089" s="501">
        <f t="shared" si="125"/>
        <v>-7921.3794000000344</v>
      </c>
    </row>
    <row r="5090" spans="1:17" x14ac:dyDescent="0.3">
      <c r="A5090" s="431" t="str">
        <f>IFERROR(VLOOKUP(RIGHT(E5090,3)+0,[1]SchLocTable!$A$2:$B$47,2,FALSE)," ")</f>
        <v xml:space="preserve"> </v>
      </c>
      <c r="B5090" s="431" t="str">
        <f>VLOOKUP(VALUE(D5090),$D$3:F$106,3,FALSE)</f>
        <v>Regulatory Compliance</v>
      </c>
      <c r="C5090" t="s">
        <v>314</v>
      </c>
      <c r="D5090" t="s">
        <v>1217</v>
      </c>
      <c r="E5090" t="s">
        <v>1218</v>
      </c>
      <c r="F5090" t="s">
        <v>924</v>
      </c>
      <c r="G5090" t="s">
        <v>319</v>
      </c>
      <c r="H5090" s="502">
        <v>55155</v>
      </c>
      <c r="I5090" s="415">
        <v>2575</v>
      </c>
      <c r="J5090" s="415">
        <v>2500</v>
      </c>
      <c r="K5090" s="415">
        <v>2505.08</v>
      </c>
      <c r="L5090" s="415">
        <v>2880.28</v>
      </c>
      <c r="M5090" s="415">
        <v>3230.04</v>
      </c>
      <c r="N5090" s="415">
        <v>2235.36</v>
      </c>
      <c r="O5090" s="415">
        <v>1980</v>
      </c>
      <c r="P5090" s="415">
        <v>2231.13</v>
      </c>
      <c r="Q5090" s="501">
        <f t="shared" si="125"/>
        <v>-75</v>
      </c>
    </row>
    <row r="5091" spans="1:17" x14ac:dyDescent="0.3">
      <c r="A5091" s="431" t="str">
        <f>IFERROR(VLOOKUP(RIGHT(E5091,3)+0,[1]SchLocTable!$A$2:$B$47,2,FALSE)," ")</f>
        <v xml:space="preserve"> </v>
      </c>
      <c r="B5091" s="431" t="str">
        <f>VLOOKUP(VALUE(D5091),$D$3:F$106,3,FALSE)</f>
        <v>Regulatory Compliance</v>
      </c>
      <c r="C5091" t="s">
        <v>314</v>
      </c>
      <c r="D5091" t="s">
        <v>1217</v>
      </c>
      <c r="E5091" t="s">
        <v>1218</v>
      </c>
      <c r="F5091" t="s">
        <v>901</v>
      </c>
      <c r="G5091" t="s">
        <v>319</v>
      </c>
      <c r="H5091" s="502">
        <v>56170</v>
      </c>
      <c r="I5091" s="415">
        <v>1432426.9122000001</v>
      </c>
      <c r="J5091" s="415">
        <v>390705.74</v>
      </c>
      <c r="K5091" s="415">
        <v>416942.73</v>
      </c>
      <c r="L5091" s="415">
        <v>434965.99</v>
      </c>
      <c r="M5091" s="415">
        <v>261469.87</v>
      </c>
      <c r="N5091" s="415">
        <v>329012.5</v>
      </c>
      <c r="O5091" s="415">
        <v>399792.31</v>
      </c>
      <c r="P5091" s="415">
        <v>242345.16</v>
      </c>
      <c r="Q5091" s="501">
        <f t="shared" si="125"/>
        <v>-1041721.1722000001</v>
      </c>
    </row>
    <row r="5092" spans="1:17" x14ac:dyDescent="0.3">
      <c r="A5092" s="431" t="str">
        <f>IFERROR(VLOOKUP(RIGHT(E5092,3)+0,[1]SchLocTable!$A$2:$B$47,2,FALSE)," ")</f>
        <v xml:space="preserve"> </v>
      </c>
      <c r="B5092" s="431" t="str">
        <f>VLOOKUP(VALUE(D5092),$D$3:F$106,3,FALSE)</f>
        <v>Regulatory Compliance</v>
      </c>
      <c r="C5092" t="s">
        <v>314</v>
      </c>
      <c r="D5092" t="s">
        <v>1217</v>
      </c>
      <c r="E5092" t="s">
        <v>1218</v>
      </c>
      <c r="F5092" t="s">
        <v>464</v>
      </c>
      <c r="G5092" t="s">
        <v>319</v>
      </c>
      <c r="H5092" s="502">
        <v>56180</v>
      </c>
      <c r="I5092" s="415">
        <v>9805.6</v>
      </c>
      <c r="J5092" s="415">
        <v>9520</v>
      </c>
      <c r="K5092" s="415">
        <v>8357.5</v>
      </c>
      <c r="L5092" s="415">
        <v>4145.5</v>
      </c>
      <c r="M5092" s="415">
        <v>6949.56</v>
      </c>
      <c r="N5092" s="415">
        <v>10450.5</v>
      </c>
      <c r="O5092" s="415">
        <v>8580</v>
      </c>
      <c r="P5092" s="415">
        <v>12925</v>
      </c>
      <c r="Q5092" s="501">
        <f t="shared" si="125"/>
        <v>-285.60000000000036</v>
      </c>
    </row>
    <row r="5093" spans="1:17" x14ac:dyDescent="0.3">
      <c r="A5093" s="431" t="str">
        <f>IFERROR(VLOOKUP(RIGHT(E5093,3)+0,[1]SchLocTable!$A$2:$B$47,2,FALSE)," ")</f>
        <v xml:space="preserve"> </v>
      </c>
      <c r="B5093" s="431" t="str">
        <f>VLOOKUP(VALUE(D5093),$D$3:F$106,3,FALSE)</f>
        <v>Regulatory Compliance</v>
      </c>
      <c r="C5093" t="s">
        <v>314</v>
      </c>
      <c r="D5093" t="s">
        <v>1217</v>
      </c>
      <c r="E5093" t="s">
        <v>1218</v>
      </c>
      <c r="F5093" t="s">
        <v>1220</v>
      </c>
      <c r="G5093" t="s">
        <v>319</v>
      </c>
      <c r="H5093" s="502">
        <v>56185</v>
      </c>
      <c r="I5093" s="415">
        <v>12008.8318</v>
      </c>
      <c r="J5093" s="415">
        <v>11659.06</v>
      </c>
      <c r="K5093" s="415">
        <v>4520</v>
      </c>
      <c r="L5093" s="415">
        <v>1775</v>
      </c>
      <c r="M5093" s="415">
        <v>0</v>
      </c>
      <c r="N5093" s="415">
        <v>9150</v>
      </c>
      <c r="O5093" s="415">
        <v>31190</v>
      </c>
      <c r="P5093" s="415">
        <v>12930</v>
      </c>
      <c r="Q5093" s="501">
        <f t="shared" si="125"/>
        <v>-349.77180000000044</v>
      </c>
    </row>
    <row r="5094" spans="1:17" x14ac:dyDescent="0.3">
      <c r="A5094" s="431" t="str">
        <f>IFERROR(VLOOKUP(RIGHT(E5094,3)+0,[1]SchLocTable!$A$2:$B$47,2,FALSE)," ")</f>
        <v xml:space="preserve"> </v>
      </c>
      <c r="B5094" s="431" t="str">
        <f>VLOOKUP(VALUE(D5094),$D$3:F$106,3,FALSE)</f>
        <v>Regulatory Compliance</v>
      </c>
      <c r="C5094" t="s">
        <v>314</v>
      </c>
      <c r="D5094" t="s">
        <v>1217</v>
      </c>
      <c r="E5094" t="s">
        <v>1218</v>
      </c>
      <c r="F5094" t="s">
        <v>930</v>
      </c>
      <c r="G5094" t="s">
        <v>319</v>
      </c>
      <c r="H5094" s="502">
        <v>56215</v>
      </c>
      <c r="I5094" s="415">
        <v>4253.9000000000005</v>
      </c>
      <c r="J5094" s="415">
        <v>4130</v>
      </c>
      <c r="K5094" s="415">
        <v>209</v>
      </c>
      <c r="L5094" s="415">
        <v>2213.4499999999998</v>
      </c>
      <c r="M5094" s="415">
        <v>891.2</v>
      </c>
      <c r="N5094" s="415">
        <v>1582.25</v>
      </c>
      <c r="O5094" s="415">
        <v>4056.9</v>
      </c>
      <c r="P5094" s="415">
        <v>0</v>
      </c>
      <c r="Q5094" s="501">
        <f t="shared" si="125"/>
        <v>-123.90000000000055</v>
      </c>
    </row>
    <row r="5095" spans="1:17" x14ac:dyDescent="0.3">
      <c r="A5095" s="431" t="str">
        <f>IFERROR(VLOOKUP(RIGHT(E5095,3)+0,[1]SchLocTable!$A$2:$B$47,2,FALSE)," ")</f>
        <v xml:space="preserve"> </v>
      </c>
      <c r="B5095" s="431" t="str">
        <f>VLOOKUP(VALUE(D5095),$D$3:F$106,3,FALSE)</f>
        <v>Regulatory Compliance</v>
      </c>
      <c r="C5095" t="s">
        <v>314</v>
      </c>
      <c r="D5095" t="s">
        <v>1217</v>
      </c>
      <c r="E5095" t="s">
        <v>1218</v>
      </c>
      <c r="F5095" t="s">
        <v>1219</v>
      </c>
      <c r="G5095" t="s">
        <v>319</v>
      </c>
      <c r="H5095" s="502">
        <v>54735</v>
      </c>
      <c r="I5095" s="415">
        <v>0</v>
      </c>
      <c r="J5095" s="415">
        <v>0</v>
      </c>
      <c r="K5095" s="415">
        <v>0</v>
      </c>
      <c r="L5095" s="415">
        <v>0</v>
      </c>
      <c r="M5095" s="415">
        <v>97364.84</v>
      </c>
      <c r="N5095" s="415">
        <v>0</v>
      </c>
      <c r="O5095" s="415">
        <v>0</v>
      </c>
      <c r="P5095" s="415">
        <v>0</v>
      </c>
      <c r="Q5095" s="501">
        <f t="shared" si="125"/>
        <v>0</v>
      </c>
    </row>
    <row r="5096" spans="1:17" x14ac:dyDescent="0.3">
      <c r="A5096" s="431" t="str">
        <f>IFERROR(VLOOKUP(RIGHT(E5096,3)+0,[1]SchLocTable!$A$2:$B$47,2,FALSE)," ")</f>
        <v xml:space="preserve"> </v>
      </c>
      <c r="B5096" s="431" t="str">
        <f>VLOOKUP(VALUE(D5096),$D$3:F$106,3,FALSE)</f>
        <v>Regulatory Compliance</v>
      </c>
      <c r="C5096" t="s">
        <v>314</v>
      </c>
      <c r="D5096" t="s">
        <v>1217</v>
      </c>
      <c r="E5096" t="s">
        <v>1218</v>
      </c>
      <c r="F5096" t="s">
        <v>502</v>
      </c>
      <c r="G5096" t="s">
        <v>319</v>
      </c>
      <c r="H5096" s="502">
        <v>53610</v>
      </c>
      <c r="I5096" s="415">
        <v>3368.1</v>
      </c>
      <c r="J5096" s="415">
        <v>3270</v>
      </c>
      <c r="K5096" s="415">
        <v>1050</v>
      </c>
      <c r="L5096" s="415">
        <v>2283</v>
      </c>
      <c r="M5096" s="415">
        <v>369</v>
      </c>
      <c r="N5096" s="415">
        <v>16112</v>
      </c>
      <c r="O5096" s="415">
        <v>0</v>
      </c>
      <c r="P5096" s="415">
        <v>0</v>
      </c>
      <c r="Q5096" s="501">
        <f t="shared" si="125"/>
        <v>-98.099999999999909</v>
      </c>
    </row>
    <row r="5097" spans="1:17" x14ac:dyDescent="0.3">
      <c r="A5097" s="431" t="str">
        <f>IFERROR(VLOOKUP(RIGHT(E5097,3)+0,[1]SchLocTable!$A$2:$B$47,2,FALSE)," ")</f>
        <v xml:space="preserve"> </v>
      </c>
      <c r="B5097" s="431" t="str">
        <f>VLOOKUP(VALUE(D5097),$D$3:F$106,3,FALSE)</f>
        <v>Facilities Maintenance &amp; Repair</v>
      </c>
      <c r="C5097" t="s">
        <v>314</v>
      </c>
      <c r="D5097" t="s">
        <v>1419</v>
      </c>
      <c r="E5097" t="s">
        <v>1227</v>
      </c>
      <c r="F5097" t="s">
        <v>1079</v>
      </c>
      <c r="G5097" t="s">
        <v>319</v>
      </c>
      <c r="H5097" s="502" t="s">
        <v>1420</v>
      </c>
      <c r="I5097" s="415">
        <v>0</v>
      </c>
      <c r="J5097" s="415">
        <v>0</v>
      </c>
      <c r="K5097" s="415">
        <v>0</v>
      </c>
      <c r="L5097" s="415">
        <v>0</v>
      </c>
      <c r="M5097" s="415">
        <v>0</v>
      </c>
      <c r="N5097" s="415">
        <v>0</v>
      </c>
      <c r="O5097" s="415">
        <v>0</v>
      </c>
      <c r="P5097" s="415">
        <v>366.36</v>
      </c>
      <c r="Q5097" s="501">
        <f t="shared" si="125"/>
        <v>0</v>
      </c>
    </row>
    <row r="5098" spans="1:17" x14ac:dyDescent="0.3">
      <c r="A5098" s="431" t="str">
        <f>IFERROR(VLOOKUP(RIGHT(E5098,3)+0,[1]SchLocTable!$A$2:$B$47,2,FALSE)," ")</f>
        <v xml:space="preserve"> </v>
      </c>
      <c r="B5098" s="431" t="str">
        <f>VLOOKUP(VALUE(D5098),$D$3:F$106,3,FALSE)</f>
        <v>Facilities Maintenance &amp; Repair</v>
      </c>
      <c r="C5098" t="s">
        <v>314</v>
      </c>
      <c r="D5098" t="s">
        <v>1419</v>
      </c>
      <c r="E5098" t="s">
        <v>1227</v>
      </c>
      <c r="F5098" t="s">
        <v>1421</v>
      </c>
      <c r="G5098" t="s">
        <v>319</v>
      </c>
      <c r="H5098" s="502" t="s">
        <v>1422</v>
      </c>
      <c r="I5098" s="415">
        <v>0</v>
      </c>
      <c r="J5098" s="415">
        <v>0</v>
      </c>
      <c r="K5098" s="415">
        <v>0</v>
      </c>
      <c r="L5098" s="415">
        <v>0</v>
      </c>
      <c r="M5098" s="415">
        <v>0</v>
      </c>
      <c r="N5098" s="415">
        <v>0</v>
      </c>
      <c r="O5098" s="415">
        <v>0</v>
      </c>
      <c r="P5098" s="415">
        <v>2646.4</v>
      </c>
      <c r="Q5098" s="501">
        <f t="shared" si="125"/>
        <v>0</v>
      </c>
    </row>
    <row r="5099" spans="1:17" ht="15.6" x14ac:dyDescent="0.3">
      <c r="A5099" s="418" t="s">
        <v>65</v>
      </c>
      <c r="B5099" s="419"/>
      <c r="C5099" s="420"/>
      <c r="D5099" s="421"/>
      <c r="E5099" s="421"/>
      <c r="F5099" s="422"/>
      <c r="G5099" s="423">
        <f>SUBTOTAL(109,Table17[FTE])</f>
        <v>1752.9</v>
      </c>
      <c r="H5099" s="464"/>
      <c r="I5099" s="465">
        <f>SUM(Table17[FY2027 REQUESTED BUDGET])</f>
        <v>293562103.28942871</v>
      </c>
      <c r="J5099" s="466">
        <f>SUM(Table17[FY26 BUDGET])</f>
        <v>245860981.81999972</v>
      </c>
      <c r="K5099" s="466">
        <f>SUM(Table17[FY2025])</f>
        <v>242735981.81999886</v>
      </c>
      <c r="L5099" s="466">
        <f>SUM(Table17[FY2024])</f>
        <v>239735981.82000005</v>
      </c>
      <c r="M5099" s="466">
        <f>SUM(Table17[FY2023])</f>
        <v>237235977.47000113</v>
      </c>
      <c r="N5099" s="466">
        <f>SUM(Table17[FY2022])</f>
        <v>235235977.12000033</v>
      </c>
      <c r="O5099" s="466">
        <f>SUM(Table17[FY2021])</f>
        <v>233235977.14000043</v>
      </c>
      <c r="P5099" s="466">
        <f>SUM(Table17[FY2020])</f>
        <v>230985976.96999967</v>
      </c>
      <c r="Q5099" s="483">
        <f>SUM(Table17[VARIANCE])</f>
        <v>-47701121.469428942</v>
      </c>
    </row>
    <row r="5100" spans="1:17" ht="15.6" x14ac:dyDescent="0.3">
      <c r="A5100" s="418"/>
      <c r="B5100" s="419"/>
      <c r="C5100" s="420"/>
      <c r="D5100" s="421"/>
      <c r="E5100" s="421"/>
      <c r="F5100" s="421"/>
      <c r="G5100" s="421"/>
      <c r="H5100" s="464"/>
      <c r="I5100" s="449"/>
      <c r="J5100" s="449"/>
      <c r="K5100" s="449"/>
      <c r="L5100" s="449"/>
      <c r="N5100" s="447"/>
      <c r="O5100" s="482"/>
    </row>
  </sheetData>
  <sheetProtection algorithmName="SHA-512" hashValue="jBtel3aBzb2qSotsVfCpckInt7qfQ0SdzHKeG2bnDuMBhJKYVkuG7fPua6N9zsApkxTg/xjSmLnXZC3WnGmKmQ==" saltValue="OdvcHnjdzeVGKJZQU+2jew==" spinCount="100000" sheet="1" objects="1" scenarios="1"/>
  <phoneticPr fontId="87" type="noConversion"/>
  <pageMargins left="0.7" right="0.7" top="0.75" bottom="0.75" header="0.3" footer="0.3"/>
  <pageSetup scale="41" fitToHeight="0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97FF-44C5-41F2-B798-635D31978EEB}">
  <dimension ref="A1:B48"/>
  <sheetViews>
    <sheetView workbookViewId="0"/>
  </sheetViews>
  <sheetFormatPr defaultRowHeight="14.4" x14ac:dyDescent="0.3"/>
  <cols>
    <col min="2" max="2" width="29.88671875" bestFit="1" customWidth="1"/>
  </cols>
  <sheetData>
    <row r="1" spans="1:2" ht="15.6" x14ac:dyDescent="0.3">
      <c r="A1" s="424" t="s">
        <v>1250</v>
      </c>
      <c r="B1" s="425" t="s">
        <v>1251</v>
      </c>
    </row>
    <row r="2" spans="1:2" ht="15.6" x14ac:dyDescent="0.3">
      <c r="A2" s="426">
        <v>801</v>
      </c>
      <c r="B2" s="427" t="s">
        <v>1252</v>
      </c>
    </row>
    <row r="3" spans="1:2" ht="15.6" x14ac:dyDescent="0.3">
      <c r="A3" s="428">
        <v>802</v>
      </c>
      <c r="B3" s="427" t="s">
        <v>1253</v>
      </c>
    </row>
    <row r="4" spans="1:2" ht="15.6" x14ac:dyDescent="0.3">
      <c r="A4" s="428">
        <v>803</v>
      </c>
      <c r="B4" s="427" t="s">
        <v>1254</v>
      </c>
    </row>
    <row r="5" spans="1:2" ht="15.6" x14ac:dyDescent="0.3">
      <c r="A5" s="428">
        <v>804</v>
      </c>
      <c r="B5" s="427" t="s">
        <v>1255</v>
      </c>
    </row>
    <row r="6" spans="1:2" ht="15.6" x14ac:dyDescent="0.3">
      <c r="A6" s="428">
        <v>805</v>
      </c>
      <c r="B6" s="427" t="s">
        <v>1256</v>
      </c>
    </row>
    <row r="7" spans="1:2" ht="15.6" x14ac:dyDescent="0.3">
      <c r="A7" s="428">
        <v>807</v>
      </c>
      <c r="B7" s="427" t="s">
        <v>1257</v>
      </c>
    </row>
    <row r="8" spans="1:2" ht="15.6" x14ac:dyDescent="0.3">
      <c r="A8" s="428">
        <v>808</v>
      </c>
      <c r="B8" s="427" t="s">
        <v>1258</v>
      </c>
    </row>
    <row r="9" spans="1:2" ht="15.6" x14ac:dyDescent="0.3">
      <c r="A9" s="428">
        <v>810</v>
      </c>
      <c r="B9" s="427" t="s">
        <v>1259</v>
      </c>
    </row>
    <row r="10" spans="1:2" ht="15.6" x14ac:dyDescent="0.3">
      <c r="A10" s="428">
        <v>811</v>
      </c>
      <c r="B10" s="427" t="s">
        <v>1260</v>
      </c>
    </row>
    <row r="11" spans="1:2" ht="15.6" x14ac:dyDescent="0.3">
      <c r="A11" s="428">
        <v>812</v>
      </c>
      <c r="B11" s="427" t="s">
        <v>1261</v>
      </c>
    </row>
    <row r="12" spans="1:2" ht="15.6" x14ac:dyDescent="0.3">
      <c r="A12" s="428">
        <v>813</v>
      </c>
      <c r="B12" s="427" t="s">
        <v>1262</v>
      </c>
    </row>
    <row r="13" spans="1:2" ht="15.6" x14ac:dyDescent="0.3">
      <c r="A13" s="428">
        <v>814</v>
      </c>
      <c r="B13" s="427" t="s">
        <v>1263</v>
      </c>
    </row>
    <row r="14" spans="1:2" ht="15.6" x14ac:dyDescent="0.3">
      <c r="A14" s="428">
        <v>815</v>
      </c>
      <c r="B14" s="427" t="s">
        <v>1264</v>
      </c>
    </row>
    <row r="15" spans="1:2" ht="15.6" x14ac:dyDescent="0.3">
      <c r="A15" s="428">
        <v>816</v>
      </c>
      <c r="B15" s="427" t="s">
        <v>1265</v>
      </c>
    </row>
    <row r="16" spans="1:2" ht="15.6" x14ac:dyDescent="0.3">
      <c r="A16" s="428">
        <v>817</v>
      </c>
      <c r="B16" s="427" t="s">
        <v>1266</v>
      </c>
    </row>
    <row r="17" spans="1:2" ht="15.6" x14ac:dyDescent="0.3">
      <c r="A17" s="428">
        <v>818</v>
      </c>
      <c r="B17" s="427" t="s">
        <v>1267</v>
      </c>
    </row>
    <row r="18" spans="1:2" ht="15.6" x14ac:dyDescent="0.3">
      <c r="A18" s="428">
        <v>820</v>
      </c>
      <c r="B18" s="427" t="s">
        <v>1268</v>
      </c>
    </row>
    <row r="19" spans="1:2" ht="15.6" x14ac:dyDescent="0.3">
      <c r="A19" s="428">
        <v>821</v>
      </c>
      <c r="B19" s="427" t="s">
        <v>1269</v>
      </c>
    </row>
    <row r="20" spans="1:2" ht="15.6" x14ac:dyDescent="0.3">
      <c r="A20" s="428">
        <v>822</v>
      </c>
      <c r="B20" s="427" t="s">
        <v>1270</v>
      </c>
    </row>
    <row r="21" spans="1:2" ht="15.6" x14ac:dyDescent="0.3">
      <c r="A21" s="428">
        <v>825</v>
      </c>
      <c r="B21" s="427" t="s">
        <v>1271</v>
      </c>
    </row>
    <row r="22" spans="1:2" ht="15.6" x14ac:dyDescent="0.3">
      <c r="A22" s="428">
        <v>826</v>
      </c>
      <c r="B22" s="427" t="s">
        <v>1272</v>
      </c>
    </row>
    <row r="23" spans="1:2" ht="15.6" x14ac:dyDescent="0.3">
      <c r="A23" s="428">
        <v>828</v>
      </c>
      <c r="B23" s="427" t="s">
        <v>1273</v>
      </c>
    </row>
    <row r="24" spans="1:2" ht="15.6" x14ac:dyDescent="0.3">
      <c r="A24" s="428">
        <v>830</v>
      </c>
      <c r="B24" s="427" t="s">
        <v>1274</v>
      </c>
    </row>
    <row r="25" spans="1:2" ht="15.6" x14ac:dyDescent="0.3">
      <c r="A25" s="428">
        <v>831</v>
      </c>
      <c r="B25" s="427" t="s">
        <v>1275</v>
      </c>
    </row>
    <row r="26" spans="1:2" ht="15.6" x14ac:dyDescent="0.3">
      <c r="A26" s="428">
        <v>832</v>
      </c>
      <c r="B26" s="427" t="s">
        <v>1276</v>
      </c>
    </row>
    <row r="27" spans="1:2" ht="15.6" x14ac:dyDescent="0.3">
      <c r="A27" s="428">
        <v>836</v>
      </c>
      <c r="B27" s="427" t="s">
        <v>1277</v>
      </c>
    </row>
    <row r="28" spans="1:2" ht="15.6" x14ac:dyDescent="0.3">
      <c r="A28" s="428">
        <v>837</v>
      </c>
      <c r="B28" s="427" t="s">
        <v>1278</v>
      </c>
    </row>
    <row r="29" spans="1:2" ht="15.6" x14ac:dyDescent="0.3">
      <c r="A29" s="428">
        <v>839</v>
      </c>
      <c r="B29" s="427" t="s">
        <v>1279</v>
      </c>
    </row>
    <row r="30" spans="1:2" ht="15.6" x14ac:dyDescent="0.3">
      <c r="A30" s="428">
        <v>840</v>
      </c>
      <c r="B30" s="427" t="s">
        <v>1280</v>
      </c>
    </row>
    <row r="31" spans="1:2" ht="15.6" x14ac:dyDescent="0.3">
      <c r="A31" s="428">
        <v>841</v>
      </c>
      <c r="B31" s="427" t="s">
        <v>1281</v>
      </c>
    </row>
    <row r="32" spans="1:2" ht="15.6" x14ac:dyDescent="0.3">
      <c r="A32" s="428">
        <v>842</v>
      </c>
      <c r="B32" s="427" t="s">
        <v>1282</v>
      </c>
    </row>
    <row r="33" spans="1:2" ht="15.6" x14ac:dyDescent="0.3">
      <c r="A33" s="428">
        <v>844</v>
      </c>
      <c r="B33" s="427" t="s">
        <v>1283</v>
      </c>
    </row>
    <row r="34" spans="1:2" ht="15.6" x14ac:dyDescent="0.3">
      <c r="A34" s="428">
        <v>845</v>
      </c>
      <c r="B34" s="427" t="s">
        <v>1284</v>
      </c>
    </row>
    <row r="35" spans="1:2" ht="15.6" x14ac:dyDescent="0.3">
      <c r="A35" s="428">
        <v>846</v>
      </c>
      <c r="B35" s="427" t="s">
        <v>1285</v>
      </c>
    </row>
    <row r="36" spans="1:2" ht="15.6" x14ac:dyDescent="0.3">
      <c r="A36" s="428">
        <v>854</v>
      </c>
      <c r="B36" s="427" t="s">
        <v>1286</v>
      </c>
    </row>
    <row r="37" spans="1:2" ht="15.6" x14ac:dyDescent="0.3">
      <c r="A37" s="428">
        <v>861</v>
      </c>
      <c r="B37" s="427" t="s">
        <v>1287</v>
      </c>
    </row>
    <row r="38" spans="1:2" ht="15.6" x14ac:dyDescent="0.3">
      <c r="A38" s="428">
        <v>862</v>
      </c>
      <c r="B38" s="427" t="s">
        <v>1288</v>
      </c>
    </row>
    <row r="39" spans="1:2" ht="15.6" x14ac:dyDescent="0.3">
      <c r="A39" s="428">
        <v>863</v>
      </c>
      <c r="B39" s="427" t="s">
        <v>1289</v>
      </c>
    </row>
    <row r="40" spans="1:2" ht="15.6" x14ac:dyDescent="0.3">
      <c r="A40" s="428">
        <v>864</v>
      </c>
      <c r="B40" s="427" t="s">
        <v>207</v>
      </c>
    </row>
    <row r="41" spans="1:2" ht="15.6" x14ac:dyDescent="0.3">
      <c r="A41" s="428">
        <v>879</v>
      </c>
      <c r="B41" s="427" t="s">
        <v>1290</v>
      </c>
    </row>
    <row r="42" spans="1:2" ht="15.6" x14ac:dyDescent="0.3">
      <c r="A42" s="428">
        <v>889</v>
      </c>
      <c r="B42" s="427" t="s">
        <v>1291</v>
      </c>
    </row>
    <row r="43" spans="1:2" ht="15.6" x14ac:dyDescent="0.3">
      <c r="A43" s="428">
        <v>891</v>
      </c>
      <c r="B43" s="427" t="s">
        <v>1292</v>
      </c>
    </row>
    <row r="44" spans="1:2" ht="15.6" x14ac:dyDescent="0.3">
      <c r="A44" s="428">
        <v>895</v>
      </c>
      <c r="B44" s="427" t="s">
        <v>218</v>
      </c>
    </row>
    <row r="45" spans="1:2" ht="15.6" x14ac:dyDescent="0.3">
      <c r="A45" s="428">
        <v>905</v>
      </c>
      <c r="B45" s="427" t="s">
        <v>1293</v>
      </c>
    </row>
    <row r="46" spans="1:2" ht="15.6" x14ac:dyDescent="0.3">
      <c r="A46" s="428">
        <v>984</v>
      </c>
      <c r="B46" s="427" t="s">
        <v>1294</v>
      </c>
    </row>
    <row r="47" spans="1:2" ht="15.6" x14ac:dyDescent="0.3">
      <c r="A47" s="428">
        <v>988</v>
      </c>
      <c r="B47" s="427" t="s">
        <v>1295</v>
      </c>
    </row>
    <row r="48" spans="1:2" ht="15.6" x14ac:dyDescent="0.3">
      <c r="A48" s="428"/>
      <c r="B48" s="429"/>
    </row>
  </sheetData>
  <sheetProtection algorithmName="SHA-512" hashValue="MnxfV6L6FlBN+QC6mIw5WytKwveVvvTx4vce5jjK6JMMxPuqOusJyuo3Id+FmxwLuO8f/77QZkRK3ZAHAXUSYQ==" saltValue="KxnI9tuBfKMoGgl7i4/VS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 Oper Budget Approp</vt:lpstr>
      <vt:lpstr>2 OPBUD Summary</vt:lpstr>
      <vt:lpstr>3 OPBUD Detail</vt:lpstr>
      <vt:lpstr>SchLocTable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St. Louis, Patricia</dc:creator>
  <cp:lastModifiedBy>St. Louis, Patricia</cp:lastModifiedBy>
  <cp:lastPrinted>2026-01-15T21:44:29Z</cp:lastPrinted>
  <dcterms:created xsi:type="dcterms:W3CDTF">2025-11-03T21:58:43Z</dcterms:created>
  <dcterms:modified xsi:type="dcterms:W3CDTF">2026-01-22T15:56:22Z</dcterms:modified>
</cp:coreProperties>
</file>